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803" codeName="{00000000-0000-0000-0000-000000000000}"/>
  <workbookPr codeName="ThisWorkbook"/>
  <mc:AlternateContent xmlns:mc="http://schemas.openxmlformats.org/markup-compatibility/2006">
    <mc:Choice Requires="x15">
      <x15ac:absPath xmlns:x15ac="http://schemas.microsoft.com/office/spreadsheetml/2010/11/ac" url="/Users/a1/Downloads/"/>
    </mc:Choice>
  </mc:AlternateContent>
  <xr:revisionPtr revIDLastSave="0" documentId="13_ncr:1_{9421935F-1956-5A4A-A2DB-C51175E2626F}" xr6:coauthVersionLast="47" xr6:coauthVersionMax="47" xr10:uidLastSave="{00000000-0000-0000-0000-000000000000}"/>
  <workbookProtection workbookAlgorithmName="SHA-512" workbookHashValue="QuEmwlFvJY8I13PPXYRwj/NUfYdu4dUSDCsVb4bX5apaDSLF/QjWLiKNzXL4DhnTxLjs8r+CjmMwy1g86/fHNw==" workbookSaltValue="2UN2Nt4kVzl3HiLK1ipPxQ==" workbookSpinCount="100000" lockStructure="1"/>
  <bookViews>
    <workbookView xWindow="0" yWindow="600" windowWidth="14400" windowHeight="15760" tabRatio="344" xr2:uid="{00000000-000D-0000-FFFF-FFFF00000000}"/>
  </bookViews>
  <sheets>
    <sheet name="Design Regulator" sheetId="1" r:id="rId1"/>
    <sheet name="Schematic &amp; BOM" sheetId="16" r:id="rId2"/>
    <sheet name="EVMs" sheetId="18" r:id="rId3"/>
    <sheet name="Variable Management" sheetId="2" state="hidden" r:id="rId4"/>
    <sheet name="Standard Value Calculator" sheetId="8" state="hidden" r:id="rId5"/>
    <sheet name="Bode Plots Calculations" sheetId="3" state="hidden" r:id="rId6"/>
    <sheet name="Schematic Management" sheetId="17" state="hidden" r:id="rId7"/>
    <sheet name="Power Calculations" sheetId="4" state="hidden" r:id="rId8"/>
    <sheet name="Snubber" sheetId="11" state="hidden" r:id="rId9"/>
    <sheet name="Parallel Output Caps" sheetId="6" state="hidden" r:id="rId10"/>
  </sheets>
  <definedNames>
    <definedName name="_Don1">'Variable Management'!$B$23</definedName>
    <definedName name="_Don2">'Variable Management'!$B$34</definedName>
    <definedName name="_Ren1">'Variable Management'!$B$94</definedName>
    <definedName name="_Rfb1">'Variable Management'!$B$126</definedName>
    <definedName name="_Rfb2">'Variable Management'!$B$127</definedName>
    <definedName name="_Rs1">'Variable Management'!$B$65</definedName>
    <definedName name="_Rs2">'Variable Management'!$B$64</definedName>
    <definedName name="_Rs3">'Variable Management'!$B$62</definedName>
    <definedName name="Cb">'Variable Management'!$B$119</definedName>
    <definedName name="Cby">'Variable Management'!$B$118</definedName>
    <definedName name="Cc1ea">'Variable Management'!$B$133</definedName>
    <definedName name="Cc1ea_u">'Variable Management'!$B$140</definedName>
    <definedName name="Cc2ea">'Variable Management'!$B$134</definedName>
    <definedName name="Cc2ea_u">'Variable Management'!$B$141</definedName>
    <definedName name="Cc3ea">'Variable Management'!$B$136</definedName>
    <definedName name="Cc3ea_u">'Variable Management'!$B$143</definedName>
    <definedName name="Cdd">'Variable Management'!$B$115</definedName>
    <definedName name="Cilim">'Variable Management'!$B$64</definedName>
    <definedName name="Cilim_ideal">'Variable Management'!$B$65</definedName>
    <definedName name="Cin">'Variable Management'!$B$81</definedName>
    <definedName name="Cin_Voltage_Rating">'Variable Management'!$S$66</definedName>
    <definedName name="CinEsrMax">'Variable Management'!$B$82</definedName>
    <definedName name="Core_Loss">'Design Regulator'!$E$21</definedName>
    <definedName name="CossBot">'Variable Management'!$B$202</definedName>
    <definedName name="CossTop">'Variable Management'!$B$190</definedName>
    <definedName name="Cout">'Variable Management'!$B$71</definedName>
    <definedName name="Cout_Voltage_Rating">'Variable Management'!$M$66</definedName>
    <definedName name="CoutEsr">'Variable Management'!$B$73</definedName>
    <definedName name="Coutmin">'Variable Management'!$B$70</definedName>
    <definedName name="Csb">'Variable Management'!$B$116</definedName>
    <definedName name="Csby">'Variable Management'!$B$117</definedName>
    <definedName name="Css">'Variable Management'!$B$90</definedName>
    <definedName name="Css_u">'Variable Management'!$B$91</definedName>
    <definedName name="DC_Current_Limit_Setpoint">'Variable Management'!$B$49</definedName>
    <definedName name="Deadtime">'Variable Management'!$B$181</definedName>
    <definedName name="Doff1">'Variable Management'!$B$24</definedName>
    <definedName name="Doff2">'Variable Management'!$B$35</definedName>
    <definedName name="Don_Vinmax">'Variable Management'!$B$27</definedName>
    <definedName name="Eadcg">'Variable Management'!$B$122</definedName>
    <definedName name="Ext_VCC">'Variable Management'!$V$21</definedName>
    <definedName name="Fcross">'Variable Management'!$B$124</definedName>
    <definedName name="Fesr">'Variable Management'!$B$148</definedName>
    <definedName name="Fo">'Variable Management'!$B$146</definedName>
    <definedName name="Fp1_u">'Variable Management'!$B$151</definedName>
    <definedName name="Fp2_u">'Variable Management'!$B$152</definedName>
    <definedName name="Fsw">'Variable Management'!$B$12</definedName>
    <definedName name="Fz1_u">'Variable Management'!$B$149</definedName>
    <definedName name="Fz2_u">'Variable Management'!$B$150</definedName>
    <definedName name="GBP">'Variable Management'!$B$123</definedName>
    <definedName name="GmTop">'Variable Management'!$B$192</definedName>
    <definedName name="Icinrms">'Variable Management'!$B$79</definedName>
    <definedName name="Icoutrms">'Variable Management'!$B$69</definedName>
    <definedName name="Ilim1">'Variable Management'!$B$53</definedName>
    <definedName name="Ilim2">'Variable Management'!$B$54</definedName>
    <definedName name="ILimit">'Variable Management'!$B$50</definedName>
    <definedName name="Ilsat">'Variable Management'!$B$51</definedName>
    <definedName name="Iout">'Variable Management'!$B$11</definedName>
    <definedName name="Ipp">'Power Calculations'!$B$69</definedName>
    <definedName name="Iq">'Variable Management'!$B$183</definedName>
    <definedName name="Ireverse">'Variable Management'!$B$211</definedName>
    <definedName name="Iripple1">'Variable Management'!$B$42</definedName>
    <definedName name="Iss">'Variable Management'!$B$89</definedName>
    <definedName name="Iuvlo_hys">'Variable Management'!$B$109</definedName>
    <definedName name="Iuvlo1">'Variable Management'!$B$107</definedName>
    <definedName name="Iuvlo2">'Variable Management'!$B$108</definedName>
    <definedName name="Kmidband">'Variable Management'!$B$125</definedName>
    <definedName name="Lout1">'Variable Management'!$B$30</definedName>
    <definedName name="Lout2">'Variable Management'!$B$31</definedName>
    <definedName name="Ltc">'Variable Management'!$B$169</definedName>
    <definedName name="Pi">'Variable Management'!$B$154</definedName>
    <definedName name="PICTURE10">INDIRECT('Schematic Management'!$A$2)</definedName>
    <definedName name="PICTURE2" localSheetId="6">INDIRECT('Schematic Management'!$A$2)</definedName>
    <definedName name="_xlnm.Print_Area" localSheetId="0">'Design Regulator'!$A$1:$Q$111</definedName>
    <definedName name="_xlnm.Print_Area" localSheetId="1">'Schematic &amp; BOM'!$A$1:$J$68</definedName>
    <definedName name="Q">'Variable Management'!$B$147</definedName>
    <definedName name="QgBot">'Variable Management'!$B$200</definedName>
    <definedName name="QgdTop">'Variable Management'!$B$188</definedName>
    <definedName name="QgsTop">'Variable Management'!$B$189</definedName>
    <definedName name="QgTop">'Variable Management'!$B$187</definedName>
    <definedName name="QossBot">'Variable Management'!$B$201</definedName>
    <definedName name="QrrBot">'Variable Management'!$B$205</definedName>
    <definedName name="QrrSky">'Variable Management'!$B$210</definedName>
    <definedName name="Rcea1">'Variable Management'!$B$132</definedName>
    <definedName name="Rcea1_u">'Variable Management'!$B$139</definedName>
    <definedName name="Rcea2">'Variable Management'!$B$135</definedName>
    <definedName name="Rcea2_u">'Variable Management'!$B$142</definedName>
    <definedName name="RCinEsr">'Variable Management'!$B$83</definedName>
    <definedName name="RCoutEsr">'Variable Management'!$B$73</definedName>
    <definedName name="Rdcr">'Variable Management'!$B$32</definedName>
    <definedName name="RDSON_sense">'Variable Management'!$M$56</definedName>
    <definedName name="RdsonBot">'Variable Management'!$B$198</definedName>
    <definedName name="RdsonBotTc">'Variable Management'!$B$199</definedName>
    <definedName name="RdsonDRB">'Variable Management'!$B$178</definedName>
    <definedName name="RdsonDRB2">'Variable Management'!$B$179</definedName>
    <definedName name="RdsonDRT">'Variable Management'!$B$175</definedName>
    <definedName name="RdsonDRT2">'Variable Management'!$B$176</definedName>
    <definedName name="RdsonTop">'Variable Management'!$B$185</definedName>
    <definedName name="RdsonTopTc">'Variable Management'!$B$186</definedName>
    <definedName name="Resrmax">'Variable Management'!$B$72</definedName>
    <definedName name="Rfadj">'Variable Management'!$B$15</definedName>
    <definedName name="Rfb2_u">'Variable Management'!$B$128</definedName>
    <definedName name="Rfets">'Variable Management'!$B$156</definedName>
    <definedName name="RGateBot">'Variable Management'!$B$203</definedName>
    <definedName name="RGateTop">'Variable Management'!$B$191</definedName>
    <definedName name="Rh">'Variable Management'!$B$113</definedName>
    <definedName name="Rilim_Rdson">'Variable Management'!$B$56</definedName>
    <definedName name="Rilim_Rdson_ideal">'Variable Management'!$B$55</definedName>
    <definedName name="Rilim_shunt">'Variable Management'!$B$60</definedName>
    <definedName name="Rilim_shunt_ideal">'Variable Management'!$B$59</definedName>
    <definedName name="Ro">'Variable Management'!$B$153</definedName>
    <definedName name="Rpg">'Variable Management'!$B$111</definedName>
    <definedName name="Rsb">'Variable Management'!$B$112</definedName>
    <definedName name="Rshunt">'Variable Management'!$B$58</definedName>
    <definedName name="Ruvlo1">'Variable Management'!$B$97</definedName>
    <definedName name="Ruvlo2">'Variable Management'!$B$98</definedName>
    <definedName name="SCH_RDSON">'Schematic Management'!$B$5</definedName>
    <definedName name="SCH_SHUNT">'Schematic Management'!$B$8</definedName>
    <definedName name="Ta">'Variable Management'!$B$167</definedName>
    <definedName name="Tf">'Variable Management'!$B$217</definedName>
    <definedName name="ThetaCa">'Variable Management'!$B$170</definedName>
    <definedName name="ThetaJaBot">'Variable Management'!$B$207</definedName>
    <definedName name="ThetaJaCtrl">'Variable Management'!$B$213</definedName>
    <definedName name="ThetaJaTop">'Variable Management'!$B$196</definedName>
    <definedName name="TL">'Variable Management'!$B$44</definedName>
    <definedName name="Tr">'Variable Management'!$B$216</definedName>
    <definedName name="TrrBot">'Variable Management'!$B$206</definedName>
    <definedName name="Tss">'Variable Management'!$B$88</definedName>
    <definedName name="VARIANT">'Variable Management'!$V$12</definedName>
    <definedName name="Vdd">'Variable Management'!$B$173</definedName>
    <definedName name="VfdSky">'Variable Management'!$B$209</definedName>
    <definedName name="Vin">'Variable Management'!$B$7</definedName>
    <definedName name="VIN_MAX_RATING">'Variable Management'!$U$13</definedName>
    <definedName name="VIN_MIN_RATING">'Variable Management'!$U$14</definedName>
    <definedName name="Vinmax">'Variable Management'!$B$9</definedName>
    <definedName name="Vinmin">'Variable Management'!$B$8</definedName>
    <definedName name="Vinripple1">'Variable Management'!$B$78</definedName>
    <definedName name="Vinripple2">'Variable Management'!$B$84</definedName>
    <definedName name="VINuvlo_off">'Variable Management'!$B$96</definedName>
    <definedName name="VINuvlo_on">'Variable Management'!$B$95</definedName>
    <definedName name="Vout">'Variable Management'!$B$10</definedName>
    <definedName name="VOUT_MAX_RATING">'Variable Management'!$U$15</definedName>
    <definedName name="Vramp">'Variable Management'!$B$131</definedName>
    <definedName name="Vref">'Variable Management'!$B$14</definedName>
    <definedName name="Vripple1">'Variable Management'!$B$41</definedName>
    <definedName name="Vripple2">'Variable Management'!$B$74</definedName>
    <definedName name="VsdBot">'Variable Management'!$B$204</definedName>
    <definedName name="VsdTop">'Variable Management'!$B$195</definedName>
    <definedName name="VspTop">'Variable Management'!$B$194</definedName>
    <definedName name="VthTop">'Variable Management'!$B$193</definedName>
    <definedName name="Vuvlo_hys">'Variable Management'!$B$106</definedName>
    <definedName name="Vuvlo_off">'Variable Management'!$B$105</definedName>
    <definedName name="Vuvlo_on">'Variable Management'!$B$104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 i="4" l="1"/>
  <c r="A270" i="2"/>
  <c r="D63" i="16"/>
  <c r="U15" i="2"/>
  <c r="C63" i="16"/>
  <c r="I63" i="16"/>
  <c r="U14" i="2"/>
  <c r="U13" i="2"/>
  <c r="U12" i="2"/>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9" i="4"/>
  <c r="B249" i="2"/>
  <c r="F70" i="1"/>
  <c r="F69" i="1"/>
  <c r="F68" i="1"/>
  <c r="F67" i="1"/>
  <c r="A68" i="1"/>
  <c r="B190" i="2"/>
  <c r="B202" i="2"/>
  <c r="B201" i="2"/>
  <c r="L42" i="16"/>
  <c r="L59" i="16"/>
  <c r="A50" i="16"/>
  <c r="A49" i="16"/>
  <c r="L50" i="16"/>
  <c r="L49" i="16"/>
  <c r="A43" i="16"/>
  <c r="L43" i="16" s="1"/>
  <c r="C43" i="16"/>
  <c r="B13" i="2"/>
  <c r="B15" i="2" s="1"/>
  <c r="R4" i="8" s="1"/>
  <c r="S4" i="8" s="1"/>
  <c r="A269" i="2"/>
  <c r="B12" i="2"/>
  <c r="E70" i="1" s="1"/>
  <c r="K50" i="16"/>
  <c r="K49" i="16"/>
  <c r="K44" i="16"/>
  <c r="K43" i="16"/>
  <c r="L48" i="16"/>
  <c r="K48" i="16"/>
  <c r="L62" i="16"/>
  <c r="L61" i="16"/>
  <c r="L60" i="16"/>
  <c r="L58" i="16"/>
  <c r="L57" i="16"/>
  <c r="L56" i="16"/>
  <c r="L55" i="16"/>
  <c r="L54" i="16"/>
  <c r="L53" i="16"/>
  <c r="L52" i="16"/>
  <c r="K62" i="16"/>
  <c r="K61" i="16"/>
  <c r="K60" i="16"/>
  <c r="K58" i="16"/>
  <c r="K56" i="16"/>
  <c r="K57" i="16"/>
  <c r="K55" i="16"/>
  <c r="K54" i="16"/>
  <c r="K53" i="16"/>
  <c r="K52" i="16"/>
  <c r="L47" i="16"/>
  <c r="L46" i="16"/>
  <c r="L45" i="16"/>
  <c r="K47" i="16"/>
  <c r="K46" i="16"/>
  <c r="K45" i="16"/>
  <c r="L41" i="16"/>
  <c r="L40" i="16"/>
  <c r="K42" i="16"/>
  <c r="K41" i="16"/>
  <c r="K40" i="16"/>
  <c r="L39" i="16"/>
  <c r="K39" i="16"/>
  <c r="L38" i="16"/>
  <c r="K38" i="16"/>
  <c r="L56" i="2"/>
  <c r="L52" i="2"/>
  <c r="L86" i="2"/>
  <c r="N86" i="2"/>
  <c r="N74" i="2"/>
  <c r="L74" i="2"/>
  <c r="C59" i="16"/>
  <c r="C56" i="16"/>
  <c r="B49" i="2"/>
  <c r="B58" i="2"/>
  <c r="B8" i="2"/>
  <c r="B9" i="2"/>
  <c r="S66" i="2" s="1"/>
  <c r="A2" i="17"/>
  <c r="B269" i="2"/>
  <c r="D49" i="16"/>
  <c r="I50" i="16"/>
  <c r="I49" i="16"/>
  <c r="B239" i="2"/>
  <c r="A239" i="2"/>
  <c r="D50" i="16"/>
  <c r="D56" i="16"/>
  <c r="D58" i="16"/>
  <c r="D62" i="16"/>
  <c r="C48" i="16"/>
  <c r="D47" i="16"/>
  <c r="D46" i="16"/>
  <c r="D38" i="16"/>
  <c r="B258" i="2"/>
  <c r="B95" i="2"/>
  <c r="B106" i="2"/>
  <c r="B109" i="2"/>
  <c r="B96" i="2"/>
  <c r="D73" i="1"/>
  <c r="B689" i="3"/>
  <c r="N688" i="3"/>
  <c r="B114" i="2"/>
  <c r="B73" i="2"/>
  <c r="E145" i="2"/>
  <c r="B124" i="2"/>
  <c r="B10" i="2"/>
  <c r="B11" i="2"/>
  <c r="H14" i="4" s="1"/>
  <c r="B71" i="2"/>
  <c r="B31" i="2"/>
  <c r="B18" i="4" s="1"/>
  <c r="B10" i="3"/>
  <c r="B11" i="3"/>
  <c r="B12" i="3"/>
  <c r="B13" i="3"/>
  <c r="B14" i="3"/>
  <c r="B15" i="3"/>
  <c r="B16" i="3"/>
  <c r="B17" i="3"/>
  <c r="B18" i="3"/>
  <c r="B9" i="3"/>
  <c r="B78" i="2"/>
  <c r="B59" i="4"/>
  <c r="B191" i="2"/>
  <c r="J200" i="2"/>
  <c r="B238" i="2"/>
  <c r="B243" i="2"/>
  <c r="B32" i="2"/>
  <c r="B7" i="2"/>
  <c r="B81" i="2"/>
  <c r="B248" i="2" s="1"/>
  <c r="B185" i="2"/>
  <c r="B37" i="4" s="1"/>
  <c r="B198" i="2"/>
  <c r="B49" i="4"/>
  <c r="B126" i="2"/>
  <c r="B207" i="2"/>
  <c r="B56" i="4" s="1"/>
  <c r="B209" i="2"/>
  <c r="B204" i="2"/>
  <c r="AG3" i="4" s="1"/>
  <c r="B88" i="2"/>
  <c r="B187" i="2"/>
  <c r="AL37" i="4" s="1"/>
  <c r="B200" i="2"/>
  <c r="B205" i="2"/>
  <c r="B195" i="2"/>
  <c r="B46" i="4" s="1"/>
  <c r="B60" i="4"/>
  <c r="B188" i="2"/>
  <c r="B40" i="4" s="1"/>
  <c r="B189" i="2"/>
  <c r="B41" i="4"/>
  <c r="B193" i="2"/>
  <c r="B192" i="2"/>
  <c r="B43" i="4" s="1"/>
  <c r="B279" i="2"/>
  <c r="B196" i="2"/>
  <c r="B47" i="4" s="1"/>
  <c r="B169" i="2"/>
  <c r="B83" i="2"/>
  <c r="B23" i="4"/>
  <c r="B186" i="2"/>
  <c r="B199" i="2"/>
  <c r="D6" i="6"/>
  <c r="D7" i="6"/>
  <c r="D9" i="6"/>
  <c r="D10" i="6"/>
  <c r="D2" i="11"/>
  <c r="D3" i="11"/>
  <c r="B5" i="11"/>
  <c r="D5" i="11" s="1"/>
  <c r="B15" i="4"/>
  <c r="B20" i="4"/>
  <c r="B21" i="4"/>
  <c r="B52" i="4"/>
  <c r="B55" i="4"/>
  <c r="AR9" i="3"/>
  <c r="A34" i="8"/>
  <c r="A46" i="8" s="1"/>
  <c r="A58" i="8"/>
  <c r="A70" i="8"/>
  <c r="A82" i="8" s="1"/>
  <c r="A94" i="8" s="1"/>
  <c r="A106" i="8" s="1"/>
  <c r="A118" i="8" s="1"/>
  <c r="A130" i="8" s="1"/>
  <c r="A35" i="8"/>
  <c r="A47" i="8" s="1"/>
  <c r="A59" i="8" s="1"/>
  <c r="A71" i="8" s="1"/>
  <c r="A83" i="8" s="1"/>
  <c r="A95" i="8" s="1"/>
  <c r="A36" i="8"/>
  <c r="A48" i="8"/>
  <c r="A60" i="8"/>
  <c r="A72" i="8" s="1"/>
  <c r="A84" i="8" s="1"/>
  <c r="A37" i="8"/>
  <c r="A49" i="8"/>
  <c r="A61" i="8" s="1"/>
  <c r="A38" i="8"/>
  <c r="A39" i="8"/>
  <c r="A40" i="8"/>
  <c r="A41" i="8"/>
  <c r="A53" i="8" s="1"/>
  <c r="A65" i="8" s="1"/>
  <c r="A77" i="8" s="1"/>
  <c r="A42" i="8"/>
  <c r="A54" i="8" s="1"/>
  <c r="A66" i="8"/>
  <c r="A78" i="8" s="1"/>
  <c r="A90" i="8" s="1"/>
  <c r="A43" i="8"/>
  <c r="A55" i="8" s="1"/>
  <c r="A44" i="8"/>
  <c r="A56" i="8" s="1"/>
  <c r="A68" i="8" s="1"/>
  <c r="A80" i="8" s="1"/>
  <c r="A45" i="8"/>
  <c r="A57" i="8"/>
  <c r="A69" i="8"/>
  <c r="A81" i="8" s="1"/>
  <c r="A93" i="8" s="1"/>
  <c r="A50" i="8"/>
  <c r="A62" i="8" s="1"/>
  <c r="A74" i="8"/>
  <c r="A86" i="8"/>
  <c r="A98" i="8" s="1"/>
  <c r="A110" i="8" s="1"/>
  <c r="A122" i="8" s="1"/>
  <c r="A134" i="8" s="1"/>
  <c r="A146" i="8" s="1"/>
  <c r="A51" i="8"/>
  <c r="A63" i="8" s="1"/>
  <c r="A52" i="8"/>
  <c r="A64" i="8" s="1"/>
  <c r="A76" i="8" s="1"/>
  <c r="A88" i="8"/>
  <c r="A100" i="8" s="1"/>
  <c r="AQ9" i="3"/>
  <c r="AR10" i="3"/>
  <c r="AQ10" i="3"/>
  <c r="AR11" i="3"/>
  <c r="AQ11" i="3"/>
  <c r="AR12" i="3"/>
  <c r="AQ12" i="3"/>
  <c r="AR13" i="3"/>
  <c r="AQ13" i="3"/>
  <c r="AR14" i="3"/>
  <c r="AQ14" i="3"/>
  <c r="AR15" i="3"/>
  <c r="AQ15" i="3"/>
  <c r="AR16" i="3"/>
  <c r="AQ16" i="3"/>
  <c r="AR17" i="3"/>
  <c r="AQ17" i="3"/>
  <c r="AR18" i="3"/>
  <c r="AQ18" i="3"/>
  <c r="A19" i="3"/>
  <c r="B19" i="3"/>
  <c r="A20" i="3"/>
  <c r="A21" i="3"/>
  <c r="B21" i="3"/>
  <c r="AR21" i="3"/>
  <c r="A22" i="3"/>
  <c r="A31" i="3"/>
  <c r="B31" i="3" s="1"/>
  <c r="A23" i="3"/>
  <c r="A24" i="3"/>
  <c r="B24" i="3" s="1"/>
  <c r="A25" i="3"/>
  <c r="A34" i="3"/>
  <c r="B34" i="3" s="1"/>
  <c r="A26" i="3"/>
  <c r="AR26" i="3" s="1"/>
  <c r="AQ26" i="3"/>
  <c r="A27" i="3"/>
  <c r="A30" i="3"/>
  <c r="AQ30" i="3" s="1"/>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AA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BD677" i="3"/>
  <c r="BD678" i="3"/>
  <c r="BK679" i="3"/>
  <c r="N682" i="3"/>
  <c r="N683" i="3"/>
  <c r="N684" i="3"/>
  <c r="N685" i="3"/>
  <c r="N686" i="3"/>
  <c r="N687" i="3"/>
  <c r="I3" i="8"/>
  <c r="J3" i="8"/>
  <c r="K3" i="8"/>
  <c r="L3" i="8"/>
  <c r="M3" i="8"/>
  <c r="N3" i="8"/>
  <c r="B41" i="2"/>
  <c r="A238" i="2"/>
  <c r="A241" i="2"/>
  <c r="B241" i="2"/>
  <c r="A243" i="2"/>
  <c r="A258" i="2"/>
  <c r="AQ27" i="3"/>
  <c r="AQ21" i="3"/>
  <c r="AQ19" i="3"/>
  <c r="B278" i="2"/>
  <c r="AR22" i="3"/>
  <c r="AQ20" i="3"/>
  <c r="B30" i="3"/>
  <c r="B22" i="3"/>
  <c r="AQ22" i="3"/>
  <c r="AR19" i="3"/>
  <c r="AR23" i="3"/>
  <c r="AL106" i="4"/>
  <c r="AL99" i="4"/>
  <c r="AL36" i="4"/>
  <c r="AL164" i="4"/>
  <c r="AL46" i="4"/>
  <c r="AL174" i="4"/>
  <c r="AL24" i="4"/>
  <c r="AL152" i="4"/>
  <c r="A35" i="3"/>
  <c r="AR24" i="3"/>
  <c r="A33" i="3"/>
  <c r="A28" i="3"/>
  <c r="B4" i="11"/>
  <c r="D4" i="11"/>
  <c r="B6" i="11"/>
  <c r="D6" i="11"/>
  <c r="AR30" i="3"/>
  <c r="B26" i="3"/>
  <c r="AM110" i="4"/>
  <c r="AK115" i="4"/>
  <c r="AK124" i="4"/>
  <c r="AK127" i="4"/>
  <c r="AK128" i="4"/>
  <c r="AK131" i="4"/>
  <c r="AK110" i="4"/>
  <c r="AK119" i="4"/>
  <c r="AK123" i="4"/>
  <c r="AK126" i="4"/>
  <c r="AK145" i="4"/>
  <c r="AK118" i="4"/>
  <c r="AK122" i="4"/>
  <c r="AK141" i="4"/>
  <c r="AM128" i="4"/>
  <c r="AK129" i="4"/>
  <c r="AK133" i="4"/>
  <c r="AK143" i="4"/>
  <c r="AK150" i="4"/>
  <c r="AK153" i="4"/>
  <c r="AK159" i="4"/>
  <c r="AK160" i="4"/>
  <c r="AM163" i="4"/>
  <c r="AK178" i="4"/>
  <c r="AK181" i="4"/>
  <c r="AK134" i="4"/>
  <c r="AK140" i="4"/>
  <c r="AK146" i="4"/>
  <c r="AK149" i="4"/>
  <c r="AK154" i="4"/>
  <c r="AK161" i="4"/>
  <c r="AK169" i="4"/>
  <c r="AK170" i="4"/>
  <c r="AK175" i="4"/>
  <c r="AK188" i="4"/>
  <c r="AK198" i="4"/>
  <c r="AK157" i="4"/>
  <c r="AK176" i="4"/>
  <c r="AK177" i="4"/>
  <c r="AK121" i="4"/>
  <c r="AK138" i="4"/>
  <c r="AK142" i="4"/>
  <c r="AK158" i="4"/>
  <c r="AK173" i="4"/>
  <c r="AK174" i="4"/>
  <c r="AK179" i="4"/>
  <c r="AM180" i="4"/>
  <c r="AK182" i="4"/>
  <c r="AK187" i="4"/>
  <c r="AK191" i="4"/>
  <c r="AK194" i="4"/>
  <c r="AK195" i="4"/>
  <c r="AK199" i="4"/>
  <c r="AK201" i="4"/>
  <c r="AK203" i="4"/>
  <c r="AK207" i="4"/>
  <c r="AK209" i="4"/>
  <c r="AK120" i="4"/>
  <c r="AK130" i="4"/>
  <c r="AK135" i="4"/>
  <c r="AK144" i="4"/>
  <c r="AK117" i="4"/>
  <c r="AK136" i="4"/>
  <c r="AK139" i="4"/>
  <c r="AK155" i="4"/>
  <c r="AK156" i="4"/>
  <c r="AK163" i="4"/>
  <c r="AK183" i="4"/>
  <c r="AK185" i="4"/>
  <c r="AK192" i="4"/>
  <c r="AK196" i="4"/>
  <c r="AK204" i="4"/>
  <c r="AK208" i="4"/>
  <c r="AK200" i="4"/>
  <c r="AK148" i="4"/>
  <c r="AK168" i="4"/>
  <c r="AK184" i="4"/>
  <c r="AK186" i="4"/>
  <c r="B90" i="2"/>
  <c r="B3" i="8" s="1"/>
  <c r="AK10" i="4"/>
  <c r="B19" i="4"/>
  <c r="AR34" i="3"/>
  <c r="AQ34" i="3"/>
  <c r="AQ24" i="3"/>
  <c r="AK24" i="4"/>
  <c r="AJ173" i="3"/>
  <c r="AJ565" i="3"/>
  <c r="AK57" i="4"/>
  <c r="C273" i="2"/>
  <c r="AJ19" i="3"/>
  <c r="AJ175" i="3"/>
  <c r="AJ264" i="3"/>
  <c r="AJ522" i="3"/>
  <c r="AJ512" i="3"/>
  <c r="AJ71" i="3"/>
  <c r="AJ553" i="3"/>
  <c r="AJ136" i="3"/>
  <c r="AJ545" i="3"/>
  <c r="AJ281" i="3"/>
  <c r="AJ634" i="3"/>
  <c r="AJ384" i="3"/>
  <c r="AJ475" i="3"/>
  <c r="AJ322" i="3"/>
  <c r="AJ434" i="3"/>
  <c r="AJ463" i="3"/>
  <c r="AJ200" i="3"/>
  <c r="AJ72" i="3"/>
  <c r="AJ241" i="3"/>
  <c r="AJ639" i="3"/>
  <c r="AJ394" i="3"/>
  <c r="AJ511" i="3"/>
  <c r="AJ105" i="3"/>
  <c r="AJ666" i="3"/>
  <c r="AJ576" i="3"/>
  <c r="AJ448" i="3"/>
  <c r="AJ303" i="3"/>
  <c r="AJ603" i="3"/>
  <c r="AJ347" i="3"/>
  <c r="AJ236" i="3"/>
  <c r="AJ18" i="3"/>
  <c r="AJ606" i="3"/>
  <c r="AJ187" i="3"/>
  <c r="AJ253" i="3"/>
  <c r="AJ296" i="3"/>
  <c r="AJ232" i="3"/>
  <c r="AJ168" i="3"/>
  <c r="AJ40" i="3"/>
  <c r="AJ85" i="3"/>
  <c r="AJ417" i="3"/>
  <c r="AJ671" i="3"/>
  <c r="AJ586" i="3"/>
  <c r="AJ458" i="3"/>
  <c r="AJ323" i="3"/>
  <c r="AJ383" i="3"/>
  <c r="AJ41" i="3"/>
  <c r="AJ153" i="3"/>
  <c r="AJ373" i="3"/>
  <c r="AJ501" i="3"/>
  <c r="AJ674" i="3"/>
  <c r="AJ608" i="3"/>
  <c r="AJ544" i="3"/>
  <c r="AJ480" i="3"/>
  <c r="AJ416" i="3"/>
  <c r="AJ352" i="3"/>
  <c r="AJ239" i="3"/>
  <c r="AJ91" i="3"/>
  <c r="AJ411" i="3"/>
  <c r="AJ229" i="3"/>
  <c r="AJ278" i="3"/>
  <c r="AJ194" i="3"/>
  <c r="AJ108" i="3"/>
  <c r="AJ28" i="3"/>
  <c r="AJ377" i="3"/>
  <c r="AJ518" i="3"/>
  <c r="AJ141" i="3"/>
  <c r="AJ688" i="3"/>
  <c r="AK25" i="4"/>
  <c r="B53" i="4"/>
  <c r="AJ375" i="3"/>
  <c r="AJ551" i="3"/>
  <c r="AJ312" i="3"/>
  <c r="AJ280" i="3"/>
  <c r="AJ248" i="3"/>
  <c r="AJ216" i="3"/>
  <c r="AJ184" i="3"/>
  <c r="AJ120" i="3"/>
  <c r="AJ88" i="3"/>
  <c r="AJ56" i="3"/>
  <c r="AJ29" i="3"/>
  <c r="AJ16" i="3"/>
  <c r="AJ95" i="3"/>
  <c r="AJ353" i="3"/>
  <c r="AJ609" i="3"/>
  <c r="AJ655" i="3"/>
  <c r="AJ618" i="3"/>
  <c r="AJ554" i="3"/>
  <c r="AJ490" i="3"/>
  <c r="AJ426" i="3"/>
  <c r="AJ362" i="3"/>
  <c r="AJ131" i="3"/>
  <c r="AJ575" i="3"/>
  <c r="AJ447" i="3"/>
  <c r="AJ301" i="3"/>
  <c r="AJ73" i="3"/>
  <c r="AJ47" i="3"/>
  <c r="AJ217" i="3"/>
  <c r="AJ405" i="3"/>
  <c r="AJ469" i="3"/>
  <c r="AJ533" i="3"/>
  <c r="AJ597" i="3"/>
  <c r="AJ687" i="3"/>
  <c r="AJ658" i="3"/>
  <c r="AJ642" i="3"/>
  <c r="AJ592" i="3"/>
  <c r="AJ560" i="3"/>
  <c r="AJ528" i="3"/>
  <c r="AJ496" i="3"/>
  <c r="AJ464" i="3"/>
  <c r="AJ432" i="3"/>
  <c r="AJ400" i="3"/>
  <c r="AJ335" i="3"/>
  <c r="AJ271" i="3"/>
  <c r="AJ207" i="3"/>
  <c r="AJ143" i="3"/>
  <c r="AJ14" i="3"/>
  <c r="AJ571" i="3"/>
  <c r="AJ507" i="3"/>
  <c r="AJ379" i="3"/>
  <c r="AJ293" i="3"/>
  <c r="AJ165" i="3"/>
  <c r="AJ300" i="3"/>
  <c r="AJ258" i="3"/>
  <c r="AJ214" i="3"/>
  <c r="AJ172" i="3"/>
  <c r="AJ86" i="3"/>
  <c r="AJ44" i="3"/>
  <c r="AJ13" i="3"/>
  <c r="AJ61" i="3"/>
  <c r="AJ257" i="3"/>
  <c r="AJ465" i="3"/>
  <c r="AJ675" i="3"/>
  <c r="AJ562" i="3"/>
  <c r="AJ478" i="3"/>
  <c r="AJ390" i="3"/>
  <c r="AJ275" i="3"/>
  <c r="AJ83" i="3"/>
  <c r="AK67" i="4"/>
  <c r="AK89" i="4"/>
  <c r="AJ583" i="3"/>
  <c r="B25" i="4"/>
  <c r="B171" i="2"/>
  <c r="AJ333" i="3"/>
  <c r="AJ423" i="3"/>
  <c r="AJ503" i="3"/>
  <c r="AJ591" i="3"/>
  <c r="AJ320" i="3"/>
  <c r="AJ304" i="3"/>
  <c r="AJ288" i="3"/>
  <c r="AJ272" i="3"/>
  <c r="AJ256" i="3"/>
  <c r="AJ240" i="3"/>
  <c r="AJ224" i="3"/>
  <c r="AJ192" i="3"/>
  <c r="AJ176" i="3"/>
  <c r="AJ160" i="3"/>
  <c r="AJ144" i="3"/>
  <c r="AJ128" i="3"/>
  <c r="AJ112" i="3"/>
  <c r="AJ96" i="3"/>
  <c r="AJ64" i="3"/>
  <c r="AJ48" i="3"/>
  <c r="AJ35" i="3"/>
  <c r="AJ24" i="3"/>
  <c r="AJ11" i="3"/>
  <c r="AJ53" i="3"/>
  <c r="AJ117" i="3"/>
  <c r="AJ305" i="3"/>
  <c r="AJ385" i="3"/>
  <c r="AJ449" i="3"/>
  <c r="AJ513" i="3"/>
  <c r="AJ577" i="3"/>
  <c r="AJ682" i="3"/>
  <c r="AJ663" i="3"/>
  <c r="AJ631" i="3"/>
  <c r="AJ602" i="3"/>
  <c r="AJ570" i="3"/>
  <c r="AJ538" i="3"/>
  <c r="AJ506" i="3"/>
  <c r="AJ474" i="3"/>
  <c r="AJ442" i="3"/>
  <c r="AJ378" i="3"/>
  <c r="AJ346" i="3"/>
  <c r="AJ291" i="3"/>
  <c r="AJ227" i="3"/>
  <c r="AJ163" i="3"/>
  <c r="AJ67" i="3"/>
  <c r="AJ607" i="3"/>
  <c r="AJ479" i="3"/>
  <c r="AJ415" i="3"/>
  <c r="AJ351" i="3"/>
  <c r="AJ237" i="3"/>
  <c r="AJ87" i="3"/>
  <c r="AJ57" i="3"/>
  <c r="AJ89" i="3"/>
  <c r="AJ111" i="3"/>
  <c r="AJ185" i="3"/>
  <c r="AJ249" i="3"/>
  <c r="AJ313" i="3"/>
  <c r="AJ357" i="3"/>
  <c r="AJ389" i="3"/>
  <c r="AJ421" i="3"/>
  <c r="AJ485" i="3"/>
  <c r="AJ517" i="3"/>
  <c r="AJ549" i="3"/>
  <c r="AJ581" i="3"/>
  <c r="AJ613" i="3"/>
  <c r="AJ683" i="3"/>
  <c r="AJ670" i="3"/>
  <c r="AJ654" i="3"/>
  <c r="AJ646" i="3"/>
  <c r="AJ638" i="3"/>
  <c r="AJ630" i="3"/>
  <c r="AJ616" i="3"/>
  <c r="AJ600" i="3"/>
  <c r="AJ584" i="3"/>
  <c r="AJ568" i="3"/>
  <c r="AJ552" i="3"/>
  <c r="AJ536" i="3"/>
  <c r="AJ520" i="3"/>
  <c r="AJ504" i="3"/>
  <c r="AJ488" i="3"/>
  <c r="AJ472" i="3"/>
  <c r="AJ456" i="3"/>
  <c r="AJ440" i="3"/>
  <c r="AJ424" i="3"/>
  <c r="AJ408" i="3"/>
  <c r="AJ392" i="3"/>
  <c r="AJ376" i="3"/>
  <c r="AJ360" i="3"/>
  <c r="AJ344" i="3"/>
  <c r="AJ319" i="3"/>
  <c r="AJ287" i="3"/>
  <c r="AJ255" i="3"/>
  <c r="AJ223" i="3"/>
  <c r="AJ191" i="3"/>
  <c r="AJ159" i="3"/>
  <c r="AJ123" i="3"/>
  <c r="AJ59" i="3"/>
  <c r="AJ619" i="3"/>
  <c r="AJ587" i="3"/>
  <c r="AJ555" i="3"/>
  <c r="AJ523" i="3"/>
  <c r="AJ491" i="3"/>
  <c r="AJ459" i="3"/>
  <c r="AJ427" i="3"/>
  <c r="AJ395" i="3"/>
  <c r="AJ363" i="3"/>
  <c r="AJ325" i="3"/>
  <c r="AJ261" i="3"/>
  <c r="AJ197" i="3"/>
  <c r="AJ133" i="3"/>
  <c r="AJ34" i="3"/>
  <c r="AK98" i="4"/>
  <c r="AJ332" i="3"/>
  <c r="AJ310" i="3"/>
  <c r="AJ290" i="3"/>
  <c r="AJ268" i="3"/>
  <c r="AJ246" i="3"/>
  <c r="AJ226" i="3"/>
  <c r="AJ204" i="3"/>
  <c r="AJ182" i="3"/>
  <c r="AJ162" i="3"/>
  <c r="AJ140" i="3"/>
  <c r="AJ118" i="3"/>
  <c r="AJ98" i="3"/>
  <c r="AJ76" i="3"/>
  <c r="AJ54" i="3"/>
  <c r="AJ36" i="3"/>
  <c r="AJ21" i="3"/>
  <c r="AJ101" i="3"/>
  <c r="AJ161" i="3"/>
  <c r="AJ337" i="3"/>
  <c r="AJ425" i="3"/>
  <c r="AJ505" i="3"/>
  <c r="AJ593" i="3"/>
  <c r="AJ669" i="3"/>
  <c r="AJ649" i="3"/>
  <c r="AJ626" i="3"/>
  <c r="AJ582" i="3"/>
  <c r="AJ542" i="3"/>
  <c r="AJ498" i="3"/>
  <c r="AJ454" i="3"/>
  <c r="AJ414" i="3"/>
  <c r="AJ370" i="3"/>
  <c r="AJ315" i="3"/>
  <c r="AJ235" i="3"/>
  <c r="AJ147" i="3"/>
  <c r="AK77" i="4"/>
  <c r="AK45" i="4"/>
  <c r="AK90" i="4"/>
  <c r="AK78" i="4"/>
  <c r="AK36" i="4"/>
  <c r="AJ359" i="3"/>
  <c r="AJ471" i="3"/>
  <c r="AK106" i="4"/>
  <c r="AK38" i="4"/>
  <c r="AK108" i="4"/>
  <c r="AK14" i="4"/>
  <c r="AK35" i="4"/>
  <c r="AK56" i="4"/>
  <c r="AK79" i="4"/>
  <c r="AK100" i="4"/>
  <c r="AK42" i="4"/>
  <c r="AK34" i="4"/>
  <c r="AK96" i="4"/>
  <c r="AK68" i="4"/>
  <c r="AK47" i="4"/>
  <c r="B54" i="4"/>
  <c r="B39" i="4"/>
  <c r="AJ55" i="3"/>
  <c r="AJ205" i="3"/>
  <c r="AJ317" i="3"/>
  <c r="AJ391" i="3"/>
  <c r="AJ439" i="3"/>
  <c r="AJ495" i="3"/>
  <c r="AJ559" i="3"/>
  <c r="AJ615" i="3"/>
  <c r="AJ26" i="3"/>
  <c r="AJ115" i="3"/>
  <c r="AJ171" i="3"/>
  <c r="AJ211" i="3"/>
  <c r="AJ251" i="3"/>
  <c r="AJ299" i="3"/>
  <c r="AJ338" i="3"/>
  <c r="AJ358" i="3"/>
  <c r="AJ382" i="3"/>
  <c r="AJ402" i="3"/>
  <c r="AJ422" i="3"/>
  <c r="AJ446" i="3"/>
  <c r="AJ466" i="3"/>
  <c r="AJ486" i="3"/>
  <c r="AJ510" i="3"/>
  <c r="AJ530" i="3"/>
  <c r="AJ550" i="3"/>
  <c r="AJ574" i="3"/>
  <c r="AJ594" i="3"/>
  <c r="AJ614" i="3"/>
  <c r="AJ633" i="3"/>
  <c r="AJ643" i="3"/>
  <c r="AJ653" i="3"/>
  <c r="AJ665" i="3"/>
  <c r="AJ686" i="3"/>
  <c r="AJ617" i="3"/>
  <c r="AJ569" i="3"/>
  <c r="AJ529" i="3"/>
  <c r="AJ489" i="3"/>
  <c r="AJ441" i="3"/>
  <c r="AJ401" i="3"/>
  <c r="AJ361" i="3"/>
  <c r="AJ289" i="3"/>
  <c r="AJ209" i="3"/>
  <c r="AJ127" i="3"/>
  <c r="AJ125" i="3"/>
  <c r="AJ77" i="3"/>
  <c r="AJ30" i="3"/>
  <c r="AJ17" i="3"/>
  <c r="AJ25" i="3"/>
  <c r="AJ32" i="3"/>
  <c r="AJ38" i="3"/>
  <c r="AJ50" i="3"/>
  <c r="AJ60" i="3"/>
  <c r="AJ70" i="3"/>
  <c r="AJ82" i="3"/>
  <c r="AJ92" i="3"/>
  <c r="AJ102" i="3"/>
  <c r="AJ114" i="3"/>
  <c r="AJ124" i="3"/>
  <c r="AJ134" i="3"/>
  <c r="AJ146" i="3"/>
  <c r="AJ156" i="3"/>
  <c r="AJ166" i="3"/>
  <c r="AJ178" i="3"/>
  <c r="AJ188" i="3"/>
  <c r="AJ198" i="3"/>
  <c r="AJ210" i="3"/>
  <c r="AJ220" i="3"/>
  <c r="AJ230" i="3"/>
  <c r="AJ242" i="3"/>
  <c r="AJ252" i="3"/>
  <c r="AJ262" i="3"/>
  <c r="AJ274" i="3"/>
  <c r="AJ284" i="3"/>
  <c r="AJ294" i="3"/>
  <c r="AJ306" i="3"/>
  <c r="AJ316" i="3"/>
  <c r="AJ326" i="3"/>
  <c r="AJ39" i="3"/>
  <c r="AJ103" i="3"/>
  <c r="AJ149" i="3"/>
  <c r="AJ181" i="3"/>
  <c r="AJ213" i="3"/>
  <c r="AJ245" i="3"/>
  <c r="AJ277" i="3"/>
  <c r="AJ309" i="3"/>
  <c r="AJ339" i="3"/>
  <c r="AJ355" i="3"/>
  <c r="AJ371" i="3"/>
  <c r="AJ387" i="3"/>
  <c r="AJ403" i="3"/>
  <c r="AJ419" i="3"/>
  <c r="AJ435" i="3"/>
  <c r="AJ451" i="3"/>
  <c r="AJ467" i="3"/>
  <c r="AJ483" i="3"/>
  <c r="AJ499" i="3"/>
  <c r="AJ515" i="3"/>
  <c r="AJ531" i="3"/>
  <c r="AJ547" i="3"/>
  <c r="AJ563" i="3"/>
  <c r="AJ579" i="3"/>
  <c r="AJ595" i="3"/>
  <c r="AJ611" i="3"/>
  <c r="AJ627" i="3"/>
  <c r="AJ43" i="3"/>
  <c r="AJ75" i="3"/>
  <c r="AJ107" i="3"/>
  <c r="AJ135" i="3"/>
  <c r="AJ151" i="3"/>
  <c r="AJ167" i="3"/>
  <c r="AJ183" i="3"/>
  <c r="AJ199" i="3"/>
  <c r="AJ215" i="3"/>
  <c r="AJ231" i="3"/>
  <c r="AJ247" i="3"/>
  <c r="AJ263" i="3"/>
  <c r="AJ279" i="3"/>
  <c r="AJ295" i="3"/>
  <c r="AJ311" i="3"/>
  <c r="AJ327" i="3"/>
  <c r="AJ340" i="3"/>
  <c r="AJ348" i="3"/>
  <c r="AJ356" i="3"/>
  <c r="AJ364" i="3"/>
  <c r="AJ372" i="3"/>
  <c r="AJ380" i="3"/>
  <c r="AJ388" i="3"/>
  <c r="AJ396" i="3"/>
  <c r="AJ404" i="3"/>
  <c r="AJ412" i="3"/>
  <c r="AJ420" i="3"/>
  <c r="AJ428" i="3"/>
  <c r="AJ436" i="3"/>
  <c r="AJ444" i="3"/>
  <c r="AJ452" i="3"/>
  <c r="AJ460" i="3"/>
  <c r="AJ468" i="3"/>
  <c r="AJ476" i="3"/>
  <c r="AJ484" i="3"/>
  <c r="AJ492" i="3"/>
  <c r="AJ500" i="3"/>
  <c r="AJ508" i="3"/>
  <c r="AJ516" i="3"/>
  <c r="AJ524" i="3"/>
  <c r="AJ532" i="3"/>
  <c r="AJ540" i="3"/>
  <c r="AJ548" i="3"/>
  <c r="AJ556" i="3"/>
  <c r="AJ564" i="3"/>
  <c r="AJ572" i="3"/>
  <c r="AJ580" i="3"/>
  <c r="AJ588" i="3"/>
  <c r="AJ596" i="3"/>
  <c r="AJ604" i="3"/>
  <c r="AJ612" i="3"/>
  <c r="AJ620" i="3"/>
  <c r="AJ628" i="3"/>
  <c r="AJ632" i="3"/>
  <c r="AJ636" i="3"/>
  <c r="AJ640" i="3"/>
  <c r="AJ644" i="3"/>
  <c r="AJ648" i="3"/>
  <c r="AJ652" i="3"/>
  <c r="AJ656" i="3"/>
  <c r="AJ660" i="3"/>
  <c r="AJ664" i="3"/>
  <c r="AJ668" i="3"/>
  <c r="AJ672" i="3"/>
  <c r="AJ685" i="3"/>
  <c r="AJ676" i="3"/>
  <c r="AJ621" i="3"/>
  <c r="AJ605" i="3"/>
  <c r="AJ589" i="3"/>
  <c r="AJ573" i="3"/>
  <c r="AJ557" i="3"/>
  <c r="AJ541" i="3"/>
  <c r="AJ525" i="3"/>
  <c r="AJ509" i="3"/>
  <c r="AJ493" i="3"/>
  <c r="AJ477" i="3"/>
  <c r="AJ461" i="3"/>
  <c r="AJ445" i="3"/>
  <c r="AJ429" i="3"/>
  <c r="AJ413" i="3"/>
  <c r="AJ397" i="3"/>
  <c r="AJ381" i="3"/>
  <c r="AJ365" i="3"/>
  <c r="AJ349" i="3"/>
  <c r="AJ329" i="3"/>
  <c r="AJ297" i="3"/>
  <c r="AJ265" i="3"/>
  <c r="AJ233" i="3"/>
  <c r="AJ201" i="3"/>
  <c r="AJ169" i="3"/>
  <c r="AJ137" i="3"/>
  <c r="AJ79" i="3"/>
  <c r="AJ129" i="3"/>
  <c r="AJ113" i="3"/>
  <c r="AJ97" i="3"/>
  <c r="AJ81" i="3"/>
  <c r="AJ65" i="3"/>
  <c r="AJ49" i="3"/>
  <c r="AK74" i="4"/>
  <c r="AK20" i="4"/>
  <c r="AK31" i="4"/>
  <c r="AK41" i="4"/>
  <c r="AK52" i="4"/>
  <c r="AK63" i="4"/>
  <c r="AK73" i="4"/>
  <c r="AK84" i="4"/>
  <c r="AK101" i="4"/>
  <c r="AK58" i="4"/>
  <c r="AK18" i="4"/>
  <c r="AK22" i="4"/>
  <c r="AK82" i="4"/>
  <c r="AK107" i="4"/>
  <c r="AK95" i="4"/>
  <c r="AK83" i="4"/>
  <c r="AK72" i="4"/>
  <c r="AK61" i="4"/>
  <c r="AK51" i="4"/>
  <c r="AK40" i="4"/>
  <c r="AK29" i="4"/>
  <c r="AK19" i="4"/>
  <c r="AK103" i="4"/>
  <c r="AK104" i="4"/>
  <c r="AK87" i="4"/>
  <c r="AK66" i="4"/>
  <c r="D145" i="2"/>
  <c r="B24" i="4"/>
  <c r="AJ527" i="3"/>
  <c r="AJ407" i="3"/>
  <c r="AJ269" i="3"/>
  <c r="AJ157" i="3"/>
  <c r="AJ119" i="3"/>
  <c r="AJ189" i="3"/>
  <c r="AJ221" i="3"/>
  <c r="AJ285" i="3"/>
  <c r="AJ343" i="3"/>
  <c r="AJ367" i="3"/>
  <c r="AJ399" i="3"/>
  <c r="AJ431" i="3"/>
  <c r="AJ455" i="3"/>
  <c r="AJ487" i="3"/>
  <c r="AJ519" i="3"/>
  <c r="AJ535" i="3"/>
  <c r="AJ567" i="3"/>
  <c r="AJ599" i="3"/>
  <c r="AJ623" i="3"/>
  <c r="AJ12" i="3"/>
  <c r="AJ51" i="3"/>
  <c r="AJ99" i="3"/>
  <c r="AJ139" i="3"/>
  <c r="AJ155" i="3"/>
  <c r="AJ179" i="3"/>
  <c r="AJ203" i="3"/>
  <c r="AJ219" i="3"/>
  <c r="AJ243" i="3"/>
  <c r="AJ267" i="3"/>
  <c r="AJ283" i="3"/>
  <c r="AJ307" i="3"/>
  <c r="AJ331" i="3"/>
  <c r="AJ342" i="3"/>
  <c r="AJ354" i="3"/>
  <c r="AJ366" i="3"/>
  <c r="AJ374" i="3"/>
  <c r="AJ386" i="3"/>
  <c r="AJ398" i="3"/>
  <c r="AJ406" i="3"/>
  <c r="AJ418" i="3"/>
  <c r="AJ430" i="3"/>
  <c r="AJ438" i="3"/>
  <c r="AJ450" i="3"/>
  <c r="AJ462" i="3"/>
  <c r="AJ470" i="3"/>
  <c r="AJ482" i="3"/>
  <c r="AJ494" i="3"/>
  <c r="AJ502" i="3"/>
  <c r="AJ514" i="3"/>
  <c r="AJ526" i="3"/>
  <c r="AJ534" i="3"/>
  <c r="AJ546" i="3"/>
  <c r="AJ558" i="3"/>
  <c r="AJ566" i="3"/>
  <c r="AJ578" i="3"/>
  <c r="AJ590" i="3"/>
  <c r="AJ598" i="3"/>
  <c r="AJ610" i="3"/>
  <c r="AJ622" i="3"/>
  <c r="AJ629" i="3"/>
  <c r="AJ635" i="3"/>
  <c r="AJ641" i="3"/>
  <c r="AJ645" i="3"/>
  <c r="AJ651" i="3"/>
  <c r="AJ657" i="3"/>
  <c r="AJ661" i="3"/>
  <c r="AJ667" i="3"/>
  <c r="AJ673" i="3"/>
  <c r="AJ684" i="3"/>
  <c r="AJ625" i="3"/>
  <c r="AJ601" i="3"/>
  <c r="AJ585" i="3"/>
  <c r="AJ561" i="3"/>
  <c r="AJ537" i="3"/>
  <c r="AJ521" i="3"/>
  <c r="AJ497" i="3"/>
  <c r="AJ473" i="3"/>
  <c r="AJ457" i="3"/>
  <c r="AJ433" i="3"/>
  <c r="AJ409" i="3"/>
  <c r="AJ393" i="3"/>
  <c r="AJ369" i="3"/>
  <c r="AJ345" i="3"/>
  <c r="AJ321" i="3"/>
  <c r="AJ273" i="3"/>
  <c r="AJ225" i="3"/>
  <c r="AJ193" i="3"/>
  <c r="AJ145" i="3"/>
  <c r="AJ63" i="3"/>
  <c r="AJ109" i="3"/>
  <c r="AJ93" i="3"/>
  <c r="AJ69" i="3"/>
  <c r="AJ45" i="3"/>
  <c r="AJ22" i="3"/>
  <c r="AJ10" i="3"/>
  <c r="AJ15" i="3"/>
  <c r="AJ20" i="3"/>
  <c r="AJ23" i="3"/>
  <c r="AJ27" i="3"/>
  <c r="AJ31" i="3"/>
  <c r="AJ33" i="3"/>
  <c r="AJ37" i="3"/>
  <c r="AJ42" i="3"/>
  <c r="AJ46" i="3"/>
  <c r="AJ52" i="3"/>
  <c r="AJ58" i="3"/>
  <c r="AJ62" i="3"/>
  <c r="AJ68" i="3"/>
  <c r="AJ74" i="3"/>
  <c r="AJ78" i="3"/>
  <c r="AJ84" i="3"/>
  <c r="AJ90" i="3"/>
  <c r="AJ94" i="3"/>
  <c r="AJ100" i="3"/>
  <c r="AJ106" i="3"/>
  <c r="AJ110" i="3"/>
  <c r="AJ116" i="3"/>
  <c r="AJ122" i="3"/>
  <c r="AJ126" i="3"/>
  <c r="AJ132" i="3"/>
  <c r="AJ138" i="3"/>
  <c r="AJ142" i="3"/>
  <c r="AJ148" i="3"/>
  <c r="AJ154" i="3"/>
  <c r="AJ158" i="3"/>
  <c r="AJ164" i="3"/>
  <c r="AJ170" i="3"/>
  <c r="AJ174" i="3"/>
  <c r="AJ180" i="3"/>
  <c r="AJ186" i="3"/>
  <c r="AJ190" i="3"/>
  <c r="AJ196" i="3"/>
  <c r="AJ202" i="3"/>
  <c r="AJ206" i="3"/>
  <c r="AJ212" i="3"/>
  <c r="AJ218" i="3"/>
  <c r="AJ222" i="3"/>
  <c r="AJ228" i="3"/>
  <c r="AJ234" i="3"/>
  <c r="AJ238" i="3"/>
  <c r="AJ244" i="3"/>
  <c r="AJ250" i="3"/>
  <c r="AJ254" i="3"/>
  <c r="AJ260" i="3"/>
  <c r="AJ266" i="3"/>
  <c r="AJ270" i="3"/>
  <c r="AJ276" i="3"/>
  <c r="AJ282" i="3"/>
  <c r="AJ286" i="3"/>
  <c r="AJ292" i="3"/>
  <c r="AJ298" i="3"/>
  <c r="AJ302" i="3"/>
  <c r="AJ308" i="3"/>
  <c r="AJ314" i="3"/>
  <c r="AJ318" i="3"/>
  <c r="AJ324" i="3"/>
  <c r="AJ330" i="3"/>
  <c r="AJ334" i="3"/>
  <c r="AK93" i="4"/>
  <c r="B280" i="2"/>
  <c r="AK9" i="4"/>
  <c r="AK17" i="4"/>
  <c r="AK23" i="4"/>
  <c r="AK28" i="4"/>
  <c r="AK33" i="4"/>
  <c r="AK39" i="4"/>
  <c r="AK44" i="4"/>
  <c r="AK49" i="4"/>
  <c r="AK55" i="4"/>
  <c r="AK60" i="4"/>
  <c r="AK65" i="4"/>
  <c r="AK71" i="4"/>
  <c r="AK76" i="4"/>
  <c r="AK80" i="4"/>
  <c r="AK94" i="4"/>
  <c r="AK99" i="4"/>
  <c r="AK62" i="4"/>
  <c r="AK46" i="4"/>
  <c r="AK26" i="4"/>
  <c r="AK12" i="4"/>
  <c r="AK13" i="4"/>
  <c r="AK30" i="4"/>
  <c r="B11" i="4"/>
  <c r="AK102" i="4"/>
  <c r="AK97" i="4"/>
  <c r="AK85" i="4"/>
  <c r="AK81" i="4"/>
  <c r="AK75" i="4"/>
  <c r="AK69" i="4"/>
  <c r="AK64" i="4"/>
  <c r="AK59" i="4"/>
  <c r="AK53" i="4"/>
  <c r="AK48" i="4"/>
  <c r="AK43" i="4"/>
  <c r="AK37" i="4"/>
  <c r="AK32" i="4"/>
  <c r="AK27" i="4"/>
  <c r="AK21" i="4"/>
  <c r="AK16" i="4"/>
  <c r="AK109" i="4"/>
  <c r="AK92" i="4"/>
  <c r="AK54" i="4"/>
  <c r="AK105" i="4"/>
  <c r="AK88" i="4"/>
  <c r="AK86" i="4"/>
  <c r="AK70" i="4"/>
  <c r="AK50" i="4"/>
  <c r="AK11" i="4"/>
  <c r="AJ9" i="3"/>
  <c r="B44" i="2"/>
  <c r="B42" i="4"/>
  <c r="B43" i="2"/>
  <c r="AK91" i="4"/>
  <c r="B148" i="2"/>
  <c r="C19" i="3" s="1"/>
  <c r="F3" i="8"/>
  <c r="AQ31" i="3"/>
  <c r="AR31" i="3"/>
  <c r="B27" i="3"/>
  <c r="B28" i="3"/>
  <c r="AR28" i="3"/>
  <c r="AQ28" i="3"/>
  <c r="AR33" i="3"/>
  <c r="B33" i="3"/>
  <c r="AQ33" i="3"/>
  <c r="B35" i="3"/>
  <c r="AQ35" i="3"/>
  <c r="AR35" i="3"/>
  <c r="B273" i="2"/>
  <c r="AM21" i="4"/>
  <c r="BG17" i="4"/>
  <c r="BG11" i="4"/>
  <c r="BQ11" i="4" s="1"/>
  <c r="BG16" i="4"/>
  <c r="BP16" i="4" s="1"/>
  <c r="AM109" i="4"/>
  <c r="AM70" i="4"/>
  <c r="BG9" i="4"/>
  <c r="AM66" i="4"/>
  <c r="BG15" i="4"/>
  <c r="BG13" i="4"/>
  <c r="BG14" i="4"/>
  <c r="BK14" i="4" s="1"/>
  <c r="AM44" i="4"/>
  <c r="BG12" i="4"/>
  <c r="BM12" i="4" s="1"/>
  <c r="AM32" i="4"/>
  <c r="AM63" i="4"/>
  <c r="AH204" i="4"/>
  <c r="AH198" i="4"/>
  <c r="AH121" i="4"/>
  <c r="AH188" i="4"/>
  <c r="AH166" i="4"/>
  <c r="AH132" i="4"/>
  <c r="AH186" i="4"/>
  <c r="BN14" i="4"/>
  <c r="BQ14" i="4"/>
  <c r="BJ14" i="4"/>
  <c r="BI14" i="4"/>
  <c r="BH14" i="4"/>
  <c r="BP14" i="4"/>
  <c r="BL14" i="4"/>
  <c r="BO14" i="4"/>
  <c r="BP15" i="4"/>
  <c r="BQ15" i="4"/>
  <c r="BJ15" i="4"/>
  <c r="BO15" i="4"/>
  <c r="BM9" i="4"/>
  <c r="BJ9" i="4"/>
  <c r="BL9" i="4"/>
  <c r="BH9" i="4"/>
  <c r="BO9" i="4"/>
  <c r="BQ9" i="4"/>
  <c r="BK9" i="4"/>
  <c r="BP9" i="4"/>
  <c r="BN9" i="4"/>
  <c r="BI9" i="4"/>
  <c r="BK16" i="4"/>
  <c r="BQ16" i="4"/>
  <c r="BI16" i="4"/>
  <c r="BO16" i="4"/>
  <c r="BM16" i="4"/>
  <c r="BL16" i="4"/>
  <c r="BJ16" i="4"/>
  <c r="BH16" i="4"/>
  <c r="BN16" i="4"/>
  <c r="BJ11" i="4"/>
  <c r="BN11" i="4"/>
  <c r="BO11" i="4"/>
  <c r="BM11" i="4"/>
  <c r="BI11" i="4"/>
  <c r="BK11" i="4"/>
  <c r="BP11" i="4"/>
  <c r="BH11" i="4"/>
  <c r="BJ12" i="4"/>
  <c r="BH12" i="4"/>
  <c r="BQ12" i="4"/>
  <c r="BO12" i="4"/>
  <c r="BK12" i="4"/>
  <c r="BO13" i="4"/>
  <c r="BK13" i="4"/>
  <c r="BP13" i="4"/>
  <c r="BM13" i="4"/>
  <c r="BL17" i="4"/>
  <c r="BH17" i="4"/>
  <c r="BQ17" i="4"/>
  <c r="BI17" i="4"/>
  <c r="AH184" i="4"/>
  <c r="AH139" i="4"/>
  <c r="AH141" i="4"/>
  <c r="AH154" i="4"/>
  <c r="AH201" i="4"/>
  <c r="AH127" i="4"/>
  <c r="AH183" i="4"/>
  <c r="AH205" i="4"/>
  <c r="AH125" i="4"/>
  <c r="AH208" i="4"/>
  <c r="AH32" i="4"/>
  <c r="AH179" i="4"/>
  <c r="AH171" i="4"/>
  <c r="AH134" i="4"/>
  <c r="AH150" i="4"/>
  <c r="AH119" i="4"/>
  <c r="AH138" i="4"/>
  <c r="AH200" i="4"/>
  <c r="AH29" i="4"/>
  <c r="AH170" i="4"/>
  <c r="AH192" i="4"/>
  <c r="AH118" i="4"/>
  <c r="AH71" i="4"/>
  <c r="AH89" i="4"/>
  <c r="AH81" i="4"/>
  <c r="AH51" i="4"/>
  <c r="AH108" i="4"/>
  <c r="AH92" i="4"/>
  <c r="AH56" i="4"/>
  <c r="AH88" i="4"/>
  <c r="AH22" i="4"/>
  <c r="AH37" i="4"/>
  <c r="AH27" i="4"/>
  <c r="AH99" i="4"/>
  <c r="AH15" i="4"/>
  <c r="AH28" i="4"/>
  <c r="AH16" i="4"/>
  <c r="AH72" i="4"/>
  <c r="AH177" i="4"/>
  <c r="AH160" i="4"/>
  <c r="AH155" i="4"/>
  <c r="AH187" i="4"/>
  <c r="AH33" i="4"/>
  <c r="AH95" i="4"/>
  <c r="AH55" i="4"/>
  <c r="AH21" i="4"/>
  <c r="AH161" i="4"/>
  <c r="AH122" i="4"/>
  <c r="AH128" i="4"/>
  <c r="AH182" i="4"/>
  <c r="AH144" i="4"/>
  <c r="AH133" i="4"/>
  <c r="AH176" i="4"/>
  <c r="AH190" i="4"/>
  <c r="AH168" i="4"/>
  <c r="AH162" i="4"/>
  <c r="AH202" i="4"/>
  <c r="AH111" i="4"/>
  <c r="AH191" i="4"/>
  <c r="AH135" i="4"/>
  <c r="AH158" i="4"/>
  <c r="AH203" i="4"/>
  <c r="AH120" i="4"/>
  <c r="AH123" i="4"/>
  <c r="AH163" i="4"/>
  <c r="AH145" i="4"/>
  <c r="AH197" i="4"/>
  <c r="AH199" i="4"/>
  <c r="AH189" i="4"/>
  <c r="AH196" i="4"/>
  <c r="AH113" i="4"/>
  <c r="AH157" i="4"/>
  <c r="AH209" i="4"/>
  <c r="AH137" i="4"/>
  <c r="AH207" i="4"/>
  <c r="AH52" i="4"/>
  <c r="AH101" i="4"/>
  <c r="AH42" i="4"/>
  <c r="AH30" i="4"/>
  <c r="AH126" i="4"/>
  <c r="AH164" i="4"/>
  <c r="AH172" i="4"/>
  <c r="AH167" i="4"/>
  <c r="AH194" i="4"/>
  <c r="AH173" i="4"/>
  <c r="AH169" i="4"/>
  <c r="AH142" i="4"/>
  <c r="AH149" i="4"/>
  <c r="AH185" i="4"/>
  <c r="AH195" i="4"/>
  <c r="AH112" i="4"/>
  <c r="AH206" i="4"/>
  <c r="AH129" i="4"/>
  <c r="AH178" i="4"/>
  <c r="AH153" i="4"/>
  <c r="AH115" i="4"/>
  <c r="AH181" i="4"/>
  <c r="AH152" i="4"/>
  <c r="AH117" i="4"/>
  <c r="AH174" i="4"/>
  <c r="AH131" i="4"/>
  <c r="AH147" i="4"/>
  <c r="AH10" i="4"/>
  <c r="AH107" i="4"/>
  <c r="AH75" i="4"/>
  <c r="AH87" i="4"/>
  <c r="AH165" i="4"/>
  <c r="AH110" i="4"/>
  <c r="AH159" i="4"/>
  <c r="AH116" i="4"/>
  <c r="AH124" i="4"/>
  <c r="AH114" i="4"/>
  <c r="AH130" i="4"/>
  <c r="AH180" i="4"/>
  <c r="AH175" i="4"/>
  <c r="AH146" i="4"/>
  <c r="AH143" i="4"/>
  <c r="AH148" i="4"/>
  <c r="AH151" i="4"/>
  <c r="AH140" i="4"/>
  <c r="AH156" i="4"/>
  <c r="AH193" i="4"/>
  <c r="AH136" i="4"/>
  <c r="AH23" i="4"/>
  <c r="AH60" i="4"/>
  <c r="AH31" i="4"/>
  <c r="AH9" i="4"/>
  <c r="AH26" i="4"/>
  <c r="AH80" i="4"/>
  <c r="AH100" i="4"/>
  <c r="AH41" i="4"/>
  <c r="AH18" i="4"/>
  <c r="AH105" i="4"/>
  <c r="AH35" i="4"/>
  <c r="AH24" i="4"/>
  <c r="AH69" i="4"/>
  <c r="AH57" i="4"/>
  <c r="AH54" i="4"/>
  <c r="AH82" i="4"/>
  <c r="AH104" i="4"/>
  <c r="AH48" i="4"/>
  <c r="AH47" i="4"/>
  <c r="AH25" i="4"/>
  <c r="AH109" i="4"/>
  <c r="AH62" i="4"/>
  <c r="AH59" i="4"/>
  <c r="AH50" i="4"/>
  <c r="AH76" i="4"/>
  <c r="AH36" i="4"/>
  <c r="AH93" i="4"/>
  <c r="AH40" i="4"/>
  <c r="AH17" i="4"/>
  <c r="AH106" i="4"/>
  <c r="AH44" i="4"/>
  <c r="AH11" i="4"/>
  <c r="AH43" i="4"/>
  <c r="AH97" i="4"/>
  <c r="AH98" i="4"/>
  <c r="AH84" i="4"/>
  <c r="AH67" i="4"/>
  <c r="AH49" i="4"/>
  <c r="AH102" i="4"/>
  <c r="AH61" i="4"/>
  <c r="AH39" i="4"/>
  <c r="AH14" i="4"/>
  <c r="AH64" i="4"/>
  <c r="AH77" i="4"/>
  <c r="AH85" i="4"/>
  <c r="AH79" i="4"/>
  <c r="AH38" i="4"/>
  <c r="AH86" i="4"/>
  <c r="AH53" i="4"/>
  <c r="AH94" i="4"/>
  <c r="AH58" i="4"/>
  <c r="AH96" i="4"/>
  <c r="AH20" i="4"/>
  <c r="AH83" i="4"/>
  <c r="AH74" i="4"/>
  <c r="AH91" i="4"/>
  <c r="AH103" i="4"/>
  <c r="AH66" i="4"/>
  <c r="AH13" i="4"/>
  <c r="AH46" i="4"/>
  <c r="AH70" i="4"/>
  <c r="AH78" i="4"/>
  <c r="AH34" i="4"/>
  <c r="AH90" i="4"/>
  <c r="AH63" i="4"/>
  <c r="AH73" i="4"/>
  <c r="AH19" i="4"/>
  <c r="AH68" i="4"/>
  <c r="AH12" i="4"/>
  <c r="AH45" i="4"/>
  <c r="AH65" i="4"/>
  <c r="D59" i="16"/>
  <c r="H76" i="4" l="1"/>
  <c r="H27" i="4"/>
  <c r="H115" i="4"/>
  <c r="H10" i="4"/>
  <c r="H136" i="4"/>
  <c r="H189" i="4"/>
  <c r="H51" i="4"/>
  <c r="H196" i="4"/>
  <c r="AJ196" i="4" s="1"/>
  <c r="H157" i="4"/>
  <c r="H202" i="4"/>
  <c r="H68" i="4"/>
  <c r="H125" i="4"/>
  <c r="H170" i="4"/>
  <c r="AI170" i="4" s="1"/>
  <c r="H144" i="4"/>
  <c r="H93" i="4"/>
  <c r="I93" i="4" s="1"/>
  <c r="J93" i="4" s="1"/>
  <c r="H138" i="4"/>
  <c r="AJ138" i="4" s="1"/>
  <c r="H16" i="4"/>
  <c r="AP16" i="4" s="1"/>
  <c r="H61" i="4"/>
  <c r="H106" i="4"/>
  <c r="H159" i="4"/>
  <c r="H29" i="4"/>
  <c r="I29" i="4" s="1"/>
  <c r="J29" i="4" s="1"/>
  <c r="H74" i="4"/>
  <c r="H204" i="4"/>
  <c r="I204" i="4" s="1"/>
  <c r="J204" i="4" s="1"/>
  <c r="N204" i="4" s="1"/>
  <c r="O204" i="4" s="1"/>
  <c r="Q204" i="4" s="1"/>
  <c r="H95" i="4"/>
  <c r="I95" i="4" s="1"/>
  <c r="J95" i="4" s="1"/>
  <c r="H183" i="4"/>
  <c r="H42" i="4"/>
  <c r="H188" i="4"/>
  <c r="H180" i="4"/>
  <c r="H12" i="4"/>
  <c r="AJ12" i="4" s="1"/>
  <c r="H91" i="4"/>
  <c r="H19" i="4"/>
  <c r="I19" i="4" s="1"/>
  <c r="H153" i="4"/>
  <c r="I153" i="4" s="1"/>
  <c r="H25" i="4"/>
  <c r="AP25" i="4" s="1"/>
  <c r="H107" i="4"/>
  <c r="AJ107" i="4" s="1"/>
  <c r="H198" i="4"/>
  <c r="H134" i="4"/>
  <c r="AP134" i="4" s="1"/>
  <c r="H172" i="4"/>
  <c r="I172" i="4" s="1"/>
  <c r="J172" i="4" s="1"/>
  <c r="R172" i="4" s="1"/>
  <c r="S172" i="4" s="1"/>
  <c r="T172" i="4" s="1"/>
  <c r="H44" i="4"/>
  <c r="H104" i="4"/>
  <c r="AJ104" i="4" s="1"/>
  <c r="H164" i="4"/>
  <c r="AJ164" i="4" s="1"/>
  <c r="H36" i="4"/>
  <c r="H112" i="4"/>
  <c r="H203" i="4"/>
  <c r="H143" i="4"/>
  <c r="AJ143" i="4" s="1"/>
  <c r="H83" i="4"/>
  <c r="H15" i="4"/>
  <c r="H181" i="4"/>
  <c r="H149" i="4"/>
  <c r="AJ149" i="4" s="1"/>
  <c r="H117" i="4"/>
  <c r="AP117" i="4" s="1"/>
  <c r="H85" i="4"/>
  <c r="H53" i="4"/>
  <c r="H21" i="4"/>
  <c r="H163" i="4"/>
  <c r="AP163" i="4" s="1"/>
  <c r="H99" i="4"/>
  <c r="H35" i="4"/>
  <c r="AP35" i="4" s="1"/>
  <c r="H194" i="4"/>
  <c r="I194" i="4" s="1"/>
  <c r="J194" i="4" s="1"/>
  <c r="H162" i="4"/>
  <c r="H130" i="4"/>
  <c r="H98" i="4"/>
  <c r="H66" i="4"/>
  <c r="H34" i="4"/>
  <c r="I34" i="4" s="1"/>
  <c r="H156" i="4"/>
  <c r="AP156" i="4" s="1"/>
  <c r="H28" i="4"/>
  <c r="H88" i="4"/>
  <c r="AP88" i="4" s="1"/>
  <c r="H148" i="4"/>
  <c r="H20" i="4"/>
  <c r="H96" i="4"/>
  <c r="H195" i="4"/>
  <c r="H135" i="4"/>
  <c r="I135" i="4" s="1"/>
  <c r="J135" i="4" s="1"/>
  <c r="R135" i="4" s="1"/>
  <c r="S135" i="4" s="1"/>
  <c r="T135" i="4" s="1"/>
  <c r="H75" i="4"/>
  <c r="H209" i="4"/>
  <c r="H177" i="4"/>
  <c r="AP177" i="4" s="1"/>
  <c r="H145" i="4"/>
  <c r="H113" i="4"/>
  <c r="I113" i="4" s="1"/>
  <c r="H81" i="4"/>
  <c r="H49" i="4"/>
  <c r="H17" i="4"/>
  <c r="AP17" i="4" s="1"/>
  <c r="H155" i="4"/>
  <c r="AP155" i="4" s="1"/>
  <c r="H87" i="4"/>
  <c r="I87" i="4" s="1"/>
  <c r="J87" i="4" s="1"/>
  <c r="H31" i="4"/>
  <c r="AJ31" i="4" s="1"/>
  <c r="H190" i="4"/>
  <c r="AP190" i="4" s="1"/>
  <c r="H158" i="4"/>
  <c r="I158" i="4" s="1"/>
  <c r="H126" i="4"/>
  <c r="H94" i="4"/>
  <c r="H62" i="4"/>
  <c r="AI62" i="4" s="1"/>
  <c r="H30" i="4"/>
  <c r="H128" i="4"/>
  <c r="I128" i="4" s="1"/>
  <c r="J128" i="4" s="1"/>
  <c r="H57" i="4"/>
  <c r="AP57" i="4" s="1"/>
  <c r="H38" i="4"/>
  <c r="AI38" i="4" s="1"/>
  <c r="H23" i="4"/>
  <c r="AP23" i="4" s="1"/>
  <c r="A35" i="16"/>
  <c r="H124" i="4"/>
  <c r="H184" i="4"/>
  <c r="H56" i="4"/>
  <c r="H116" i="4"/>
  <c r="AP116" i="4" s="1"/>
  <c r="H192" i="4"/>
  <c r="AJ192" i="4" s="1"/>
  <c r="H64" i="4"/>
  <c r="AI64" i="4" s="1"/>
  <c r="H179" i="4"/>
  <c r="AI179" i="4" s="1"/>
  <c r="H119" i="4"/>
  <c r="H55" i="4"/>
  <c r="H201" i="4"/>
  <c r="I201" i="4" s="1"/>
  <c r="J201" i="4" s="1"/>
  <c r="L201" i="4" s="1"/>
  <c r="H169" i="4"/>
  <c r="H137" i="4"/>
  <c r="AP137" i="4" s="1"/>
  <c r="H105" i="4"/>
  <c r="AP105" i="4" s="1"/>
  <c r="H73" i="4"/>
  <c r="H41" i="4"/>
  <c r="AP41" i="4" s="1"/>
  <c r="H207" i="4"/>
  <c r="H139" i="4"/>
  <c r="AJ139" i="4" s="1"/>
  <c r="H71" i="4"/>
  <c r="I71" i="4" s="1"/>
  <c r="J71" i="4" s="1"/>
  <c r="H11" i="4"/>
  <c r="H182" i="4"/>
  <c r="AJ182" i="4" s="1"/>
  <c r="H150" i="4"/>
  <c r="AI150" i="4" s="1"/>
  <c r="H118" i="4"/>
  <c r="H86" i="4"/>
  <c r="H54" i="4"/>
  <c r="H22" i="4"/>
  <c r="H60" i="4"/>
  <c r="I60" i="4" s="1"/>
  <c r="J60" i="4" s="1"/>
  <c r="H89" i="4"/>
  <c r="H70" i="4"/>
  <c r="AP70" i="4" s="1"/>
  <c r="H72" i="4"/>
  <c r="AJ72" i="4" s="1"/>
  <c r="H127" i="4"/>
  <c r="H109" i="4"/>
  <c r="H147" i="4"/>
  <c r="H122" i="4"/>
  <c r="AP122" i="4" s="1"/>
  <c r="H90" i="4"/>
  <c r="AJ90" i="4" s="1"/>
  <c r="H26" i="4"/>
  <c r="H108" i="4"/>
  <c r="AP108" i="4" s="1"/>
  <c r="H168" i="4"/>
  <c r="I168" i="4" s="1"/>
  <c r="J168" i="4" s="1"/>
  <c r="R168" i="4" s="1"/>
  <c r="S168" i="4" s="1"/>
  <c r="T168" i="4" s="1"/>
  <c r="H40" i="4"/>
  <c r="AJ40" i="4" s="1"/>
  <c r="H100" i="4"/>
  <c r="AI100" i="4" s="1"/>
  <c r="H176" i="4"/>
  <c r="H48" i="4"/>
  <c r="H175" i="4"/>
  <c r="AJ175" i="4" s="1"/>
  <c r="H111" i="4"/>
  <c r="H47" i="4"/>
  <c r="I47" i="4" s="1"/>
  <c r="J47" i="4" s="1"/>
  <c r="H197" i="4"/>
  <c r="AP197" i="4" s="1"/>
  <c r="H165" i="4"/>
  <c r="H133" i="4"/>
  <c r="AI133" i="4" s="1"/>
  <c r="H101" i="4"/>
  <c r="H69" i="4"/>
  <c r="AP69" i="4" s="1"/>
  <c r="H37" i="4"/>
  <c r="I37" i="4" s="1"/>
  <c r="J37" i="4" s="1"/>
  <c r="X37" i="4" s="1"/>
  <c r="Y37" i="4" s="1"/>
  <c r="H199" i="4"/>
  <c r="H131" i="4"/>
  <c r="AP131" i="4" s="1"/>
  <c r="H63" i="4"/>
  <c r="I63" i="4" s="1"/>
  <c r="J63" i="4" s="1"/>
  <c r="L63" i="4" s="1"/>
  <c r="H9" i="4"/>
  <c r="H178" i="4"/>
  <c r="H146" i="4"/>
  <c r="H114" i="4"/>
  <c r="H82" i="4"/>
  <c r="I82" i="4" s="1"/>
  <c r="J82" i="4" s="1"/>
  <c r="R82" i="4" s="1"/>
  <c r="S82" i="4" s="1"/>
  <c r="T82" i="4" s="1"/>
  <c r="H50" i="4"/>
  <c r="AP50" i="4" s="1"/>
  <c r="H18" i="4"/>
  <c r="I18" i="4" s="1"/>
  <c r="B14" i="4"/>
  <c r="H120" i="4"/>
  <c r="H52" i="4"/>
  <c r="AI52" i="4" s="1"/>
  <c r="H151" i="4"/>
  <c r="H185" i="4"/>
  <c r="I185" i="4" s="1"/>
  <c r="J185" i="4" s="1"/>
  <c r="X185" i="4" s="1"/>
  <c r="Y185" i="4" s="1"/>
  <c r="H121" i="4"/>
  <c r="AI121" i="4" s="1"/>
  <c r="H171" i="4"/>
  <c r="AP171" i="4" s="1"/>
  <c r="H43" i="4"/>
  <c r="AI43" i="4" s="1"/>
  <c r="H166" i="4"/>
  <c r="I166" i="4" s="1"/>
  <c r="H102" i="4"/>
  <c r="H140" i="4"/>
  <c r="H200" i="4"/>
  <c r="H132" i="4"/>
  <c r="I132" i="4" s="1"/>
  <c r="H208" i="4"/>
  <c r="H80" i="4"/>
  <c r="H187" i="4"/>
  <c r="AP187" i="4" s="1"/>
  <c r="H67" i="4"/>
  <c r="I67" i="4" s="1"/>
  <c r="J67" i="4" s="1"/>
  <c r="L67" i="4" s="1"/>
  <c r="H205" i="4"/>
  <c r="H173" i="4"/>
  <c r="AI173" i="4" s="1"/>
  <c r="H141" i="4"/>
  <c r="H77" i="4"/>
  <c r="AP77" i="4" s="1"/>
  <c r="H45" i="4"/>
  <c r="H13" i="4"/>
  <c r="I13" i="4" s="1"/>
  <c r="H79" i="4"/>
  <c r="I79" i="4" s="1"/>
  <c r="J79" i="4" s="1"/>
  <c r="K79" i="4" s="1"/>
  <c r="H186" i="4"/>
  <c r="AI186" i="4" s="1"/>
  <c r="H154" i="4"/>
  <c r="H58" i="4"/>
  <c r="H92" i="4"/>
  <c r="I92" i="4" s="1"/>
  <c r="H152" i="4"/>
  <c r="H24" i="4"/>
  <c r="H84" i="4"/>
  <c r="I84" i="4" s="1"/>
  <c r="H160" i="4"/>
  <c r="I160" i="4" s="1"/>
  <c r="J160" i="4" s="1"/>
  <c r="L160" i="4" s="1"/>
  <c r="M160" i="4" s="1"/>
  <c r="AA160" i="4" s="1"/>
  <c r="H32" i="4"/>
  <c r="I32" i="4" s="1"/>
  <c r="H167" i="4"/>
  <c r="H103" i="4"/>
  <c r="AJ103" i="4" s="1"/>
  <c r="H39" i="4"/>
  <c r="H193" i="4"/>
  <c r="AP193" i="4" s="1"/>
  <c r="H161" i="4"/>
  <c r="AP161" i="4" s="1"/>
  <c r="H129" i="4"/>
  <c r="H97" i="4"/>
  <c r="I97" i="4" s="1"/>
  <c r="H65" i="4"/>
  <c r="AJ65" i="4" s="1"/>
  <c r="H33" i="4"/>
  <c r="H191" i="4"/>
  <c r="H123" i="4"/>
  <c r="H59" i="4"/>
  <c r="H206" i="4"/>
  <c r="AI206" i="4" s="1"/>
  <c r="H174" i="4"/>
  <c r="H142" i="4"/>
  <c r="H110" i="4"/>
  <c r="AI110" i="4" s="1"/>
  <c r="H78" i="4"/>
  <c r="H46" i="4"/>
  <c r="BN13" i="4"/>
  <c r="BH13" i="4"/>
  <c r="BJ13" i="4"/>
  <c r="BQ13" i="4"/>
  <c r="BI13" i="4"/>
  <c r="BN17" i="4"/>
  <c r="BP17" i="4"/>
  <c r="BM17" i="4"/>
  <c r="BO17" i="4"/>
  <c r="BK17" i="4"/>
  <c r="BJ17" i="4"/>
  <c r="BL13" i="4"/>
  <c r="BI15" i="4"/>
  <c r="BL15" i="4"/>
  <c r="BK15" i="4"/>
  <c r="BH15" i="4"/>
  <c r="BM15" i="4"/>
  <c r="BN15" i="4"/>
  <c r="BI12" i="4"/>
  <c r="BL12" i="4"/>
  <c r="BP12" i="4"/>
  <c r="BN12" i="4"/>
  <c r="BL11" i="4"/>
  <c r="BM14" i="4"/>
  <c r="A89" i="8"/>
  <c r="A105" i="8"/>
  <c r="A107" i="8"/>
  <c r="A142" i="8"/>
  <c r="A112" i="8"/>
  <c r="N4" i="8"/>
  <c r="A92" i="8"/>
  <c r="A73" i="8"/>
  <c r="A75" i="8"/>
  <c r="A67" i="8"/>
  <c r="A158" i="8"/>
  <c r="A102" i="8"/>
  <c r="A96" i="8"/>
  <c r="AR27" i="3"/>
  <c r="A36" i="3"/>
  <c r="B51" i="4"/>
  <c r="AL195" i="4"/>
  <c r="AL95" i="4"/>
  <c r="AQ25" i="3"/>
  <c r="AR25" i="3"/>
  <c r="B20" i="3"/>
  <c r="AR20" i="3"/>
  <c r="A29" i="3"/>
  <c r="A32" i="3"/>
  <c r="AQ23" i="3"/>
  <c r="B23" i="3"/>
  <c r="B25" i="3"/>
  <c r="AJ350" i="3"/>
  <c r="AJ150" i="3"/>
  <c r="AJ195" i="3"/>
  <c r="AJ328" i="3"/>
  <c r="AJ437" i="3"/>
  <c r="AJ66" i="3"/>
  <c r="AJ104" i="3"/>
  <c r="R10" i="8"/>
  <c r="S10" i="8" s="1"/>
  <c r="AJ650" i="3"/>
  <c r="AJ539" i="3"/>
  <c r="AJ659" i="3"/>
  <c r="AJ152" i="3"/>
  <c r="AJ481" i="3"/>
  <c r="AJ259" i="3"/>
  <c r="AJ341" i="3"/>
  <c r="AJ624" i="3"/>
  <c r="AJ368" i="3"/>
  <c r="AJ443" i="3"/>
  <c r="AJ130" i="3"/>
  <c r="AJ637" i="3"/>
  <c r="AJ336" i="3"/>
  <c r="AJ208" i="3"/>
  <c r="AJ80" i="3"/>
  <c r="AJ177" i="3"/>
  <c r="AJ647" i="3"/>
  <c r="AJ410" i="3"/>
  <c r="AJ543" i="3"/>
  <c r="AJ121" i="3"/>
  <c r="AJ453" i="3"/>
  <c r="AJ662" i="3"/>
  <c r="AK197" i="4"/>
  <c r="AK180" i="4"/>
  <c r="AK202" i="4"/>
  <c r="AK206" i="4"/>
  <c r="AK190" i="4"/>
  <c r="AK166" i="4"/>
  <c r="AK172" i="4"/>
  <c r="AK167" i="4"/>
  <c r="AK132" i="4"/>
  <c r="AK152" i="4"/>
  <c r="AK137" i="4"/>
  <c r="AK114" i="4"/>
  <c r="AK112" i="4"/>
  <c r="AL165" i="4"/>
  <c r="AK15" i="4"/>
  <c r="B131" i="2"/>
  <c r="AK193" i="4"/>
  <c r="AK171" i="4"/>
  <c r="AK147" i="4"/>
  <c r="AK205" i="4"/>
  <c r="AK189" i="4"/>
  <c r="AK165" i="4"/>
  <c r="AK164" i="4"/>
  <c r="AK162" i="4"/>
  <c r="AK116" i="4"/>
  <c r="AK151" i="4"/>
  <c r="AK125" i="4"/>
  <c r="AK113" i="4"/>
  <c r="AK111" i="4"/>
  <c r="AJ117" i="4"/>
  <c r="B281" i="2"/>
  <c r="E69" i="1"/>
  <c r="B97" i="2"/>
  <c r="R16" i="8" s="1"/>
  <c r="S16" i="8" s="1"/>
  <c r="D97" i="2" s="1"/>
  <c r="B98" i="2" s="1"/>
  <c r="R17" i="8" s="1"/>
  <c r="S17" i="8" s="1"/>
  <c r="D98" i="2" s="1"/>
  <c r="B101" i="2" s="1"/>
  <c r="G3" i="8"/>
  <c r="B250" i="2"/>
  <c r="E250" i="2" s="1"/>
  <c r="B22" i="4"/>
  <c r="D36" i="3"/>
  <c r="D43" i="16"/>
  <c r="R66" i="2"/>
  <c r="AI21" i="4"/>
  <c r="B58" i="4"/>
  <c r="AI13" i="4"/>
  <c r="AP165" i="4"/>
  <c r="AP202" i="4"/>
  <c r="AP126" i="4"/>
  <c r="AP49" i="4"/>
  <c r="AP10" i="4"/>
  <c r="AP83" i="4"/>
  <c r="I108" i="4"/>
  <c r="J108" i="4" s="1"/>
  <c r="AP47" i="4"/>
  <c r="B89" i="2"/>
  <c r="AP139" i="4"/>
  <c r="I124" i="4"/>
  <c r="J124" i="4" s="1"/>
  <c r="AD124" i="4" s="1"/>
  <c r="AE124" i="4" s="1"/>
  <c r="I99" i="4"/>
  <c r="I10" i="4"/>
  <c r="J10" i="4" s="1"/>
  <c r="AD10" i="4" s="1"/>
  <c r="AE10" i="4" s="1"/>
  <c r="AP13" i="4"/>
  <c r="B12" i="4"/>
  <c r="I116" i="4"/>
  <c r="I170" i="4"/>
  <c r="J170" i="4" s="1"/>
  <c r="AP207" i="4"/>
  <c r="I159" i="4"/>
  <c r="J159" i="4" s="1"/>
  <c r="I129" i="4"/>
  <c r="I30" i="4"/>
  <c r="J30" i="4" s="1"/>
  <c r="U30" i="4" s="1"/>
  <c r="V30" i="4" s="1"/>
  <c r="W30" i="4" s="1"/>
  <c r="AP11" i="4"/>
  <c r="I59" i="4"/>
  <c r="J59" i="4" s="1"/>
  <c r="AP30" i="4"/>
  <c r="AP157" i="4"/>
  <c r="AP180" i="4"/>
  <c r="I157" i="4"/>
  <c r="AP184" i="4"/>
  <c r="AP203" i="4"/>
  <c r="AP92" i="4"/>
  <c r="I28" i="4"/>
  <c r="J28" i="4" s="1"/>
  <c r="I76" i="4"/>
  <c r="J76" i="4" s="1"/>
  <c r="K76" i="4" s="1"/>
  <c r="N44" i="2"/>
  <c r="M44" i="2" s="1"/>
  <c r="C242" i="2" s="1"/>
  <c r="I202" i="4"/>
  <c r="AP151" i="4"/>
  <c r="I125" i="4"/>
  <c r="I134" i="4"/>
  <c r="J134" i="4" s="1"/>
  <c r="X134" i="4" s="1"/>
  <c r="Y134" i="4" s="1"/>
  <c r="AP146" i="4"/>
  <c r="AP28" i="4"/>
  <c r="AP21" i="4"/>
  <c r="AP79" i="4"/>
  <c r="I48" i="4"/>
  <c r="I151" i="4"/>
  <c r="J151" i="4" s="1"/>
  <c r="L151" i="4" s="1"/>
  <c r="I139" i="4"/>
  <c r="I144" i="4"/>
  <c r="J144" i="4" s="1"/>
  <c r="K144" i="4" s="1"/>
  <c r="I152" i="4"/>
  <c r="J152" i="4" s="1"/>
  <c r="X152" i="4" s="1"/>
  <c r="Y152" i="4" s="1"/>
  <c r="AP66" i="4"/>
  <c r="I27" i="4"/>
  <c r="J27" i="4" s="1"/>
  <c r="AP94" i="4"/>
  <c r="AP55" i="4"/>
  <c r="I22" i="4"/>
  <c r="J22" i="4" s="1"/>
  <c r="K22" i="4" s="1"/>
  <c r="I11" i="4"/>
  <c r="J11" i="4" s="1"/>
  <c r="F64" i="1"/>
  <c r="I121" i="4"/>
  <c r="J121" i="4" s="1"/>
  <c r="N121" i="4" s="1"/>
  <c r="O121" i="4" s="1"/>
  <c r="Q121" i="4" s="1"/>
  <c r="AP144" i="4"/>
  <c r="AP159" i="4"/>
  <c r="AP136" i="4"/>
  <c r="AP76" i="4"/>
  <c r="AP89" i="4"/>
  <c r="AP74" i="4"/>
  <c r="AP59" i="4"/>
  <c r="B127" i="2"/>
  <c r="R11" i="8" s="1"/>
  <c r="S11" i="8" s="1"/>
  <c r="B128" i="2" s="1"/>
  <c r="E64" i="1" s="1"/>
  <c r="C57" i="16" s="1"/>
  <c r="D57" i="16" s="1"/>
  <c r="I169" i="4"/>
  <c r="J169" i="4" s="1"/>
  <c r="N169" i="4" s="1"/>
  <c r="O169" i="4" s="1"/>
  <c r="Q169" i="4" s="1"/>
  <c r="I171" i="4"/>
  <c r="I126" i="4"/>
  <c r="J126" i="4" s="1"/>
  <c r="R126" i="4" s="1"/>
  <c r="S126" i="4" s="1"/>
  <c r="T126" i="4" s="1"/>
  <c r="I51" i="4"/>
  <c r="J51" i="4" s="1"/>
  <c r="R51" i="4" s="1"/>
  <c r="S51" i="4" s="1"/>
  <c r="T51" i="4" s="1"/>
  <c r="I21" i="4"/>
  <c r="J21" i="4" s="1"/>
  <c r="X21" i="4" s="1"/>
  <c r="Y21" i="4" s="1"/>
  <c r="I89" i="4"/>
  <c r="AP84" i="4"/>
  <c r="AP39" i="4"/>
  <c r="B153" i="2"/>
  <c r="B146" i="2" s="1"/>
  <c r="I192" i="4"/>
  <c r="J192" i="4" s="1"/>
  <c r="AP141" i="4"/>
  <c r="AP152" i="4"/>
  <c r="I176" i="4"/>
  <c r="I74" i="4"/>
  <c r="J74" i="4" s="1"/>
  <c r="X74" i="4" s="1"/>
  <c r="Y74" i="4" s="1"/>
  <c r="I94" i="4"/>
  <c r="J94" i="4" s="1"/>
  <c r="K94" i="4" s="1"/>
  <c r="AP99" i="4"/>
  <c r="AP60" i="4"/>
  <c r="B38" i="2"/>
  <c r="B39" i="2" s="1"/>
  <c r="B23" i="2"/>
  <c r="B24" i="2" s="1"/>
  <c r="AP124" i="4"/>
  <c r="AP121" i="4"/>
  <c r="AP147" i="4"/>
  <c r="AP204" i="4"/>
  <c r="I143" i="4"/>
  <c r="I16" i="4"/>
  <c r="J16" i="4" s="1"/>
  <c r="AP93" i="4"/>
  <c r="AP27" i="4"/>
  <c r="I17" i="4"/>
  <c r="J17" i="4" s="1"/>
  <c r="I83" i="4"/>
  <c r="I56" i="4"/>
  <c r="B25" i="2"/>
  <c r="B26" i="2" s="1"/>
  <c r="I180" i="4"/>
  <c r="AP129" i="4"/>
  <c r="I187" i="4"/>
  <c r="J187" i="4" s="1"/>
  <c r="N187" i="4" s="1"/>
  <c r="O187" i="4" s="1"/>
  <c r="Q187" i="4" s="1"/>
  <c r="AP199" i="4"/>
  <c r="AP176" i="4"/>
  <c r="AP15" i="4"/>
  <c r="I68" i="4"/>
  <c r="I39" i="4"/>
  <c r="AP71" i="4"/>
  <c r="AP43" i="4"/>
  <c r="AP26" i="4"/>
  <c r="I25" i="4"/>
  <c r="J25" i="4" s="1"/>
  <c r="L25" i="4" s="1"/>
  <c r="B27" i="2"/>
  <c r="AP132" i="4"/>
  <c r="AP198" i="4"/>
  <c r="I122" i="4"/>
  <c r="J122" i="4" s="1"/>
  <c r="R122" i="4" s="1"/>
  <c r="S122" i="4" s="1"/>
  <c r="T122" i="4" s="1"/>
  <c r="I199" i="4"/>
  <c r="I203" i="4"/>
  <c r="J203" i="4" s="1"/>
  <c r="AD203" i="4" s="1"/>
  <c r="AE203" i="4" s="1"/>
  <c r="AP143" i="4"/>
  <c r="I55" i="4"/>
  <c r="J55" i="4" s="1"/>
  <c r="AP81" i="4"/>
  <c r="I98" i="4"/>
  <c r="J98" i="4" s="1"/>
  <c r="B36" i="2"/>
  <c r="B37" i="2" s="1"/>
  <c r="B18" i="2" s="1"/>
  <c r="I198" i="4"/>
  <c r="I147" i="4"/>
  <c r="AP98" i="4"/>
  <c r="AP62" i="4"/>
  <c r="AP63" i="4"/>
  <c r="I69" i="4"/>
  <c r="J69" i="4" s="1"/>
  <c r="AP29" i="4"/>
  <c r="I44" i="4"/>
  <c r="J44" i="4" s="1"/>
  <c r="K44" i="4" s="1"/>
  <c r="B34" i="2"/>
  <c r="B35" i="2" s="1"/>
  <c r="B79" i="2" s="1"/>
  <c r="E46" i="1" s="1"/>
  <c r="I207" i="4"/>
  <c r="AP182" i="4"/>
  <c r="I136" i="4"/>
  <c r="J136" i="4" s="1"/>
  <c r="I155" i="4"/>
  <c r="J155" i="4" s="1"/>
  <c r="AD155" i="4" s="1"/>
  <c r="AE155" i="4" s="1"/>
  <c r="AP56" i="4"/>
  <c r="AP44" i="4"/>
  <c r="AP14" i="4"/>
  <c r="AP48" i="4"/>
  <c r="I26" i="4"/>
  <c r="J26" i="4" s="1"/>
  <c r="I66" i="4"/>
  <c r="J66" i="4" s="1"/>
  <c r="M66" i="2"/>
  <c r="L66" i="2" s="1"/>
  <c r="G243" i="2" s="1"/>
  <c r="I138" i="4"/>
  <c r="AP169" i="4"/>
  <c r="I131" i="4"/>
  <c r="J131" i="4" s="1"/>
  <c r="R131" i="4" s="1"/>
  <c r="S131" i="4" s="1"/>
  <c r="T131" i="4" s="1"/>
  <c r="I156" i="4"/>
  <c r="AP22" i="4"/>
  <c r="I81" i="4"/>
  <c r="I14" i="4"/>
  <c r="J14" i="4" s="1"/>
  <c r="AP90" i="4"/>
  <c r="AP97" i="4"/>
  <c r="I15" i="4"/>
  <c r="J15" i="4" s="1"/>
  <c r="I70" i="4"/>
  <c r="I43" i="4"/>
  <c r="J43" i="4" s="1"/>
  <c r="B44" i="4"/>
  <c r="B194" i="2"/>
  <c r="B217" i="2" s="1"/>
  <c r="C11" i="3"/>
  <c r="C9" i="3"/>
  <c r="C23" i="3"/>
  <c r="D33" i="3"/>
  <c r="D35" i="3"/>
  <c r="C17" i="3"/>
  <c r="C25" i="3"/>
  <c r="D24" i="3"/>
  <c r="D34" i="3"/>
  <c r="C16" i="3"/>
  <c r="C14" i="3"/>
  <c r="E60" i="1"/>
  <c r="D20" i="3"/>
  <c r="D31" i="3"/>
  <c r="D22" i="3"/>
  <c r="C12" i="3"/>
  <c r="D10" i="3"/>
  <c r="D18" i="3"/>
  <c r="D9" i="3"/>
  <c r="D11" i="3"/>
  <c r="D29" i="3"/>
  <c r="C20" i="3"/>
  <c r="C26" i="3"/>
  <c r="C32" i="3"/>
  <c r="D27" i="3"/>
  <c r="C18" i="3"/>
  <c r="C30" i="3"/>
  <c r="D13" i="3"/>
  <c r="C10" i="3"/>
  <c r="D28" i="3"/>
  <c r="D14" i="3"/>
  <c r="C29" i="3"/>
  <c r="C28" i="3"/>
  <c r="D12" i="3"/>
  <c r="C15" i="3"/>
  <c r="D32" i="3"/>
  <c r="C27" i="3"/>
  <c r="C21" i="3"/>
  <c r="C31" i="3"/>
  <c r="C24" i="3"/>
  <c r="D15" i="3"/>
  <c r="D21" i="3"/>
  <c r="D16" i="3"/>
  <c r="D17" i="3"/>
  <c r="C13" i="3"/>
  <c r="C34" i="3"/>
  <c r="D26" i="3"/>
  <c r="C22" i="3"/>
  <c r="D25" i="3"/>
  <c r="C33" i="3"/>
  <c r="C35" i="3"/>
  <c r="A682" i="3"/>
  <c r="D30" i="3"/>
  <c r="D23" i="3"/>
  <c r="D19" i="3"/>
  <c r="AN37" i="4"/>
  <c r="AP189" i="4"/>
  <c r="AP125" i="4"/>
  <c r="AP61" i="4"/>
  <c r="I183" i="4"/>
  <c r="J183" i="4" s="1"/>
  <c r="AP51" i="4"/>
  <c r="I42" i="4"/>
  <c r="J42" i="4" s="1"/>
  <c r="L42" i="4" s="1"/>
  <c r="AN164" i="4"/>
  <c r="AP188" i="4"/>
  <c r="I12" i="4"/>
  <c r="J12" i="4" s="1"/>
  <c r="AP91" i="4"/>
  <c r="AN36" i="4"/>
  <c r="AP104" i="4"/>
  <c r="AP181" i="4"/>
  <c r="AN99" i="4"/>
  <c r="AP195" i="4"/>
  <c r="I75" i="4"/>
  <c r="J75" i="4" s="1"/>
  <c r="AN195" i="4"/>
  <c r="AP72" i="4"/>
  <c r="I208" i="4"/>
  <c r="J208" i="4" s="1"/>
  <c r="U208" i="4" s="1"/>
  <c r="V208" i="4" s="1"/>
  <c r="W208" i="4" s="1"/>
  <c r="AN106" i="4"/>
  <c r="AP101" i="4"/>
  <c r="AP24" i="4"/>
  <c r="I206" i="4"/>
  <c r="J206" i="4" s="1"/>
  <c r="X206" i="4" s="1"/>
  <c r="Y206" i="4" s="1"/>
  <c r="AP142" i="4"/>
  <c r="AL50" i="4"/>
  <c r="AN50" i="4" s="1"/>
  <c r="AP115" i="4"/>
  <c r="AN152" i="4"/>
  <c r="AN24" i="4"/>
  <c r="AP96" i="4"/>
  <c r="AN95" i="4"/>
  <c r="I80" i="4"/>
  <c r="J80" i="4" s="1"/>
  <c r="R80" i="4" s="1"/>
  <c r="S80" i="4" s="1"/>
  <c r="T80" i="4" s="1"/>
  <c r="AN174" i="4"/>
  <c r="AP54" i="4"/>
  <c r="AN46" i="4"/>
  <c r="AI53" i="4"/>
  <c r="AI89" i="4"/>
  <c r="AI198" i="4"/>
  <c r="AI37" i="4"/>
  <c r="AI205" i="4"/>
  <c r="AI119" i="4"/>
  <c r="I35" i="4"/>
  <c r="J35" i="4" s="1"/>
  <c r="K35" i="4" s="1"/>
  <c r="AP12" i="4"/>
  <c r="I189" i="4"/>
  <c r="AP75" i="4"/>
  <c r="I181" i="4"/>
  <c r="J181" i="4" s="1"/>
  <c r="AP208" i="4"/>
  <c r="AP183" i="4"/>
  <c r="I61" i="4"/>
  <c r="I163" i="4"/>
  <c r="J163" i="4" s="1"/>
  <c r="AD163" i="4" s="1"/>
  <c r="AE163" i="4" s="1"/>
  <c r="B45" i="4"/>
  <c r="I195" i="4"/>
  <c r="I91" i="4"/>
  <c r="J91" i="4" s="1"/>
  <c r="I72" i="4"/>
  <c r="J72" i="4" s="1"/>
  <c r="I104" i="4"/>
  <c r="J104" i="4" s="1"/>
  <c r="E13" i="1"/>
  <c r="C55" i="16" s="1"/>
  <c r="D55" i="16" s="1"/>
  <c r="B275" i="2"/>
  <c r="AM81" i="4"/>
  <c r="AM43" i="4"/>
  <c r="AM19" i="4"/>
  <c r="AM62" i="4"/>
  <c r="AM20" i="4"/>
  <c r="AM37" i="4"/>
  <c r="AI30" i="4"/>
  <c r="AI83" i="4"/>
  <c r="AI92" i="4"/>
  <c r="AJ28" i="4"/>
  <c r="AJ74" i="4"/>
  <c r="AJ27" i="4"/>
  <c r="AI81" i="4"/>
  <c r="AJ13" i="4"/>
  <c r="AJ131" i="4"/>
  <c r="AJ202" i="4"/>
  <c r="AJ153" i="4"/>
  <c r="AJ208" i="4"/>
  <c r="B13" i="4"/>
  <c r="AM205" i="4"/>
  <c r="AM161" i="4"/>
  <c r="AM160" i="4"/>
  <c r="AM156" i="4"/>
  <c r="AM176" i="4"/>
  <c r="AM127" i="4"/>
  <c r="AM133" i="4"/>
  <c r="AI128" i="4"/>
  <c r="AI185" i="4"/>
  <c r="AI182" i="4"/>
  <c r="AI114" i="4"/>
  <c r="AL17" i="4"/>
  <c r="AN17" i="4" s="1"/>
  <c r="AL88" i="4"/>
  <c r="AN88" i="4" s="1"/>
  <c r="AL159" i="4"/>
  <c r="AN159" i="4" s="1"/>
  <c r="AL31" i="4"/>
  <c r="AN31" i="4" s="1"/>
  <c r="AL110" i="4"/>
  <c r="AN110" i="4" s="1"/>
  <c r="AL191" i="4"/>
  <c r="AN191" i="4" s="1"/>
  <c r="AL101" i="4"/>
  <c r="AN101" i="4" s="1"/>
  <c r="AL207" i="4"/>
  <c r="AN207" i="4" s="1"/>
  <c r="AL100" i="4"/>
  <c r="AN100" i="4" s="1"/>
  <c r="AL171" i="4"/>
  <c r="AN171" i="4" s="1"/>
  <c r="AL35" i="4"/>
  <c r="AN35" i="4" s="1"/>
  <c r="AL170" i="4"/>
  <c r="AN170" i="4" s="1"/>
  <c r="AL42" i="4"/>
  <c r="AN42" i="4" s="1"/>
  <c r="AM22" i="4"/>
  <c r="AM57" i="4"/>
  <c r="AM59" i="4"/>
  <c r="AM84" i="4"/>
  <c r="AI97" i="4"/>
  <c r="AJ81" i="4"/>
  <c r="AI87" i="4"/>
  <c r="AI39" i="4"/>
  <c r="AJ77" i="4"/>
  <c r="J81" i="4"/>
  <c r="K81" i="4" s="1"/>
  <c r="AJ71" i="4"/>
  <c r="AI28" i="4"/>
  <c r="AJ152" i="4"/>
  <c r="AM198" i="4"/>
  <c r="AM179" i="4"/>
  <c r="AM166" i="4"/>
  <c r="AM173" i="4"/>
  <c r="AM126" i="4"/>
  <c r="AM132" i="4"/>
  <c r="AI181" i="4"/>
  <c r="AI131" i="4"/>
  <c r="AI146" i="4"/>
  <c r="AL208" i="4"/>
  <c r="AN208" i="4" s="1"/>
  <c r="AL80" i="4"/>
  <c r="AN80" i="4" s="1"/>
  <c r="AL151" i="4"/>
  <c r="AN151" i="4" s="1"/>
  <c r="AL23" i="4"/>
  <c r="AN23" i="4" s="1"/>
  <c r="AL102" i="4"/>
  <c r="AN102" i="4" s="1"/>
  <c r="AL206" i="4"/>
  <c r="AN206" i="4" s="1"/>
  <c r="AL93" i="4"/>
  <c r="AN93" i="4" s="1"/>
  <c r="AL183" i="4"/>
  <c r="AN183" i="4" s="1"/>
  <c r="AL92" i="4"/>
  <c r="AN92" i="4" s="1"/>
  <c r="AL163" i="4"/>
  <c r="AN163" i="4" s="1"/>
  <c r="AL27" i="4"/>
  <c r="AN27" i="4" s="1"/>
  <c r="AL162" i="4"/>
  <c r="AN162" i="4" s="1"/>
  <c r="AL34" i="4"/>
  <c r="AN34" i="4" s="1"/>
  <c r="AM35" i="4"/>
  <c r="AM105" i="4"/>
  <c r="AM77" i="4"/>
  <c r="AM71" i="4"/>
  <c r="AM61" i="4"/>
  <c r="AM97" i="4"/>
  <c r="AM14" i="4"/>
  <c r="J70" i="4"/>
  <c r="L70" i="4" s="1"/>
  <c r="AI35" i="4"/>
  <c r="AJ14" i="4"/>
  <c r="AI98" i="4"/>
  <c r="AI95" i="4"/>
  <c r="AI14" i="4"/>
  <c r="AJ87" i="4"/>
  <c r="AJ43" i="4"/>
  <c r="AJ160" i="4"/>
  <c r="AJ187" i="4"/>
  <c r="AM203" i="4"/>
  <c r="AM178" i="4"/>
  <c r="AM192" i="4"/>
  <c r="AM153" i="4"/>
  <c r="AM151" i="4"/>
  <c r="AM172" i="4"/>
  <c r="AM131" i="4"/>
  <c r="AI124" i="4"/>
  <c r="AI68" i="4"/>
  <c r="AI177" i="4"/>
  <c r="AI129" i="4"/>
  <c r="AI142" i="4"/>
  <c r="AL200" i="4"/>
  <c r="AN200" i="4" s="1"/>
  <c r="AL72" i="4"/>
  <c r="AN72" i="4" s="1"/>
  <c r="AL143" i="4"/>
  <c r="AN143" i="4" s="1"/>
  <c r="AL15" i="4"/>
  <c r="AN15" i="4" s="1"/>
  <c r="AL94" i="4"/>
  <c r="AN94" i="4" s="1"/>
  <c r="AL190" i="4"/>
  <c r="AL85" i="4"/>
  <c r="AN85" i="4" s="1"/>
  <c r="AL182" i="4"/>
  <c r="AN182" i="4" s="1"/>
  <c r="AL84" i="4"/>
  <c r="AN84" i="4" s="1"/>
  <c r="AL147" i="4"/>
  <c r="AN147" i="4" s="1"/>
  <c r="AL19" i="4"/>
  <c r="AN19" i="4" s="1"/>
  <c r="AL154" i="4"/>
  <c r="AN154" i="4" s="1"/>
  <c r="AL26" i="4"/>
  <c r="AN26" i="4" s="1"/>
  <c r="AM106" i="4"/>
  <c r="AM31" i="4"/>
  <c r="AM9" i="4"/>
  <c r="AM85" i="4"/>
  <c r="AM67" i="4"/>
  <c r="AM52" i="4"/>
  <c r="AM86" i="4"/>
  <c r="AI47" i="4"/>
  <c r="AI66" i="4"/>
  <c r="J84" i="4"/>
  <c r="AJ17" i="4"/>
  <c r="AJ48" i="4"/>
  <c r="B30" i="2"/>
  <c r="E16" i="1" s="1"/>
  <c r="AJ79" i="4"/>
  <c r="AJ29" i="4"/>
  <c r="AJ147" i="4"/>
  <c r="AJ137" i="4"/>
  <c r="B4" i="6"/>
  <c r="B12" i="6" s="1"/>
  <c r="B223" i="2"/>
  <c r="AM201" i="4"/>
  <c r="AM177" i="4"/>
  <c r="AM150" i="4"/>
  <c r="AM159" i="4"/>
  <c r="AM171" i="4"/>
  <c r="AM141" i="4"/>
  <c r="AM123" i="4"/>
  <c r="AI159" i="4"/>
  <c r="AI125" i="4"/>
  <c r="AI207" i="4"/>
  <c r="AI123" i="4"/>
  <c r="AI174" i="4"/>
  <c r="AI42" i="4"/>
  <c r="AL192" i="4"/>
  <c r="AN192" i="4" s="1"/>
  <c r="AL64" i="4"/>
  <c r="AN64" i="4" s="1"/>
  <c r="AL135" i="4"/>
  <c r="AN135" i="4" s="1"/>
  <c r="AL185" i="4"/>
  <c r="AN185" i="4" s="1"/>
  <c r="AL86" i="4"/>
  <c r="AN86" i="4" s="1"/>
  <c r="AL205" i="4"/>
  <c r="AN205" i="4" s="1"/>
  <c r="AL77" i="4"/>
  <c r="AN77" i="4" s="1"/>
  <c r="AL204" i="4"/>
  <c r="AN204" i="4" s="1"/>
  <c r="AL76" i="4"/>
  <c r="AN76" i="4" s="1"/>
  <c r="AL139" i="4"/>
  <c r="AN139" i="4" s="1"/>
  <c r="AL11" i="4"/>
  <c r="AN11" i="4" s="1"/>
  <c r="AL146" i="4"/>
  <c r="AN146" i="4" s="1"/>
  <c r="AL18" i="4"/>
  <c r="AN18" i="4" s="1"/>
  <c r="AM60" i="4"/>
  <c r="AM104" i="4"/>
  <c r="AM15" i="4"/>
  <c r="AM107" i="4"/>
  <c r="AM25" i="4"/>
  <c r="AM91" i="4"/>
  <c r="AI11" i="4"/>
  <c r="J97" i="4"/>
  <c r="R97" i="4" s="1"/>
  <c r="S97" i="4" s="1"/>
  <c r="T97" i="4" s="1"/>
  <c r="J92" i="4"/>
  <c r="J68" i="4"/>
  <c r="AD68" i="4" s="1"/>
  <c r="AE68" i="4" s="1"/>
  <c r="AJ155" i="4"/>
  <c r="J176" i="4"/>
  <c r="U176" i="4" s="1"/>
  <c r="V176" i="4" s="1"/>
  <c r="W176" i="4" s="1"/>
  <c r="AJ129" i="4"/>
  <c r="AJ159" i="4"/>
  <c r="AJ180" i="4"/>
  <c r="J116" i="4"/>
  <c r="R116" i="4" s="1"/>
  <c r="S116" i="4" s="1"/>
  <c r="T116" i="4" s="1"/>
  <c r="B78" i="4"/>
  <c r="B77" i="4"/>
  <c r="AM181" i="4"/>
  <c r="AM199" i="4"/>
  <c r="AM149" i="4"/>
  <c r="AM158" i="4"/>
  <c r="AM148" i="4"/>
  <c r="AM170" i="4"/>
  <c r="AM137" i="4"/>
  <c r="AM124" i="4"/>
  <c r="AM114" i="4"/>
  <c r="AI151" i="4"/>
  <c r="AI115" i="4"/>
  <c r="AJ174" i="4"/>
  <c r="AI138" i="4"/>
  <c r="AL184" i="4"/>
  <c r="AN184" i="4" s="1"/>
  <c r="AL56" i="4"/>
  <c r="AN56" i="4" s="1"/>
  <c r="AL127" i="4"/>
  <c r="AN127" i="4" s="1"/>
  <c r="AL121" i="4"/>
  <c r="AN121" i="4" s="1"/>
  <c r="AL78" i="4"/>
  <c r="AN78" i="4" s="1"/>
  <c r="AL197" i="4"/>
  <c r="AN197" i="4" s="1"/>
  <c r="AL69" i="4"/>
  <c r="AN69" i="4" s="1"/>
  <c r="AL196" i="4"/>
  <c r="AN196" i="4" s="1"/>
  <c r="AL68" i="4"/>
  <c r="AN68" i="4" s="1"/>
  <c r="AL131" i="4"/>
  <c r="AN131" i="4" s="1"/>
  <c r="AL201" i="4"/>
  <c r="AN201" i="4" s="1"/>
  <c r="AL138" i="4"/>
  <c r="AN138" i="4" s="1"/>
  <c r="AL10" i="4"/>
  <c r="AN10" i="4" s="1"/>
  <c r="AM33" i="4"/>
  <c r="AM80" i="4"/>
  <c r="AM46" i="4"/>
  <c r="AM11" i="4"/>
  <c r="AM45" i="4"/>
  <c r="AM13" i="4"/>
  <c r="AJ47" i="4"/>
  <c r="J56" i="4"/>
  <c r="R56" i="4" s="1"/>
  <c r="S56" i="4" s="1"/>
  <c r="T56" i="4" s="1"/>
  <c r="AI75" i="4"/>
  <c r="AI90" i="4"/>
  <c r="AI10" i="4"/>
  <c r="AJ42" i="4"/>
  <c r="AJ84" i="4"/>
  <c r="AJ181" i="4"/>
  <c r="AJ128" i="4"/>
  <c r="J157" i="4"/>
  <c r="X157" i="4" s="1"/>
  <c r="Y157" i="4" s="1"/>
  <c r="AJ134" i="4"/>
  <c r="AJ204" i="4"/>
  <c r="AM169" i="4"/>
  <c r="AM145" i="4"/>
  <c r="AM168" i="4"/>
  <c r="AM134" i="4"/>
  <c r="AM119" i="4"/>
  <c r="AM113" i="4"/>
  <c r="AI143" i="4"/>
  <c r="AI169" i="4"/>
  <c r="AI199" i="4"/>
  <c r="AL176" i="4"/>
  <c r="AN176" i="4" s="1"/>
  <c r="AL48" i="4"/>
  <c r="AN48" i="4" s="1"/>
  <c r="AL119" i="4"/>
  <c r="AN119" i="4" s="1"/>
  <c r="AL49" i="4"/>
  <c r="AN49" i="4" s="1"/>
  <c r="AL70" i="4"/>
  <c r="AN70" i="4" s="1"/>
  <c r="AL189" i="4"/>
  <c r="AN189" i="4" s="1"/>
  <c r="AL61" i="4"/>
  <c r="AN61" i="4" s="1"/>
  <c r="AL188" i="4"/>
  <c r="AN188" i="4" s="1"/>
  <c r="AL60" i="4"/>
  <c r="AN60" i="4" s="1"/>
  <c r="AL123" i="4"/>
  <c r="AN123" i="4" s="1"/>
  <c r="AL153" i="4"/>
  <c r="AN153" i="4" s="1"/>
  <c r="AL130" i="4"/>
  <c r="AN130" i="4" s="1"/>
  <c r="AM53" i="4"/>
  <c r="AM24" i="4"/>
  <c r="AM102" i="4"/>
  <c r="AM74" i="4"/>
  <c r="AM79" i="4"/>
  <c r="AM12" i="4"/>
  <c r="AJ108" i="4"/>
  <c r="AI71" i="4"/>
  <c r="AJ89" i="4"/>
  <c r="AI27" i="4"/>
  <c r="AI91" i="4"/>
  <c r="AJ195" i="4"/>
  <c r="AJ124" i="4"/>
  <c r="AJ151" i="4"/>
  <c r="AJ157" i="4"/>
  <c r="B224" i="2"/>
  <c r="AM195" i="4"/>
  <c r="AM157" i="4"/>
  <c r="AM202" i="4"/>
  <c r="AM165" i="4"/>
  <c r="AI208" i="4"/>
  <c r="AI135" i="4"/>
  <c r="AI202" i="4"/>
  <c r="AI134" i="4"/>
  <c r="AL168" i="4"/>
  <c r="AN168" i="4" s="1"/>
  <c r="AL40" i="4"/>
  <c r="AN40" i="4" s="1"/>
  <c r="AL111" i="4"/>
  <c r="AN111" i="4" s="1"/>
  <c r="AL199" i="4"/>
  <c r="AN199" i="4" s="1"/>
  <c r="AL62" i="4"/>
  <c r="AN62" i="4" s="1"/>
  <c r="AL181" i="4"/>
  <c r="AN181" i="4" s="1"/>
  <c r="AL53" i="4"/>
  <c r="AN53" i="4" s="1"/>
  <c r="AL180" i="4"/>
  <c r="AN180" i="4" s="1"/>
  <c r="AL52" i="4"/>
  <c r="AN52" i="4" s="1"/>
  <c r="AL115" i="4"/>
  <c r="AN115" i="4" s="1"/>
  <c r="AL105" i="4"/>
  <c r="AN105" i="4" s="1"/>
  <c r="AL122" i="4"/>
  <c r="AN122" i="4" s="1"/>
  <c r="AM27" i="4"/>
  <c r="AM99" i="4"/>
  <c r="AM78" i="4"/>
  <c r="AM38" i="4"/>
  <c r="AM90" i="4"/>
  <c r="AM100" i="4"/>
  <c r="AM73" i="4"/>
  <c r="AJ21" i="4"/>
  <c r="J48" i="4"/>
  <c r="N48" i="4" s="1"/>
  <c r="O48" i="4" s="1"/>
  <c r="Q48" i="4" s="1"/>
  <c r="AJ76" i="4"/>
  <c r="AI77" i="4"/>
  <c r="AI16" i="4"/>
  <c r="AJ91" i="4"/>
  <c r="AJ176" i="4"/>
  <c r="AJ199" i="4"/>
  <c r="AJ201" i="4"/>
  <c r="AM152" i="4"/>
  <c r="AM194" i="4"/>
  <c r="AM208" i="4"/>
  <c r="AM164" i="4"/>
  <c r="AM146" i="4"/>
  <c r="AM115" i="4"/>
  <c r="AI196" i="4"/>
  <c r="AI209" i="4"/>
  <c r="AI183" i="4"/>
  <c r="AL160" i="4"/>
  <c r="AN160" i="4" s="1"/>
  <c r="AL32" i="4"/>
  <c r="AN32" i="4" s="1"/>
  <c r="AL103" i="4"/>
  <c r="AN103" i="4" s="1"/>
  <c r="AL198" i="4"/>
  <c r="AN198" i="4" s="1"/>
  <c r="AL54" i="4"/>
  <c r="AN54" i="4" s="1"/>
  <c r="AL173" i="4"/>
  <c r="AN173" i="4" s="1"/>
  <c r="AL45" i="4"/>
  <c r="AN45" i="4" s="1"/>
  <c r="AL172" i="4"/>
  <c r="AN172" i="4" s="1"/>
  <c r="AL44" i="4"/>
  <c r="AN44" i="4" s="1"/>
  <c r="AL107" i="4"/>
  <c r="AN107" i="4" s="1"/>
  <c r="AL57" i="4"/>
  <c r="AN57" i="4" s="1"/>
  <c r="AL114" i="4"/>
  <c r="AN114" i="4" s="1"/>
  <c r="AM36" i="4"/>
  <c r="AM23" i="4"/>
  <c r="AM89" i="4"/>
  <c r="AM92" i="4"/>
  <c r="AM29" i="4"/>
  <c r="AM75" i="4"/>
  <c r="AJ33" i="4"/>
  <c r="AI94" i="4"/>
  <c r="AI93" i="4"/>
  <c r="AI80" i="4"/>
  <c r="AJ44" i="4"/>
  <c r="AJ203" i="4"/>
  <c r="J139" i="4"/>
  <c r="L139" i="4" s="1"/>
  <c r="AJ150" i="4"/>
  <c r="AJ116" i="4"/>
  <c r="B85" i="2"/>
  <c r="AM191" i="4"/>
  <c r="AM147" i="4"/>
  <c r="AM118" i="4"/>
  <c r="AM183" i="4"/>
  <c r="AM125" i="4"/>
  <c r="AM162" i="4"/>
  <c r="AM121" i="4"/>
  <c r="AM144" i="4"/>
  <c r="AI200" i="4"/>
  <c r="AI180" i="4"/>
  <c r="AI111" i="4"/>
  <c r="AI157" i="4"/>
  <c r="AI49" i="4"/>
  <c r="AI171" i="4"/>
  <c r="AL144" i="4"/>
  <c r="AN144" i="4" s="1"/>
  <c r="AL16" i="4"/>
  <c r="AN16" i="4" s="1"/>
  <c r="AL87" i="4"/>
  <c r="AN87" i="4" s="1"/>
  <c r="AL166" i="4"/>
  <c r="AN166" i="4" s="1"/>
  <c r="AL38" i="4"/>
  <c r="AN38" i="4" s="1"/>
  <c r="AL157" i="4"/>
  <c r="AN157" i="4" s="1"/>
  <c r="AL29" i="4"/>
  <c r="AN29" i="4" s="1"/>
  <c r="AL156" i="4"/>
  <c r="AN156" i="4" s="1"/>
  <c r="AL28" i="4"/>
  <c r="AN28" i="4" s="1"/>
  <c r="AL91" i="4"/>
  <c r="AN91" i="4" s="1"/>
  <c r="AL179" i="4"/>
  <c r="AN179" i="4" s="1"/>
  <c r="AL98" i="4"/>
  <c r="AN98" i="4" s="1"/>
  <c r="AM65" i="4"/>
  <c r="AM83" i="4"/>
  <c r="AM18" i="4"/>
  <c r="AM50" i="4"/>
  <c r="AM48" i="4"/>
  <c r="AM39" i="4"/>
  <c r="AM69" i="4"/>
  <c r="AJ62" i="4"/>
  <c r="AI17" i="4"/>
  <c r="J13" i="4"/>
  <c r="AD13" i="4" s="1"/>
  <c r="AE13" i="4" s="1"/>
  <c r="AJ56" i="4"/>
  <c r="AJ60" i="4"/>
  <c r="AI59" i="4"/>
  <c r="AI34" i="4"/>
  <c r="AJ39" i="4"/>
  <c r="AJ61" i="4"/>
  <c r="AJ132" i="4"/>
  <c r="AJ121" i="4"/>
  <c r="AJ185" i="4"/>
  <c r="AJ170" i="4"/>
  <c r="AM190" i="4"/>
  <c r="AM175" i="4"/>
  <c r="AM197" i="4"/>
  <c r="AM120" i="4"/>
  <c r="AM142" i="4"/>
  <c r="AM112" i="4"/>
  <c r="AI204" i="4"/>
  <c r="AJ200" i="4"/>
  <c r="AI164" i="4"/>
  <c r="AI176" i="4"/>
  <c r="AI203" i="4"/>
  <c r="AJ111" i="4"/>
  <c r="AI201" i="4"/>
  <c r="AJ45" i="4"/>
  <c r="AI194" i="4"/>
  <c r="AI126" i="4"/>
  <c r="AL136" i="4"/>
  <c r="AN136" i="4" s="1"/>
  <c r="AL193" i="4"/>
  <c r="AN193" i="4" s="1"/>
  <c r="AL79" i="4"/>
  <c r="AN79" i="4" s="1"/>
  <c r="AL158" i="4"/>
  <c r="AN158" i="4" s="1"/>
  <c r="AL30" i="4"/>
  <c r="AN30" i="4" s="1"/>
  <c r="AL149" i="4"/>
  <c r="AN149" i="4" s="1"/>
  <c r="AL21" i="4"/>
  <c r="AN21" i="4" s="1"/>
  <c r="AL148" i="4"/>
  <c r="AN148" i="4" s="1"/>
  <c r="AL20" i="4"/>
  <c r="AN20" i="4" s="1"/>
  <c r="AL83" i="4"/>
  <c r="AN83" i="4" s="1"/>
  <c r="AL155" i="4"/>
  <c r="AN155" i="4" s="1"/>
  <c r="AL90" i="4"/>
  <c r="AN90" i="4" s="1"/>
  <c r="AM98" i="4"/>
  <c r="AM94" i="4"/>
  <c r="AM16" i="4"/>
  <c r="AM40" i="4"/>
  <c r="AM17" i="4"/>
  <c r="AM54" i="4"/>
  <c r="AM87" i="4"/>
  <c r="AI108" i="4"/>
  <c r="AI88" i="4"/>
  <c r="AJ11" i="4"/>
  <c r="AJ26" i="4"/>
  <c r="AI15" i="4"/>
  <c r="AI44" i="4"/>
  <c r="AI99" i="4"/>
  <c r="AJ98" i="4"/>
  <c r="AI18" i="4"/>
  <c r="AI48" i="4"/>
  <c r="AJ19" i="4"/>
  <c r="J156" i="4"/>
  <c r="K156" i="4" s="1"/>
  <c r="AJ144" i="4"/>
  <c r="AJ122" i="4"/>
  <c r="AM189" i="4"/>
  <c r="AM204" i="4"/>
  <c r="AM193" i="4"/>
  <c r="AM187" i="4"/>
  <c r="AM117" i="4"/>
  <c r="AM140" i="4"/>
  <c r="AM111" i="4"/>
  <c r="AI188" i="4"/>
  <c r="AI184" i="4"/>
  <c r="AI149" i="4"/>
  <c r="AL128" i="4"/>
  <c r="AN128" i="4" s="1"/>
  <c r="AL137" i="4"/>
  <c r="AN137" i="4" s="1"/>
  <c r="AL71" i="4"/>
  <c r="AN71" i="4" s="1"/>
  <c r="AL150" i="4"/>
  <c r="AN150" i="4" s="1"/>
  <c r="AL22" i="4"/>
  <c r="AN22" i="4" s="1"/>
  <c r="AL141" i="4"/>
  <c r="AN141" i="4" s="1"/>
  <c r="AL13" i="4"/>
  <c r="AN13" i="4" s="1"/>
  <c r="AL140" i="4"/>
  <c r="AN140" i="4" s="1"/>
  <c r="AL12" i="4"/>
  <c r="AN12" i="4" s="1"/>
  <c r="AL75" i="4"/>
  <c r="AN75" i="4" s="1"/>
  <c r="AL9" i="4"/>
  <c r="AN9" i="4" s="1"/>
  <c r="AL82" i="4"/>
  <c r="AN82" i="4" s="1"/>
  <c r="AM82" i="4"/>
  <c r="AM55" i="4"/>
  <c r="AM101" i="4"/>
  <c r="AM58" i="4"/>
  <c r="AM26" i="4"/>
  <c r="AM103" i="4"/>
  <c r="AJ92" i="4"/>
  <c r="AJ16" i="4"/>
  <c r="AI29" i="4"/>
  <c r="J18" i="4"/>
  <c r="U18" i="4" s="1"/>
  <c r="V18" i="4" s="1"/>
  <c r="W18" i="4" s="1"/>
  <c r="AI22" i="4"/>
  <c r="AI63" i="4"/>
  <c r="AI55" i="4"/>
  <c r="AJ10" i="4"/>
  <c r="AJ97" i="4"/>
  <c r="AJ126" i="4"/>
  <c r="AJ156" i="4"/>
  <c r="AJ136" i="4"/>
  <c r="J207" i="4"/>
  <c r="AD207" i="4" s="1"/>
  <c r="AE207" i="4" s="1"/>
  <c r="AM209" i="4"/>
  <c r="AM122" i="4"/>
  <c r="AM188" i="4"/>
  <c r="AM186" i="4"/>
  <c r="AM155" i="4"/>
  <c r="AM116" i="4"/>
  <c r="AM139" i="4"/>
  <c r="AJ184" i="4"/>
  <c r="AI148" i="4"/>
  <c r="AI195" i="4"/>
  <c r="AI155" i="4"/>
  <c r="AI122" i="4"/>
  <c r="AL177" i="4"/>
  <c r="AN177" i="4" s="1"/>
  <c r="AL120" i="4"/>
  <c r="AN120" i="4" s="1"/>
  <c r="AL89" i="4"/>
  <c r="AN89" i="4" s="1"/>
  <c r="AL63" i="4"/>
  <c r="AN63" i="4" s="1"/>
  <c r="AL142" i="4"/>
  <c r="AN142" i="4" s="1"/>
  <c r="AL14" i="4"/>
  <c r="AN14" i="4" s="1"/>
  <c r="AL133" i="4"/>
  <c r="AN133" i="4" s="1"/>
  <c r="AL209" i="4"/>
  <c r="AN209" i="4" s="1"/>
  <c r="AL132" i="4"/>
  <c r="AN132" i="4" s="1"/>
  <c r="AL161" i="4"/>
  <c r="AN161" i="4" s="1"/>
  <c r="AL67" i="4"/>
  <c r="AN67" i="4" s="1"/>
  <c r="AL202" i="4"/>
  <c r="AN202" i="4" s="1"/>
  <c r="AL74" i="4"/>
  <c r="AN74" i="4" s="1"/>
  <c r="AM42" i="4"/>
  <c r="AM49" i="4"/>
  <c r="AM47" i="4"/>
  <c r="AM56" i="4"/>
  <c r="AM96" i="4"/>
  <c r="AM76" i="4"/>
  <c r="AJ66" i="4"/>
  <c r="AJ75" i="4"/>
  <c r="AI69" i="4"/>
  <c r="AI31" i="4"/>
  <c r="AJ22" i="4"/>
  <c r="AJ35" i="4"/>
  <c r="J32" i="4"/>
  <c r="AI104" i="4"/>
  <c r="AI26" i="4"/>
  <c r="J143" i="4"/>
  <c r="N143" i="4" s="1"/>
  <c r="O143" i="4" s="1"/>
  <c r="Q143" i="4" s="1"/>
  <c r="J171" i="4"/>
  <c r="K171" i="4" s="1"/>
  <c r="AJ207" i="4"/>
  <c r="J198" i="4"/>
  <c r="N198" i="4" s="1"/>
  <c r="O198" i="4" s="1"/>
  <c r="Q198" i="4" s="1"/>
  <c r="AM184" i="4"/>
  <c r="AM167" i="4"/>
  <c r="AM185" i="4"/>
  <c r="AM154" i="4"/>
  <c r="AM143" i="4"/>
  <c r="AM138" i="4"/>
  <c r="AI172" i="4"/>
  <c r="AI168" i="4"/>
  <c r="AI132" i="4"/>
  <c r="AI193" i="4"/>
  <c r="AI141" i="4"/>
  <c r="AI147" i="4"/>
  <c r="AL129" i="4"/>
  <c r="AN129" i="4" s="1"/>
  <c r="AL112" i="4"/>
  <c r="AN112" i="4" s="1"/>
  <c r="AL25" i="4"/>
  <c r="AN25" i="4" s="1"/>
  <c r="AL55" i="4"/>
  <c r="AN55" i="4" s="1"/>
  <c r="AL134" i="4"/>
  <c r="AN134" i="4" s="1"/>
  <c r="AL169" i="4"/>
  <c r="AN169" i="4" s="1"/>
  <c r="AL125" i="4"/>
  <c r="AN125" i="4" s="1"/>
  <c r="AL145" i="4"/>
  <c r="AN145" i="4" s="1"/>
  <c r="AL124" i="4"/>
  <c r="AN124" i="4" s="1"/>
  <c r="AL73" i="4"/>
  <c r="AN73" i="4" s="1"/>
  <c r="AL59" i="4"/>
  <c r="AN59" i="4" s="1"/>
  <c r="AL194" i="4"/>
  <c r="AN194" i="4" s="1"/>
  <c r="AL66" i="4"/>
  <c r="AN66" i="4" s="1"/>
  <c r="AM28" i="4"/>
  <c r="AM95" i="4"/>
  <c r="AM88" i="4"/>
  <c r="AM108" i="4"/>
  <c r="AM93" i="4"/>
  <c r="AM51" i="4"/>
  <c r="AI106" i="4"/>
  <c r="AI76" i="4"/>
  <c r="AI72" i="4"/>
  <c r="J83" i="4"/>
  <c r="AI56" i="4"/>
  <c r="AI84" i="4"/>
  <c r="AI19" i="4"/>
  <c r="AJ59" i="4"/>
  <c r="AI61" i="4"/>
  <c r="AJ15" i="4"/>
  <c r="AJ51" i="4"/>
  <c r="AJ83" i="4"/>
  <c r="AJ193" i="4"/>
  <c r="J138" i="4"/>
  <c r="AJ169" i="4"/>
  <c r="AJ171" i="4"/>
  <c r="AJ115" i="4"/>
  <c r="AM10" i="4"/>
  <c r="AM207" i="4"/>
  <c r="AM136" i="4"/>
  <c r="AM130" i="4"/>
  <c r="AI152" i="4"/>
  <c r="AI144" i="4"/>
  <c r="AI189" i="4"/>
  <c r="AJ141" i="4"/>
  <c r="AL81" i="4"/>
  <c r="AN81" i="4" s="1"/>
  <c r="AL104" i="4"/>
  <c r="AN104" i="4" s="1"/>
  <c r="AL175" i="4"/>
  <c r="AN175" i="4" s="1"/>
  <c r="AL47" i="4"/>
  <c r="AN47" i="4" s="1"/>
  <c r="AL126" i="4"/>
  <c r="AN126" i="4" s="1"/>
  <c r="AL113" i="4"/>
  <c r="AN113" i="4" s="1"/>
  <c r="AL117" i="4"/>
  <c r="AN117" i="4" s="1"/>
  <c r="AL97" i="4"/>
  <c r="AN97" i="4" s="1"/>
  <c r="AL116" i="4"/>
  <c r="AN116" i="4" s="1"/>
  <c r="AL203" i="4"/>
  <c r="AN203" i="4" s="1"/>
  <c r="AL51" i="4"/>
  <c r="AN51" i="4" s="1"/>
  <c r="AL186" i="4"/>
  <c r="AN186" i="4" s="1"/>
  <c r="AL58" i="4"/>
  <c r="AN58" i="4" s="1"/>
  <c r="AM64" i="4"/>
  <c r="AM34" i="4"/>
  <c r="AM72" i="4"/>
  <c r="AM68" i="4"/>
  <c r="AM30" i="4"/>
  <c r="AM41" i="4"/>
  <c r="AJ30" i="4"/>
  <c r="AJ34" i="4"/>
  <c r="AI79" i="4"/>
  <c r="AJ99" i="4"/>
  <c r="AI51" i="4"/>
  <c r="AJ69" i="4"/>
  <c r="AJ18" i="4"/>
  <c r="J39" i="4"/>
  <c r="AJ55" i="4"/>
  <c r="AI74" i="4"/>
  <c r="AI60" i="4"/>
  <c r="AJ94" i="4"/>
  <c r="AJ80" i="4"/>
  <c r="AJ135" i="4"/>
  <c r="AJ189" i="4"/>
  <c r="J189" i="4"/>
  <c r="N189" i="4" s="1"/>
  <c r="O189" i="4" s="1"/>
  <c r="Q189" i="4" s="1"/>
  <c r="AJ125" i="4"/>
  <c r="AJ198" i="4"/>
  <c r="AM206" i="4"/>
  <c r="AM182" i="4"/>
  <c r="AM200" i="4"/>
  <c r="AM196" i="4"/>
  <c r="AM174" i="4"/>
  <c r="AM135" i="4"/>
  <c r="AM129" i="4"/>
  <c r="AI156" i="4"/>
  <c r="AI136" i="4"/>
  <c r="AI116" i="4"/>
  <c r="AI175" i="4"/>
  <c r="AI137" i="4"/>
  <c r="AI139" i="4"/>
  <c r="AL65" i="4"/>
  <c r="AN65" i="4" s="1"/>
  <c r="AL96" i="4"/>
  <c r="AN96" i="4" s="1"/>
  <c r="AL167" i="4"/>
  <c r="AN167" i="4" s="1"/>
  <c r="AL39" i="4"/>
  <c r="AN39" i="4" s="1"/>
  <c r="AL118" i="4"/>
  <c r="AN118" i="4" s="1"/>
  <c r="AL41" i="4"/>
  <c r="AN41" i="4" s="1"/>
  <c r="AL109" i="4"/>
  <c r="AN109" i="4" s="1"/>
  <c r="AL33" i="4"/>
  <c r="AN33" i="4" s="1"/>
  <c r="AL108" i="4"/>
  <c r="AN108" i="4" s="1"/>
  <c r="AL187" i="4"/>
  <c r="AN187" i="4" s="1"/>
  <c r="AL43" i="4"/>
  <c r="AN43" i="4" s="1"/>
  <c r="AL178" i="4"/>
  <c r="AN178" i="4" s="1"/>
  <c r="AJ53" i="4"/>
  <c r="AI45" i="4"/>
  <c r="AP174" i="4"/>
  <c r="I53" i="4"/>
  <c r="I45" i="4"/>
  <c r="AJ146" i="4"/>
  <c r="AJ114" i="4"/>
  <c r="AJ206" i="4"/>
  <c r="AJ209" i="4"/>
  <c r="AJ177" i="4"/>
  <c r="AJ105" i="4"/>
  <c r="AI50" i="4"/>
  <c r="AJ50" i="4"/>
  <c r="I146" i="4"/>
  <c r="J146" i="4" s="1"/>
  <c r="R146" i="4" s="1"/>
  <c r="S146" i="4" s="1"/>
  <c r="T146" i="4" s="1"/>
  <c r="I119" i="4"/>
  <c r="J119" i="4" s="1"/>
  <c r="L119" i="4" s="1"/>
  <c r="I184" i="4"/>
  <c r="J184" i="4" s="1"/>
  <c r="L184" i="4" s="1"/>
  <c r="I106" i="4"/>
  <c r="AP80" i="4"/>
  <c r="AJ54" i="4"/>
  <c r="AJ101" i="4"/>
  <c r="I175" i="4"/>
  <c r="J175" i="4" s="1"/>
  <c r="N175" i="4" s="1"/>
  <c r="O175" i="4" s="1"/>
  <c r="Q175" i="4" s="1"/>
  <c r="I115" i="4"/>
  <c r="I141" i="4"/>
  <c r="J141" i="4" s="1"/>
  <c r="X141" i="4" s="1"/>
  <c r="Y141" i="4" s="1"/>
  <c r="AJ188" i="4"/>
  <c r="AJ68" i="4"/>
  <c r="I9" i="4"/>
  <c r="AJ36" i="4"/>
  <c r="I174" i="4"/>
  <c r="J174" i="4" s="1"/>
  <c r="R174" i="4" s="1"/>
  <c r="S174" i="4" s="1"/>
  <c r="T174" i="4" s="1"/>
  <c r="I196" i="4"/>
  <c r="J196" i="4" s="1"/>
  <c r="L196" i="4" s="1"/>
  <c r="AJ119" i="4"/>
  <c r="B72" i="4"/>
  <c r="AI105" i="4"/>
  <c r="AP40" i="4"/>
  <c r="AP106" i="4"/>
  <c r="I114" i="4"/>
  <c r="J114" i="4" s="1"/>
  <c r="R114" i="4" s="1"/>
  <c r="S114" i="4" s="1"/>
  <c r="T114" i="4" s="1"/>
  <c r="I111" i="4"/>
  <c r="AP111" i="4"/>
  <c r="AP209" i="4"/>
  <c r="AP123" i="4"/>
  <c r="AP196" i="4"/>
  <c r="I200" i="4"/>
  <c r="J200" i="4" s="1"/>
  <c r="X200" i="4" s="1"/>
  <c r="Y200" i="4" s="1"/>
  <c r="B216" i="2"/>
  <c r="I50" i="4"/>
  <c r="J50" i="4" s="1"/>
  <c r="X50" i="4" s="1"/>
  <c r="Y50" i="4" s="1"/>
  <c r="AJ24" i="4"/>
  <c r="AI101" i="4"/>
  <c r="I54" i="4"/>
  <c r="J54" i="4" s="1"/>
  <c r="AD54" i="4" s="1"/>
  <c r="AE54" i="4" s="1"/>
  <c r="AI96" i="4"/>
  <c r="AP45" i="4"/>
  <c r="AJ110" i="4"/>
  <c r="AP206" i="4"/>
  <c r="AP175" i="4"/>
  <c r="I96" i="4"/>
  <c r="J96" i="4" s="1"/>
  <c r="K96" i="4" s="1"/>
  <c r="AP68" i="4"/>
  <c r="AP200" i="4"/>
  <c r="I46" i="4"/>
  <c r="AJ49" i="4"/>
  <c r="AI24" i="4"/>
  <c r="I49" i="4"/>
  <c r="AI54" i="4"/>
  <c r="AJ96" i="4"/>
  <c r="AP172" i="4"/>
  <c r="AJ145" i="4"/>
  <c r="AJ183" i="4"/>
  <c r="I209" i="4"/>
  <c r="J209" i="4" s="1"/>
  <c r="K209" i="4" s="1"/>
  <c r="AJ106" i="4"/>
  <c r="AP53" i="4"/>
  <c r="AJ142" i="4"/>
  <c r="I123" i="4"/>
  <c r="J123" i="4" s="1"/>
  <c r="K123" i="4" s="1"/>
  <c r="I188" i="4"/>
  <c r="J188" i="4" s="1"/>
  <c r="N188" i="4" s="1"/>
  <c r="O188" i="4" s="1"/>
  <c r="Q188" i="4" s="1"/>
  <c r="I177" i="4"/>
  <c r="J177" i="4" s="1"/>
  <c r="K177" i="4" s="1"/>
  <c r="I101" i="4"/>
  <c r="J101" i="4" s="1"/>
  <c r="K101" i="4" s="1"/>
  <c r="AJ9" i="4"/>
  <c r="AP42" i="4"/>
  <c r="AJ123" i="4"/>
  <c r="I110" i="4"/>
  <c r="I142" i="4"/>
  <c r="J142" i="4" s="1"/>
  <c r="U142" i="4" s="1"/>
  <c r="V142" i="4" s="1"/>
  <c r="W142" i="4" s="1"/>
  <c r="AP114" i="4"/>
  <c r="AJ172" i="4"/>
  <c r="I145" i="4"/>
  <c r="J145" i="4" s="1"/>
  <c r="AD145" i="4" s="1"/>
  <c r="AE145" i="4" s="1"/>
  <c r="I24" i="4"/>
  <c r="AP119" i="4"/>
  <c r="B17" i="2"/>
  <c r="J202" i="4"/>
  <c r="K202" i="4" s="1"/>
  <c r="J99" i="4"/>
  <c r="X99" i="4" s="1"/>
  <c r="Y99" i="4" s="1"/>
  <c r="N97" i="4"/>
  <c r="O97" i="4" s="1"/>
  <c r="Q97" i="4" s="1"/>
  <c r="X176" i="4"/>
  <c r="Y176" i="4" s="1"/>
  <c r="L176" i="4"/>
  <c r="R176" i="4"/>
  <c r="S176" i="4" s="1"/>
  <c r="T176" i="4" s="1"/>
  <c r="R208" i="4"/>
  <c r="S208" i="4" s="1"/>
  <c r="T208" i="4" s="1"/>
  <c r="X68" i="4"/>
  <c r="Y68" i="4" s="1"/>
  <c r="K183" i="4"/>
  <c r="X183" i="4"/>
  <c r="Y183" i="4" s="1"/>
  <c r="AD183" i="4"/>
  <c r="AE183" i="4" s="1"/>
  <c r="N183" i="4"/>
  <c r="O183" i="4" s="1"/>
  <c r="Q183" i="4" s="1"/>
  <c r="R183" i="4"/>
  <c r="S183" i="4" s="1"/>
  <c r="T183" i="4" s="1"/>
  <c r="U183" i="4"/>
  <c r="V183" i="4" s="1"/>
  <c r="W183" i="4" s="1"/>
  <c r="L183" i="4"/>
  <c r="R13" i="4"/>
  <c r="S13" i="4" s="1"/>
  <c r="T13" i="4" s="1"/>
  <c r="C243" i="2"/>
  <c r="F243" i="2" s="1"/>
  <c r="C44" i="16" s="1"/>
  <c r="B244" i="2"/>
  <c r="D44" i="16" s="1"/>
  <c r="D242" i="2"/>
  <c r="L198" i="4"/>
  <c r="J19" i="4" l="1"/>
  <c r="R19" i="4" s="1"/>
  <c r="S19" i="4" s="1"/>
  <c r="T19" i="4" s="1"/>
  <c r="U19" i="4"/>
  <c r="V19" i="4" s="1"/>
  <c r="W19" i="4" s="1"/>
  <c r="AD136" i="4"/>
  <c r="AE136" i="4" s="1"/>
  <c r="N136" i="4"/>
  <c r="O136" i="4" s="1"/>
  <c r="Q136" i="4" s="1"/>
  <c r="U136" i="4"/>
  <c r="V136" i="4" s="1"/>
  <c r="W136" i="4" s="1"/>
  <c r="R136" i="4"/>
  <c r="S136" i="4" s="1"/>
  <c r="T136" i="4" s="1"/>
  <c r="L136" i="4"/>
  <c r="AB136" i="4" s="1"/>
  <c r="X34" i="4"/>
  <c r="Y34" i="4" s="1"/>
  <c r="J34" i="4"/>
  <c r="K34" i="4" s="1"/>
  <c r="U34" i="4"/>
  <c r="V34" i="4" s="1"/>
  <c r="W34" i="4" s="1"/>
  <c r="AP34" i="4"/>
  <c r="U68" i="4"/>
  <c r="V68" i="4" s="1"/>
  <c r="W68" i="4" s="1"/>
  <c r="N176" i="4"/>
  <c r="O176" i="4" s="1"/>
  <c r="Q176" i="4" s="1"/>
  <c r="K97" i="4"/>
  <c r="AI187" i="4"/>
  <c r="AI82" i="4"/>
  <c r="AI160" i="4"/>
  <c r="AJ95" i="4"/>
  <c r="AI70" i="4"/>
  <c r="AJ37" i="4"/>
  <c r="AJ70" i="4"/>
  <c r="AP128" i="4"/>
  <c r="AP153" i="4"/>
  <c r="I57" i="4"/>
  <c r="J57" i="4" s="1"/>
  <c r="K57" i="4" s="1"/>
  <c r="I62" i="4"/>
  <c r="J62" i="4" s="1"/>
  <c r="U62" i="4" s="1"/>
  <c r="V62" i="4" s="1"/>
  <c r="W62" i="4" s="1"/>
  <c r="AP87" i="4"/>
  <c r="I182" i="4"/>
  <c r="J182" i="4" s="1"/>
  <c r="U182" i="4" s="1"/>
  <c r="V182" i="4" s="1"/>
  <c r="W182" i="4" s="1"/>
  <c r="I77" i="4"/>
  <c r="J77" i="4" s="1"/>
  <c r="N77" i="4" s="1"/>
  <c r="O77" i="4" s="1"/>
  <c r="Q77" i="4" s="1"/>
  <c r="AP37" i="4"/>
  <c r="AP160" i="4"/>
  <c r="AP135" i="4"/>
  <c r="AP138" i="4"/>
  <c r="I164" i="4"/>
  <c r="J164" i="4" s="1"/>
  <c r="K164" i="4" s="1"/>
  <c r="AP185" i="4"/>
  <c r="I186" i="4"/>
  <c r="I31" i="4"/>
  <c r="J31" i="4" s="1"/>
  <c r="K31" i="4" s="1"/>
  <c r="I149" i="4"/>
  <c r="J149" i="4" s="1"/>
  <c r="U149" i="4" s="1"/>
  <c r="V149" i="4" s="1"/>
  <c r="W149" i="4" s="1"/>
  <c r="AP95" i="4"/>
  <c r="I161" i="4"/>
  <c r="J161" i="4" s="1"/>
  <c r="N161" i="4" s="1"/>
  <c r="O161" i="4" s="1"/>
  <c r="Q161" i="4" s="1"/>
  <c r="I90" i="4"/>
  <c r="J90" i="4" s="1"/>
  <c r="U90" i="4" s="1"/>
  <c r="V90" i="4" s="1"/>
  <c r="W90" i="4" s="1"/>
  <c r="I193" i="4"/>
  <c r="J193" i="4" s="1"/>
  <c r="L193" i="4" s="1"/>
  <c r="AP170" i="4"/>
  <c r="U143" i="4"/>
  <c r="V143" i="4" s="1"/>
  <c r="W143" i="4" s="1"/>
  <c r="AI163" i="4"/>
  <c r="AJ82" i="4"/>
  <c r="AJ161" i="4"/>
  <c r="AJ168" i="4"/>
  <c r="AI161" i="4"/>
  <c r="I137" i="4"/>
  <c r="J137" i="4" s="1"/>
  <c r="AP82" i="4"/>
  <c r="AJ93" i="4"/>
  <c r="AJ163" i="4"/>
  <c r="AI12" i="4"/>
  <c r="AP19" i="4"/>
  <c r="AP201" i="4"/>
  <c r="AP18" i="4"/>
  <c r="L19" i="4"/>
  <c r="X81" i="4"/>
  <c r="Y81" i="4" s="1"/>
  <c r="N19" i="4"/>
  <c r="O19" i="4" s="1"/>
  <c r="Q19" i="4" s="1"/>
  <c r="U81" i="4"/>
  <c r="V81" i="4" s="1"/>
  <c r="W81" i="4" s="1"/>
  <c r="N13" i="4"/>
  <c r="O13" i="4" s="1"/>
  <c r="Q13" i="4" s="1"/>
  <c r="N170" i="4"/>
  <c r="O170" i="4" s="1"/>
  <c r="Q170" i="4" s="1"/>
  <c r="K170" i="4"/>
  <c r="Z170" i="4" s="1"/>
  <c r="X170" i="4"/>
  <c r="Y170" i="4" s="1"/>
  <c r="L170" i="4"/>
  <c r="U170" i="4"/>
  <c r="V170" i="4" s="1"/>
  <c r="W170" i="4" s="1"/>
  <c r="R170" i="4"/>
  <c r="S170" i="4" s="1"/>
  <c r="T170" i="4" s="1"/>
  <c r="N116" i="4"/>
  <c r="O116" i="4" s="1"/>
  <c r="Q116" i="4" s="1"/>
  <c r="U97" i="4"/>
  <c r="V97" i="4" s="1"/>
  <c r="W97" i="4" s="1"/>
  <c r="N81" i="4"/>
  <c r="O81" i="4" s="1"/>
  <c r="Q81" i="4" s="1"/>
  <c r="L81" i="4"/>
  <c r="M81" i="4" s="1"/>
  <c r="AA81" i="4" s="1"/>
  <c r="N51" i="4"/>
  <c r="O51" i="4" s="1"/>
  <c r="Q51" i="4" s="1"/>
  <c r="I150" i="4"/>
  <c r="J125" i="4"/>
  <c r="I65" i="4"/>
  <c r="J65" i="4" s="1"/>
  <c r="K65" i="4" s="1"/>
  <c r="AP186" i="4"/>
  <c r="AD170" i="4"/>
  <c r="AE170" i="4" s="1"/>
  <c r="U116" i="4"/>
  <c r="V116" i="4" s="1"/>
  <c r="W116" i="4" s="1"/>
  <c r="AI65" i="4"/>
  <c r="AJ52" i="4"/>
  <c r="U51" i="4"/>
  <c r="V51" i="4" s="1"/>
  <c r="W51" i="4" s="1"/>
  <c r="AD116" i="4"/>
  <c r="AE116" i="4" s="1"/>
  <c r="U131" i="4"/>
  <c r="V131" i="4" s="1"/>
  <c r="W131" i="4" s="1"/>
  <c r="AD81" i="4"/>
  <c r="AE81" i="4" s="1"/>
  <c r="X51" i="4"/>
  <c r="Y51" i="4" s="1"/>
  <c r="X116" i="4"/>
  <c r="Y116" i="4" s="1"/>
  <c r="R81" i="4"/>
  <c r="S81" i="4" s="1"/>
  <c r="T81" i="4" s="1"/>
  <c r="U121" i="4"/>
  <c r="V121" i="4" s="1"/>
  <c r="W121" i="4" s="1"/>
  <c r="B73" i="4"/>
  <c r="AP67" i="4"/>
  <c r="X27" i="4"/>
  <c r="Y27" i="4" s="1"/>
  <c r="R27" i="4"/>
  <c r="S27" i="4" s="1"/>
  <c r="T27" i="4" s="1"/>
  <c r="AP191" i="4"/>
  <c r="AJ191" i="4"/>
  <c r="I58" i="4"/>
  <c r="AP58" i="4"/>
  <c r="AJ58" i="4"/>
  <c r="AI58" i="4"/>
  <c r="AI178" i="4"/>
  <c r="AJ178" i="4"/>
  <c r="AP178" i="4"/>
  <c r="I178" i="4"/>
  <c r="J178" i="4" s="1"/>
  <c r="K178" i="4" s="1"/>
  <c r="I100" i="4"/>
  <c r="J100" i="4" s="1"/>
  <c r="K100" i="4" s="1"/>
  <c r="AP100" i="4"/>
  <c r="AJ100" i="4"/>
  <c r="AI86" i="4"/>
  <c r="AP86" i="4"/>
  <c r="AJ86" i="4"/>
  <c r="I20" i="4"/>
  <c r="J20" i="4" s="1"/>
  <c r="U20" i="4" s="1"/>
  <c r="V20" i="4" s="1"/>
  <c r="W20" i="4" s="1"/>
  <c r="AI20" i="4"/>
  <c r="J158" i="4"/>
  <c r="R158" i="4" s="1"/>
  <c r="S158" i="4" s="1"/>
  <c r="T158" i="4" s="1"/>
  <c r="AJ133" i="4"/>
  <c r="I154" i="4"/>
  <c r="J154" i="4" s="1"/>
  <c r="K154" i="4" s="1"/>
  <c r="AJ154" i="4"/>
  <c r="AI154" i="4"/>
  <c r="AP154" i="4"/>
  <c r="AP205" i="4"/>
  <c r="I205" i="4"/>
  <c r="J205" i="4" s="1"/>
  <c r="U205" i="4" s="1"/>
  <c r="V205" i="4" s="1"/>
  <c r="W205" i="4" s="1"/>
  <c r="AI102" i="4"/>
  <c r="AP102" i="4"/>
  <c r="I102" i="4"/>
  <c r="J102" i="4" s="1"/>
  <c r="AJ102" i="4"/>
  <c r="I165" i="4"/>
  <c r="J165" i="4" s="1"/>
  <c r="K165" i="4" s="1"/>
  <c r="AI165" i="4"/>
  <c r="AP127" i="4"/>
  <c r="AJ127" i="4"/>
  <c r="I127" i="4"/>
  <c r="J127" i="4" s="1"/>
  <c r="AI73" i="4"/>
  <c r="AJ73" i="4"/>
  <c r="I73" i="4"/>
  <c r="J73" i="4" s="1"/>
  <c r="X73" i="4" s="1"/>
  <c r="Y73" i="4" s="1"/>
  <c r="AP73" i="4"/>
  <c r="L131" i="4"/>
  <c r="AI191" i="4"/>
  <c r="AJ165" i="4"/>
  <c r="AD166" i="4"/>
  <c r="AE166" i="4" s="1"/>
  <c r="AI40" i="4"/>
  <c r="I40" i="4"/>
  <c r="X155" i="4"/>
  <c r="Y155" i="4" s="1"/>
  <c r="K155" i="4"/>
  <c r="N155" i="4"/>
  <c r="O155" i="4" s="1"/>
  <c r="Q155" i="4" s="1"/>
  <c r="J166" i="4"/>
  <c r="K166" i="4" s="1"/>
  <c r="I52" i="4"/>
  <c r="J52" i="4" s="1"/>
  <c r="X52" i="4" s="1"/>
  <c r="Y52" i="4" s="1"/>
  <c r="J150" i="4"/>
  <c r="L150" i="4" s="1"/>
  <c r="J129" i="4"/>
  <c r="X129" i="4" s="1"/>
  <c r="Y129" i="4" s="1"/>
  <c r="U27" i="4"/>
  <c r="V27" i="4" s="1"/>
  <c r="W27" i="4" s="1"/>
  <c r="AJ140" i="4"/>
  <c r="AP140" i="4"/>
  <c r="I112" i="4"/>
  <c r="J112" i="4" s="1"/>
  <c r="N112" i="4" s="1"/>
  <c r="O112" i="4" s="1"/>
  <c r="Q112" i="4" s="1"/>
  <c r="AP112" i="4"/>
  <c r="AI112" i="4"/>
  <c r="J186" i="4"/>
  <c r="AP158" i="4"/>
  <c r="I33" i="4"/>
  <c r="AI33" i="4"/>
  <c r="AP33" i="4"/>
  <c r="AI120" i="4"/>
  <c r="AP120" i="4"/>
  <c r="AJ120" i="4"/>
  <c r="I120" i="4"/>
  <c r="J120" i="4" s="1"/>
  <c r="U120" i="4" s="1"/>
  <c r="V120" i="4" s="1"/>
  <c r="W120" i="4" s="1"/>
  <c r="I117" i="4"/>
  <c r="J117" i="4" s="1"/>
  <c r="AI117" i="4"/>
  <c r="AJ20" i="4"/>
  <c r="L138" i="4"/>
  <c r="K138" i="4"/>
  <c r="AD138" i="4"/>
  <c r="AE138" i="4" s="1"/>
  <c r="J153" i="4"/>
  <c r="X153" i="4" s="1"/>
  <c r="Y153" i="4" s="1"/>
  <c r="AJ112" i="4"/>
  <c r="J147" i="4"/>
  <c r="X147" i="4" s="1"/>
  <c r="Y147" i="4" s="1"/>
  <c r="J180" i="4"/>
  <c r="U180" i="4" s="1"/>
  <c r="V180" i="4" s="1"/>
  <c r="W180" i="4" s="1"/>
  <c r="K69" i="4"/>
  <c r="N69" i="4"/>
  <c r="O69" i="4" s="1"/>
  <c r="Q69" i="4" s="1"/>
  <c r="I130" i="4"/>
  <c r="J130" i="4" s="1"/>
  <c r="L130" i="4" s="1"/>
  <c r="M130" i="4" s="1"/>
  <c r="AA130" i="4" s="1"/>
  <c r="AI130" i="4"/>
  <c r="AJ130" i="4"/>
  <c r="AP130" i="4"/>
  <c r="J199" i="4"/>
  <c r="AI78" i="4"/>
  <c r="AJ78" i="4"/>
  <c r="I78" i="4"/>
  <c r="J78" i="4" s="1"/>
  <c r="X78" i="4" s="1"/>
  <c r="Y78" i="4" s="1"/>
  <c r="AP78" i="4"/>
  <c r="AP9" i="4"/>
  <c r="AI9" i="4"/>
  <c r="AJ162" i="4"/>
  <c r="AP162" i="4"/>
  <c r="AI162" i="4"/>
  <c r="I162" i="4"/>
  <c r="J162" i="4" s="1"/>
  <c r="X162" i="4" s="1"/>
  <c r="Y162" i="4" s="1"/>
  <c r="AI140" i="4"/>
  <c r="AP20" i="4"/>
  <c r="R198" i="4"/>
  <c r="S198" i="4" s="1"/>
  <c r="T198" i="4" s="1"/>
  <c r="X198" i="4"/>
  <c r="Y198" i="4" s="1"/>
  <c r="AI190" i="4"/>
  <c r="AJ25" i="4"/>
  <c r="K56" i="4"/>
  <c r="N56" i="4"/>
  <c r="O56" i="4" s="1"/>
  <c r="Q56" i="4" s="1"/>
  <c r="K68" i="4"/>
  <c r="N68" i="4"/>
  <c r="O68" i="4" s="1"/>
  <c r="Q68" i="4" s="1"/>
  <c r="R68" i="4"/>
  <c r="S68" i="4" s="1"/>
  <c r="T68" i="4" s="1"/>
  <c r="AI23" i="4"/>
  <c r="J89" i="4"/>
  <c r="L89" i="4" s="1"/>
  <c r="I103" i="4"/>
  <c r="J103" i="4" s="1"/>
  <c r="N103" i="4" s="1"/>
  <c r="O103" i="4" s="1"/>
  <c r="Q103" i="4" s="1"/>
  <c r="AP103" i="4"/>
  <c r="AP85" i="4"/>
  <c r="AI85" i="4"/>
  <c r="I85" i="4"/>
  <c r="I191" i="4"/>
  <c r="J191" i="4" s="1"/>
  <c r="N191" i="4" s="1"/>
  <c r="O191" i="4" s="1"/>
  <c r="Q191" i="4" s="1"/>
  <c r="I148" i="4"/>
  <c r="J148" i="4" s="1"/>
  <c r="U148" i="4" s="1"/>
  <c r="V148" i="4" s="1"/>
  <c r="W148" i="4" s="1"/>
  <c r="AP148" i="4"/>
  <c r="AJ148" i="4"/>
  <c r="AJ85" i="4"/>
  <c r="I190" i="4"/>
  <c r="J190" i="4" s="1"/>
  <c r="U190" i="4" s="1"/>
  <c r="V190" i="4" s="1"/>
  <c r="W190" i="4" s="1"/>
  <c r="L32" i="4"/>
  <c r="M32" i="4" s="1"/>
  <c r="AA32" i="4" s="1"/>
  <c r="R32" i="4"/>
  <c r="S32" i="4" s="1"/>
  <c r="T32" i="4" s="1"/>
  <c r="AI46" i="4"/>
  <c r="AJ46" i="4"/>
  <c r="I173" i="4"/>
  <c r="J173" i="4" s="1"/>
  <c r="AD173" i="4" s="1"/>
  <c r="AE173" i="4" s="1"/>
  <c r="AP173" i="4"/>
  <c r="AP133" i="4"/>
  <c r="I133" i="4"/>
  <c r="J133" i="4" s="1"/>
  <c r="N133" i="4" s="1"/>
  <c r="O133" i="4" s="1"/>
  <c r="Q133" i="4" s="1"/>
  <c r="AJ109" i="4"/>
  <c r="I109" i="4"/>
  <c r="J109" i="4" s="1"/>
  <c r="U109" i="4" s="1"/>
  <c r="V109" i="4" s="1"/>
  <c r="W109" i="4" s="1"/>
  <c r="AP109" i="4"/>
  <c r="AJ41" i="4"/>
  <c r="AI41" i="4"/>
  <c r="I179" i="4"/>
  <c r="J179" i="4" s="1"/>
  <c r="N179" i="4" s="1"/>
  <c r="O179" i="4" s="1"/>
  <c r="Q179" i="4" s="1"/>
  <c r="AP179" i="4"/>
  <c r="AJ23" i="4"/>
  <c r="I23" i="4"/>
  <c r="J23" i="4" s="1"/>
  <c r="K23" i="4" s="1"/>
  <c r="AJ158" i="4"/>
  <c r="AI158" i="4"/>
  <c r="AJ113" i="4"/>
  <c r="AP113" i="4"/>
  <c r="I107" i="4"/>
  <c r="AI107" i="4"/>
  <c r="AP107" i="4"/>
  <c r="K131" i="4"/>
  <c r="N131" i="4"/>
  <c r="O131" i="4" s="1"/>
  <c r="Q131" i="4" s="1"/>
  <c r="I167" i="4"/>
  <c r="J167" i="4" s="1"/>
  <c r="U167" i="4" s="1"/>
  <c r="V167" i="4" s="1"/>
  <c r="W167" i="4" s="1"/>
  <c r="AP167" i="4"/>
  <c r="AJ167" i="4"/>
  <c r="AI167" i="4"/>
  <c r="AP118" i="4"/>
  <c r="I118" i="4"/>
  <c r="J118" i="4" s="1"/>
  <c r="N118" i="4" s="1"/>
  <c r="O118" i="4" s="1"/>
  <c r="Q118" i="4" s="1"/>
  <c r="AI118" i="4"/>
  <c r="AJ64" i="4"/>
  <c r="I64" i="4"/>
  <c r="AP64" i="4"/>
  <c r="I38" i="4"/>
  <c r="J38" i="4" s="1"/>
  <c r="AD38" i="4" s="1"/>
  <c r="AE38" i="4" s="1"/>
  <c r="AP38" i="4"/>
  <c r="AP145" i="4"/>
  <c r="AI145" i="4"/>
  <c r="I36" i="4"/>
  <c r="J36" i="4" s="1"/>
  <c r="AD36" i="4" s="1"/>
  <c r="AE36" i="4" s="1"/>
  <c r="AP36" i="4"/>
  <c r="U69" i="4"/>
  <c r="V69" i="4" s="1"/>
  <c r="W69" i="4" s="1"/>
  <c r="AP52" i="4"/>
  <c r="K194" i="4"/>
  <c r="R194" i="4"/>
  <c r="S194" i="4" s="1"/>
  <c r="T194" i="4" s="1"/>
  <c r="I41" i="4"/>
  <c r="U168" i="4"/>
  <c r="V168" i="4" s="1"/>
  <c r="W168" i="4" s="1"/>
  <c r="J110" i="4"/>
  <c r="L110" i="4" s="1"/>
  <c r="AJ179" i="4"/>
  <c r="AP46" i="4"/>
  <c r="AI109" i="4"/>
  <c r="AI127" i="4"/>
  <c r="AJ118" i="4"/>
  <c r="R193" i="4"/>
  <c r="S193" i="4" s="1"/>
  <c r="T193" i="4" s="1"/>
  <c r="X194" i="4"/>
  <c r="Y194" i="4" s="1"/>
  <c r="X138" i="4"/>
  <c r="Y138" i="4" s="1"/>
  <c r="AJ205" i="4"/>
  <c r="AI103" i="4"/>
  <c r="AI36" i="4"/>
  <c r="AJ190" i="4"/>
  <c r="AI113" i="4"/>
  <c r="AJ173" i="4"/>
  <c r="X19" i="4"/>
  <c r="Y19" i="4" s="1"/>
  <c r="K19" i="4"/>
  <c r="AF19" i="4" s="1"/>
  <c r="AG19" i="4" s="1"/>
  <c r="AS19" i="4" s="1"/>
  <c r="AD19" i="4"/>
  <c r="AE19" i="4" s="1"/>
  <c r="AI25" i="4"/>
  <c r="AJ38" i="4"/>
  <c r="I140" i="4"/>
  <c r="I86" i="4"/>
  <c r="J86" i="4" s="1"/>
  <c r="AD86" i="4" s="1"/>
  <c r="AE86" i="4" s="1"/>
  <c r="AI67" i="4"/>
  <c r="AI153" i="4"/>
  <c r="AI166" i="4"/>
  <c r="AJ194" i="4"/>
  <c r="AJ32" i="4"/>
  <c r="AP110" i="4"/>
  <c r="AP65" i="4"/>
  <c r="I88" i="4"/>
  <c r="AP194" i="4"/>
  <c r="AP150" i="4"/>
  <c r="AP164" i="4"/>
  <c r="AP32" i="4"/>
  <c r="AP192" i="4"/>
  <c r="AJ63" i="4"/>
  <c r="AJ186" i="4"/>
  <c r="AJ166" i="4"/>
  <c r="AJ88" i="4"/>
  <c r="AI32" i="4"/>
  <c r="AJ67" i="4"/>
  <c r="AI197" i="4"/>
  <c r="I197" i="4"/>
  <c r="J197" i="4" s="1"/>
  <c r="R197" i="4" s="1"/>
  <c r="S197" i="4" s="1"/>
  <c r="T197" i="4" s="1"/>
  <c r="AI57" i="4"/>
  <c r="AI192" i="4"/>
  <c r="AP166" i="4"/>
  <c r="AP31" i="4"/>
  <c r="AP168" i="4"/>
  <c r="AP149" i="4"/>
  <c r="X136" i="4"/>
  <c r="Y136" i="4" s="1"/>
  <c r="I105" i="4"/>
  <c r="J105" i="4" s="1"/>
  <c r="N105" i="4" s="1"/>
  <c r="O105" i="4" s="1"/>
  <c r="Q105" i="4" s="1"/>
  <c r="AJ57" i="4"/>
  <c r="AJ197" i="4"/>
  <c r="L159" i="4"/>
  <c r="AD159" i="4"/>
  <c r="AE159" i="4" s="1"/>
  <c r="K128" i="4"/>
  <c r="U128" i="4"/>
  <c r="V128" i="4" s="1"/>
  <c r="W128" i="4" s="1"/>
  <c r="AD128" i="4"/>
  <c r="AE128" i="4" s="1"/>
  <c r="U55" i="4"/>
  <c r="V55" i="4" s="1"/>
  <c r="W55" i="4" s="1"/>
  <c r="K55" i="4"/>
  <c r="X123" i="4"/>
  <c r="Y123" i="4" s="1"/>
  <c r="K152" i="4"/>
  <c r="R204" i="4"/>
  <c r="S204" i="4" s="1"/>
  <c r="T204" i="4" s="1"/>
  <c r="K182" i="4"/>
  <c r="X97" i="4"/>
  <c r="Y97" i="4" s="1"/>
  <c r="L171" i="4"/>
  <c r="L51" i="4"/>
  <c r="R48" i="4"/>
  <c r="S48" i="4" s="1"/>
  <c r="T48" i="4" s="1"/>
  <c r="AD51" i="4"/>
  <c r="AE51" i="4" s="1"/>
  <c r="R209" i="4"/>
  <c r="S209" i="4" s="1"/>
  <c r="T209" i="4" s="1"/>
  <c r="U126" i="4"/>
  <c r="V126" i="4" s="1"/>
  <c r="W126" i="4" s="1"/>
  <c r="AD152" i="4"/>
  <c r="AE152" i="4" s="1"/>
  <c r="AD171" i="4"/>
  <c r="AE171" i="4" s="1"/>
  <c r="AD27" i="4"/>
  <c r="AE27" i="4" s="1"/>
  <c r="L116" i="4"/>
  <c r="U56" i="4"/>
  <c r="V56" i="4" s="1"/>
  <c r="W56" i="4" s="1"/>
  <c r="AN190" i="4"/>
  <c r="K51" i="4"/>
  <c r="L181" i="4"/>
  <c r="M181" i="4" s="1"/>
  <c r="AA181" i="4" s="1"/>
  <c r="AD181" i="4"/>
  <c r="AE181" i="4" s="1"/>
  <c r="X181" i="4"/>
  <c r="Y181" i="4" s="1"/>
  <c r="U181" i="4"/>
  <c r="V181" i="4" s="1"/>
  <c r="W181" i="4" s="1"/>
  <c r="R181" i="4"/>
  <c r="S181" i="4" s="1"/>
  <c r="T181" i="4" s="1"/>
  <c r="K181" i="4"/>
  <c r="N181" i="4"/>
  <c r="O181" i="4" s="1"/>
  <c r="Q181" i="4" s="1"/>
  <c r="K48" i="4"/>
  <c r="AD198" i="4"/>
  <c r="AE198" i="4" s="1"/>
  <c r="X193" i="4"/>
  <c r="Y193" i="4" s="1"/>
  <c r="U204" i="4"/>
  <c r="V204" i="4" s="1"/>
  <c r="W204" i="4" s="1"/>
  <c r="U123" i="4"/>
  <c r="V123" i="4" s="1"/>
  <c r="W123" i="4" s="1"/>
  <c r="AD176" i="4"/>
  <c r="AE176" i="4" s="1"/>
  <c r="X48" i="4"/>
  <c r="Y48" i="4" s="1"/>
  <c r="L48" i="4"/>
  <c r="AF48" i="4" s="1"/>
  <c r="U152" i="4"/>
  <c r="V152" i="4" s="1"/>
  <c r="W152" i="4" s="1"/>
  <c r="AD193" i="4"/>
  <c r="AE193" i="4" s="1"/>
  <c r="AD204" i="4"/>
  <c r="AE204" i="4" s="1"/>
  <c r="K116" i="4"/>
  <c r="Z116" i="4" s="1"/>
  <c r="AD201" i="4"/>
  <c r="AE201" i="4" s="1"/>
  <c r="AD32" i="4"/>
  <c r="AE32" i="4" s="1"/>
  <c r="K176" i="4"/>
  <c r="U155" i="4"/>
  <c r="V155" i="4" s="1"/>
  <c r="W155" i="4" s="1"/>
  <c r="A87" i="8"/>
  <c r="K204" i="4"/>
  <c r="L204" i="4"/>
  <c r="M204" i="4" s="1"/>
  <c r="AA204" i="4" s="1"/>
  <c r="X204" i="4"/>
  <c r="Y204" i="4" s="1"/>
  <c r="X32" i="4"/>
  <c r="Y32" i="4" s="1"/>
  <c r="L155" i="4"/>
  <c r="A108" i="8"/>
  <c r="A104" i="8"/>
  <c r="A119" i="8"/>
  <c r="J136" i="3"/>
  <c r="J660" i="3"/>
  <c r="J173" i="3"/>
  <c r="J332" i="3"/>
  <c r="J309" i="3"/>
  <c r="J197" i="3"/>
  <c r="J687" i="3"/>
  <c r="J11" i="3"/>
  <c r="J658" i="3"/>
  <c r="J50" i="3"/>
  <c r="J407" i="3"/>
  <c r="J598" i="3"/>
  <c r="J490" i="3"/>
  <c r="J467" i="3"/>
  <c r="J416" i="3"/>
  <c r="J417" i="3"/>
  <c r="J115" i="3"/>
  <c r="J340" i="3"/>
  <c r="J29" i="3"/>
  <c r="J616" i="3"/>
  <c r="J258" i="3"/>
  <c r="J338" i="3"/>
  <c r="J156" i="3"/>
  <c r="J32" i="3"/>
  <c r="J357" i="3"/>
  <c r="J132" i="3"/>
  <c r="J688" i="3"/>
  <c r="J431" i="3"/>
  <c r="J670" i="3"/>
  <c r="J220" i="3"/>
  <c r="J498" i="3"/>
  <c r="J167" i="3"/>
  <c r="J319" i="3"/>
  <c r="J605" i="3"/>
  <c r="J288" i="3"/>
  <c r="J99" i="3"/>
  <c r="J379" i="3"/>
  <c r="J426" i="3"/>
  <c r="J316" i="3"/>
  <c r="J9" i="3"/>
  <c r="J448" i="3"/>
  <c r="J662" i="3"/>
  <c r="J326" i="3"/>
  <c r="J34" i="3"/>
  <c r="J120" i="3"/>
  <c r="J566" i="3"/>
  <c r="J358" i="3"/>
  <c r="J158" i="3"/>
  <c r="J617" i="3"/>
  <c r="J668" i="3"/>
  <c r="J409" i="3"/>
  <c r="J233" i="3"/>
  <c r="J106" i="3"/>
  <c r="J384" i="3"/>
  <c r="J595" i="3"/>
  <c r="J146" i="3"/>
  <c r="J577" i="3"/>
  <c r="J524" i="3"/>
  <c r="J124" i="3"/>
  <c r="J166" i="3"/>
  <c r="J67" i="3"/>
  <c r="J273" i="3"/>
  <c r="J360" i="3"/>
  <c r="J26" i="3"/>
  <c r="J527" i="3"/>
  <c r="J204" i="3"/>
  <c r="J574" i="3"/>
  <c r="J36" i="3"/>
  <c r="J554" i="3"/>
  <c r="J279" i="3"/>
  <c r="J540" i="3"/>
  <c r="J153" i="3"/>
  <c r="J263" i="3"/>
  <c r="J682" i="3"/>
  <c r="J378" i="3"/>
  <c r="J555" i="3"/>
  <c r="J196" i="3"/>
  <c r="J328" i="3"/>
  <c r="J306" i="3"/>
  <c r="J157" i="3"/>
  <c r="J187" i="3"/>
  <c r="J51" i="3"/>
  <c r="J298" i="3"/>
  <c r="J640" i="3"/>
  <c r="J13" i="3"/>
  <c r="J19" i="3"/>
  <c r="J179" i="3"/>
  <c r="J111" i="3"/>
  <c r="J346" i="3"/>
  <c r="J440" i="3"/>
  <c r="J507" i="3"/>
  <c r="J594" i="3"/>
  <c r="J422" i="3"/>
  <c r="J48" i="3"/>
  <c r="J182" i="3"/>
  <c r="J493" i="3"/>
  <c r="J497" i="3"/>
  <c r="J243" i="3"/>
  <c r="J487" i="3"/>
  <c r="J248" i="3"/>
  <c r="J39" i="3"/>
  <c r="J325" i="3"/>
  <c r="J673" i="3"/>
  <c r="J591" i="3"/>
  <c r="J89" i="3"/>
  <c r="J521" i="3"/>
  <c r="J375" i="3"/>
  <c r="J76" i="3"/>
  <c r="J412" i="3"/>
  <c r="J60" i="3"/>
  <c r="J134" i="3"/>
  <c r="J517" i="3"/>
  <c r="J176" i="3"/>
  <c r="J451" i="3"/>
  <c r="J625" i="3"/>
  <c r="J620" i="3"/>
  <c r="J276" i="3"/>
  <c r="J629" i="3"/>
  <c r="J539" i="3"/>
  <c r="J368" i="3"/>
  <c r="J414" i="3"/>
  <c r="J421" i="3"/>
  <c r="J299" i="3"/>
  <c r="J516" i="3"/>
  <c r="J232" i="3"/>
  <c r="J503" i="3"/>
  <c r="J259" i="3"/>
  <c r="J675" i="3"/>
  <c r="J205" i="3"/>
  <c r="J154" i="3"/>
  <c r="J283" i="3"/>
  <c r="J622" i="3"/>
  <c r="J536" i="3"/>
  <c r="J464" i="3"/>
  <c r="J209" i="3"/>
  <c r="J355" i="3"/>
  <c r="J194" i="3"/>
  <c r="J627" i="3"/>
  <c r="J341" i="3"/>
  <c r="J211" i="3"/>
  <c r="J49" i="3"/>
  <c r="J495" i="3"/>
  <c r="J238" i="3"/>
  <c r="J95" i="3"/>
  <c r="J317" i="3"/>
  <c r="J286" i="3"/>
  <c r="J621" i="3"/>
  <c r="J636" i="3"/>
  <c r="J643" i="3"/>
  <c r="J110" i="3"/>
  <c r="J337" i="3"/>
  <c r="J307" i="3"/>
  <c r="J388" i="3"/>
  <c r="J109" i="3"/>
  <c r="J656" i="3"/>
  <c r="J509" i="3"/>
  <c r="J387" i="3"/>
  <c r="J329" i="3"/>
  <c r="J428" i="3"/>
  <c r="J374" i="3"/>
  <c r="J295" i="3"/>
  <c r="J85" i="3"/>
  <c r="J666" i="3"/>
  <c r="J390" i="3"/>
  <c r="J284" i="3"/>
  <c r="J488" i="3"/>
  <c r="J348" i="3"/>
  <c r="J213" i="3"/>
  <c r="J201" i="3"/>
  <c r="J541" i="3"/>
  <c r="J647" i="3"/>
  <c r="J444" i="3"/>
  <c r="J429" i="3"/>
  <c r="J70" i="3"/>
  <c r="J21" i="3"/>
  <c r="J469" i="3"/>
  <c r="J633" i="3"/>
  <c r="J402" i="3"/>
  <c r="J292" i="3"/>
  <c r="J175" i="3"/>
  <c r="J619" i="3"/>
  <c r="J40" i="3"/>
  <c r="J311" i="3"/>
  <c r="J303" i="3"/>
  <c r="J578" i="3"/>
  <c r="J496" i="3"/>
  <c r="J415" i="3"/>
  <c r="J646" i="3"/>
  <c r="J274" i="3"/>
  <c r="J82" i="3"/>
  <c r="J686" i="3"/>
  <c r="J127" i="3"/>
  <c r="J545" i="3"/>
  <c r="J684" i="3"/>
  <c r="J172" i="3"/>
  <c r="J302" i="3"/>
  <c r="J512" i="3"/>
  <c r="J185" i="3"/>
  <c r="J16" i="3"/>
  <c r="J369" i="3"/>
  <c r="J25" i="3"/>
  <c r="J534" i="3"/>
  <c r="J69" i="3"/>
  <c r="J43" i="3"/>
  <c r="J42" i="3"/>
  <c r="J244" i="3"/>
  <c r="J88" i="3"/>
  <c r="J73" i="3"/>
  <c r="J231" i="3"/>
  <c r="J350" i="3"/>
  <c r="J267" i="3"/>
  <c r="J280" i="3"/>
  <c r="J427" i="3"/>
  <c r="J533" i="3"/>
  <c r="J254" i="3"/>
  <c r="J505" i="3"/>
  <c r="J183" i="3"/>
  <c r="J287" i="3"/>
  <c r="J599" i="3"/>
  <c r="J289" i="3"/>
  <c r="J648" i="3"/>
  <c r="J460" i="3"/>
  <c r="J419" i="3"/>
  <c r="J304" i="3"/>
  <c r="J380" i="3"/>
  <c r="J439" i="3"/>
  <c r="J320" i="3"/>
  <c r="J635" i="3"/>
  <c r="J531" i="3"/>
  <c r="J624" i="3"/>
  <c r="J359" i="3"/>
  <c r="J471" i="3"/>
  <c r="J506" i="3"/>
  <c r="J515" i="3"/>
  <c r="J20" i="3"/>
  <c r="J461" i="3"/>
  <c r="J200" i="3"/>
  <c r="J77" i="3"/>
  <c r="J608" i="3"/>
  <c r="J318" i="3"/>
  <c r="J372" i="3"/>
  <c r="J219" i="3"/>
  <c r="J465" i="3"/>
  <c r="J455" i="3"/>
  <c r="J58" i="3"/>
  <c r="J623" i="3"/>
  <c r="J568" i="3"/>
  <c r="J486" i="3"/>
  <c r="J35" i="3"/>
  <c r="J435" i="3"/>
  <c r="J312" i="3"/>
  <c r="J449" i="3"/>
  <c r="J642" i="3"/>
  <c r="J107" i="3"/>
  <c r="J651" i="3"/>
  <c r="J10" i="3"/>
  <c r="J192" i="3"/>
  <c r="J322" i="3"/>
  <c r="J631" i="3"/>
  <c r="J411" i="3"/>
  <c r="J400" i="3"/>
  <c r="J281" i="3"/>
  <c r="J112" i="3"/>
  <c r="J576" i="3"/>
  <c r="J207" i="3"/>
  <c r="J133" i="3"/>
  <c r="J333" i="3"/>
  <c r="J330" i="3"/>
  <c r="J396" i="3"/>
  <c r="J436" i="3"/>
  <c r="J581" i="3"/>
  <c r="J347" i="3"/>
  <c r="J532" i="3"/>
  <c r="J482" i="3"/>
  <c r="J613" i="3"/>
  <c r="J349" i="3"/>
  <c r="J526" i="3"/>
  <c r="J140" i="3"/>
  <c r="J174" i="3"/>
  <c r="J604" i="3"/>
  <c r="J437" i="3"/>
  <c r="J268" i="3"/>
  <c r="J553" i="3"/>
  <c r="J291" i="3"/>
  <c r="J226" i="3"/>
  <c r="J159" i="3"/>
  <c r="J126" i="3"/>
  <c r="J671" i="3"/>
  <c r="J661" i="3"/>
  <c r="J57" i="3"/>
  <c r="J394" i="3"/>
  <c r="J530" i="3"/>
  <c r="J432" i="3"/>
  <c r="J170" i="3"/>
  <c r="J443" i="3"/>
  <c r="J634" i="3"/>
  <c r="J468" i="3"/>
  <c r="J529" i="3"/>
  <c r="J52" i="3"/>
  <c r="J362" i="3"/>
  <c r="J87" i="3"/>
  <c r="J178" i="3"/>
  <c r="J649" i="3"/>
  <c r="J222" i="3"/>
  <c r="J38" i="3"/>
  <c r="J544" i="3"/>
  <c r="J272" i="3"/>
  <c r="J667" i="3"/>
  <c r="J305" i="3"/>
  <c r="J162" i="3"/>
  <c r="J351" i="3"/>
  <c r="J54" i="3"/>
  <c r="J71" i="3"/>
  <c r="J546" i="3"/>
  <c r="J450" i="3"/>
  <c r="J102" i="3"/>
  <c r="J551" i="3"/>
  <c r="J473" i="3"/>
  <c r="J405" i="3"/>
  <c r="J255" i="3"/>
  <c r="J23" i="3"/>
  <c r="J475" i="3"/>
  <c r="J150" i="3"/>
  <c r="J236" i="3"/>
  <c r="J366" i="3"/>
  <c r="J562" i="3"/>
  <c r="J117" i="3"/>
  <c r="J583" i="3"/>
  <c r="J155" i="3"/>
  <c r="J252" i="3"/>
  <c r="J44" i="3"/>
  <c r="J142" i="3"/>
  <c r="J121" i="3"/>
  <c r="J119" i="3"/>
  <c r="J522" i="3"/>
  <c r="J143" i="3"/>
  <c r="J665" i="3"/>
  <c r="J423" i="3"/>
  <c r="J480" i="3"/>
  <c r="J125" i="3"/>
  <c r="J139" i="3"/>
  <c r="J225" i="3"/>
  <c r="J403" i="3"/>
  <c r="J563" i="3"/>
  <c r="J557" i="3"/>
  <c r="J27" i="3"/>
  <c r="J210" i="3"/>
  <c r="J130" i="3"/>
  <c r="J129" i="3"/>
  <c r="J381" i="3"/>
  <c r="J543" i="3"/>
  <c r="J165" i="3"/>
  <c r="J565" i="3"/>
  <c r="J672" i="3"/>
  <c r="J356" i="3"/>
  <c r="J55" i="3"/>
  <c r="J144" i="3"/>
  <c r="J650" i="3"/>
  <c r="J28" i="3"/>
  <c r="J149" i="3"/>
  <c r="J590" i="3"/>
  <c r="J406" i="3"/>
  <c r="J61" i="3"/>
  <c r="J587" i="3"/>
  <c r="J235" i="3"/>
  <c r="J569" i="3"/>
  <c r="J92" i="3"/>
  <c r="J342" i="3"/>
  <c r="J626" i="3"/>
  <c r="J31" i="3"/>
  <c r="J420" i="3"/>
  <c r="J575" i="3"/>
  <c r="J218" i="3"/>
  <c r="J632" i="3"/>
  <c r="J674" i="3"/>
  <c r="J104" i="3"/>
  <c r="J571" i="3"/>
  <c r="J242" i="3"/>
  <c r="J79" i="3"/>
  <c r="J652" i="3"/>
  <c r="J397" i="3"/>
  <c r="J24" i="3"/>
  <c r="J241" i="3"/>
  <c r="J683" i="3"/>
  <c r="J53" i="3"/>
  <c r="J214" i="3"/>
  <c r="J97" i="3"/>
  <c r="J454" i="3"/>
  <c r="J163" i="3"/>
  <c r="J118" i="3"/>
  <c r="J63" i="3"/>
  <c r="J653" i="3"/>
  <c r="J33" i="3"/>
  <c r="J588" i="3"/>
  <c r="J151" i="3"/>
  <c r="J177" i="3"/>
  <c r="J561" i="3"/>
  <c r="J586" i="3"/>
  <c r="J84" i="3"/>
  <c r="J345" i="3"/>
  <c r="J323" i="3"/>
  <c r="J245" i="3"/>
  <c r="J558" i="3"/>
  <c r="J386" i="3"/>
  <c r="J485" i="3"/>
  <c r="J122" i="3"/>
  <c r="J191" i="3"/>
  <c r="J519" i="3"/>
  <c r="J128" i="3"/>
  <c r="J398" i="3"/>
  <c r="J59" i="3"/>
  <c r="J376" i="3"/>
  <c r="J168" i="3"/>
  <c r="J447" i="3"/>
  <c r="J391" i="3"/>
  <c r="J108" i="3"/>
  <c r="J441" i="3"/>
  <c r="J445" i="3"/>
  <c r="J164" i="3"/>
  <c r="J413" i="3"/>
  <c r="J434" i="3"/>
  <c r="J135" i="3"/>
  <c r="J511" i="3"/>
  <c r="J184" i="3"/>
  <c r="J664" i="3"/>
  <c r="J457" i="3"/>
  <c r="J116" i="3"/>
  <c r="J74" i="3"/>
  <c r="J614" i="3"/>
  <c r="J103" i="3"/>
  <c r="J628" i="3"/>
  <c r="J336" i="3"/>
  <c r="J189" i="3"/>
  <c r="J114" i="3"/>
  <c r="J556" i="3"/>
  <c r="J215" i="3"/>
  <c r="J367" i="3"/>
  <c r="J123" i="3"/>
  <c r="J639" i="3"/>
  <c r="J246" i="3"/>
  <c r="J389" i="3"/>
  <c r="J145" i="3"/>
  <c r="J363" i="3"/>
  <c r="J655" i="3"/>
  <c r="J137" i="3"/>
  <c r="J352" i="3"/>
  <c r="J425" i="3"/>
  <c r="J171" i="3"/>
  <c r="J452" i="3"/>
  <c r="J152" i="3"/>
  <c r="J438" i="3"/>
  <c r="J277" i="3"/>
  <c r="J579" i="3"/>
  <c r="J294" i="3"/>
  <c r="J371" i="3"/>
  <c r="J339" i="3"/>
  <c r="J458" i="3"/>
  <c r="J424" i="3"/>
  <c r="J262" i="3"/>
  <c r="J45" i="3"/>
  <c r="J199" i="3"/>
  <c r="J64" i="3"/>
  <c r="J514" i="3"/>
  <c r="J537" i="3"/>
  <c r="J395" i="3"/>
  <c r="J223" i="3"/>
  <c r="J18" i="3"/>
  <c r="J582" i="3"/>
  <c r="J138" i="3"/>
  <c r="J601" i="3"/>
  <c r="J331" i="3"/>
  <c r="J484" i="3"/>
  <c r="J17" i="3"/>
  <c r="J637" i="3"/>
  <c r="J65" i="3"/>
  <c r="J344" i="3"/>
  <c r="J669" i="3"/>
  <c r="J230" i="3"/>
  <c r="J253" i="3"/>
  <c r="J100" i="3"/>
  <c r="J94" i="3"/>
  <c r="J188" i="3"/>
  <c r="J131" i="3"/>
  <c r="J501" i="3"/>
  <c r="J250" i="3"/>
  <c r="J600" i="3"/>
  <c r="J430" i="3"/>
  <c r="J221" i="3"/>
  <c r="J547" i="3"/>
  <c r="J275" i="3"/>
  <c r="J589" i="3"/>
  <c r="J96" i="3"/>
  <c r="J278" i="3"/>
  <c r="J606" i="3"/>
  <c r="J22" i="3"/>
  <c r="J523" i="3"/>
  <c r="J261" i="3"/>
  <c r="J570" i="3"/>
  <c r="J483" i="3"/>
  <c r="J585" i="3"/>
  <c r="J607" i="3"/>
  <c r="J251" i="3"/>
  <c r="J72" i="3"/>
  <c r="J101" i="3"/>
  <c r="J335" i="3"/>
  <c r="J393" i="3"/>
  <c r="J663" i="3"/>
  <c r="J269" i="3"/>
  <c r="J502" i="3"/>
  <c r="J638" i="3"/>
  <c r="J602" i="3"/>
  <c r="J270" i="3"/>
  <c r="J148" i="3"/>
  <c r="J520" i="3"/>
  <c r="J446" i="3"/>
  <c r="J296" i="3"/>
  <c r="J641" i="3"/>
  <c r="J56" i="3"/>
  <c r="J321" i="3"/>
  <c r="J324" i="3"/>
  <c r="J542" i="3"/>
  <c r="J46" i="3"/>
  <c r="J370" i="3"/>
  <c r="J630" i="3"/>
  <c r="J580" i="3"/>
  <c r="J37" i="3"/>
  <c r="J300" i="3"/>
  <c r="J113" i="3"/>
  <c r="J227" i="3"/>
  <c r="J373" i="3"/>
  <c r="J195" i="3"/>
  <c r="J161" i="3"/>
  <c r="J285" i="3"/>
  <c r="J293" i="3"/>
  <c r="J80" i="3"/>
  <c r="J478" i="3"/>
  <c r="J676" i="3"/>
  <c r="J266" i="3"/>
  <c r="J610" i="3"/>
  <c r="J141" i="3"/>
  <c r="J297" i="3"/>
  <c r="J190" i="3"/>
  <c r="J584" i="3"/>
  <c r="J593" i="3"/>
  <c r="J500" i="3"/>
  <c r="J30" i="3"/>
  <c r="J229" i="3"/>
  <c r="J596" i="3"/>
  <c r="J463" i="3"/>
  <c r="J611" i="3"/>
  <c r="J81" i="3"/>
  <c r="J203" i="3"/>
  <c r="J479" i="3"/>
  <c r="J237" i="3"/>
  <c r="J612" i="3"/>
  <c r="J401" i="3"/>
  <c r="J301" i="3"/>
  <c r="J481" i="3"/>
  <c r="J459" i="3"/>
  <c r="J249" i="3"/>
  <c r="J528" i="3"/>
  <c r="J202" i="3"/>
  <c r="J147" i="3"/>
  <c r="J216" i="3"/>
  <c r="J525" i="3"/>
  <c r="J382" i="3"/>
  <c r="J234" i="3"/>
  <c r="J535" i="3"/>
  <c r="J217" i="3"/>
  <c r="J654" i="3"/>
  <c r="J265" i="3"/>
  <c r="J93" i="3"/>
  <c r="J334" i="3"/>
  <c r="J180" i="3"/>
  <c r="J315" i="3"/>
  <c r="J538" i="3"/>
  <c r="J212" i="3"/>
  <c r="J550" i="3"/>
  <c r="J472" i="3"/>
  <c r="J90" i="3"/>
  <c r="J47" i="3"/>
  <c r="J186" i="3"/>
  <c r="J361" i="3"/>
  <c r="J364" i="3"/>
  <c r="J492" i="3"/>
  <c r="J239" i="3"/>
  <c r="J240" i="3"/>
  <c r="J657" i="3"/>
  <c r="J466" i="3"/>
  <c r="J198" i="3"/>
  <c r="J499" i="3"/>
  <c r="J354" i="3"/>
  <c r="J14" i="3"/>
  <c r="J160" i="3"/>
  <c r="J86" i="3"/>
  <c r="J181" i="3"/>
  <c r="J193" i="3"/>
  <c r="J513" i="3"/>
  <c r="J644" i="3"/>
  <c r="J618" i="3"/>
  <c r="J399" i="3"/>
  <c r="J564" i="3"/>
  <c r="J552" i="3"/>
  <c r="J290" i="3"/>
  <c r="J377" i="3"/>
  <c r="J474" i="3"/>
  <c r="J494" i="3"/>
  <c r="J15" i="3"/>
  <c r="J385" i="3"/>
  <c r="J470" i="3"/>
  <c r="J491" i="3"/>
  <c r="J260" i="3"/>
  <c r="J308" i="3"/>
  <c r="J615" i="3"/>
  <c r="J206" i="3"/>
  <c r="J548" i="3"/>
  <c r="J365" i="3"/>
  <c r="J573" i="3"/>
  <c r="J518" i="3"/>
  <c r="J83" i="3"/>
  <c r="J257" i="3"/>
  <c r="J489" i="3"/>
  <c r="J442" i="3"/>
  <c r="J224" i="3"/>
  <c r="J418" i="3"/>
  <c r="J685" i="3"/>
  <c r="J62" i="3"/>
  <c r="J271" i="3"/>
  <c r="J343" i="3"/>
  <c r="J383" i="3"/>
  <c r="J408" i="3"/>
  <c r="J12" i="3"/>
  <c r="J504" i="3"/>
  <c r="J510" i="3"/>
  <c r="J228" i="3"/>
  <c r="J208" i="3"/>
  <c r="J313" i="3"/>
  <c r="J105" i="3"/>
  <c r="J256" i="3"/>
  <c r="J264" i="3"/>
  <c r="J353" i="3"/>
  <c r="J567" i="3"/>
  <c r="J392" i="3"/>
  <c r="J508" i="3"/>
  <c r="J659" i="3"/>
  <c r="J456" i="3"/>
  <c r="J310" i="3"/>
  <c r="J560" i="3"/>
  <c r="J592" i="3"/>
  <c r="J327" i="3"/>
  <c r="J453" i="3"/>
  <c r="J549" i="3"/>
  <c r="J169" i="3"/>
  <c r="J66" i="3"/>
  <c r="J462" i="3"/>
  <c r="J98" i="3"/>
  <c r="J75" i="3"/>
  <c r="J68" i="3"/>
  <c r="J433" i="3"/>
  <c r="J404" i="3"/>
  <c r="J572" i="3"/>
  <c r="J609" i="3"/>
  <c r="J410" i="3"/>
  <c r="J559" i="3"/>
  <c r="J282" i="3"/>
  <c r="J247" i="3"/>
  <c r="J78" i="3"/>
  <c r="J597" i="3"/>
  <c r="J41" i="3"/>
  <c r="J314" i="3"/>
  <c r="J91" i="3"/>
  <c r="J477" i="3"/>
  <c r="J476" i="3"/>
  <c r="J603" i="3"/>
  <c r="J645" i="3"/>
  <c r="AR32" i="3"/>
  <c r="AQ32" i="3"/>
  <c r="B32" i="3"/>
  <c r="A124" i="8"/>
  <c r="A117" i="8"/>
  <c r="AN165" i="4"/>
  <c r="AQ29" i="3"/>
  <c r="AR29" i="3"/>
  <c r="B29" i="3"/>
  <c r="AQ36" i="3"/>
  <c r="A37" i="3"/>
  <c r="AR36" i="3"/>
  <c r="B36" i="3"/>
  <c r="C36" i="3"/>
  <c r="A114" i="8"/>
  <c r="A79" i="8"/>
  <c r="A101" i="8"/>
  <c r="K198" i="4"/>
  <c r="Z198" i="4" s="1"/>
  <c r="U193" i="4"/>
  <c r="V193" i="4" s="1"/>
  <c r="W193" i="4" s="1"/>
  <c r="R138" i="4"/>
  <c r="S138" i="4" s="1"/>
  <c r="T138" i="4" s="1"/>
  <c r="R50" i="4"/>
  <c r="S50" i="4" s="1"/>
  <c r="T50" i="4" s="1"/>
  <c r="U48" i="4"/>
  <c r="V48" i="4" s="1"/>
  <c r="W48" i="4" s="1"/>
  <c r="AD48" i="4"/>
  <c r="AE48" i="4" s="1"/>
  <c r="A85" i="8"/>
  <c r="A154" i="8"/>
  <c r="E67" i="1"/>
  <c r="E68" i="1"/>
  <c r="B135" i="2" s="1"/>
  <c r="B136" i="2" s="1"/>
  <c r="E59" i="1"/>
  <c r="B125" i="2"/>
  <c r="B132" i="2" s="1"/>
  <c r="B147" i="2"/>
  <c r="F23" i="3" s="1"/>
  <c r="A683" i="3"/>
  <c r="G97" i="2"/>
  <c r="G98" i="2" s="1"/>
  <c r="F97" i="2"/>
  <c r="E53" i="1" s="1"/>
  <c r="C60" i="16" s="1"/>
  <c r="D60" i="16" s="1"/>
  <c r="X66" i="4"/>
  <c r="Y66" i="4" s="1"/>
  <c r="K66" i="4"/>
  <c r="AD137" i="4"/>
  <c r="AE137" i="4" s="1"/>
  <c r="K137" i="4"/>
  <c r="X28" i="4"/>
  <c r="Y28" i="4" s="1"/>
  <c r="L28" i="4"/>
  <c r="AB28" i="4" s="1"/>
  <c r="K95" i="4"/>
  <c r="L95" i="4"/>
  <c r="AB95" i="4" s="1"/>
  <c r="N26" i="4"/>
  <c r="O26" i="4" s="1"/>
  <c r="Q26" i="4" s="1"/>
  <c r="L26" i="4"/>
  <c r="AB26" i="4" s="1"/>
  <c r="L192" i="4"/>
  <c r="K192" i="4"/>
  <c r="N156" i="4"/>
  <c r="O156" i="4" s="1"/>
  <c r="Q156" i="4" s="1"/>
  <c r="K121" i="4"/>
  <c r="X62" i="4"/>
  <c r="Y62" i="4" s="1"/>
  <c r="AD62" i="4"/>
  <c r="AE62" i="4" s="1"/>
  <c r="X121" i="4"/>
  <c r="Y121" i="4" s="1"/>
  <c r="AD121" i="4"/>
  <c r="AE121" i="4" s="1"/>
  <c r="K32" i="4"/>
  <c r="AF32" i="4" s="1"/>
  <c r="B42" i="2"/>
  <c r="B51" i="2" s="1"/>
  <c r="U28" i="4"/>
  <c r="V28" i="4" s="1"/>
  <c r="W28" i="4" s="1"/>
  <c r="B100" i="2"/>
  <c r="B259" i="2"/>
  <c r="B129" i="2"/>
  <c r="E65" i="1" s="1"/>
  <c r="N62" i="4"/>
  <c r="O62" i="4" s="1"/>
  <c r="Q62" i="4" s="1"/>
  <c r="B80" i="2"/>
  <c r="E41" i="1" s="1"/>
  <c r="F98" i="2"/>
  <c r="E54" i="1" s="1"/>
  <c r="C61" i="16" s="1"/>
  <c r="D61" i="16" s="1"/>
  <c r="B28" i="2"/>
  <c r="B62" i="2"/>
  <c r="B159" i="2"/>
  <c r="J132" i="4"/>
  <c r="X132" i="4" s="1"/>
  <c r="Y132" i="4" s="1"/>
  <c r="A259" i="2"/>
  <c r="U31" i="4"/>
  <c r="V31" i="4" s="1"/>
  <c r="W31" i="4" s="1"/>
  <c r="AD31" i="4"/>
  <c r="AE31" i="4" s="1"/>
  <c r="AR682" i="3"/>
  <c r="B682" i="3"/>
  <c r="C682" i="3"/>
  <c r="AQ682" i="3"/>
  <c r="D682" i="3"/>
  <c r="N18" i="4"/>
  <c r="O18" i="4" s="1"/>
  <c r="Q18" i="4" s="1"/>
  <c r="U198" i="4"/>
  <c r="V198" i="4" s="1"/>
  <c r="W198" i="4" s="1"/>
  <c r="X208" i="4"/>
  <c r="Y208" i="4" s="1"/>
  <c r="R156" i="4"/>
  <c r="S156" i="4" s="1"/>
  <c r="T156" i="4" s="1"/>
  <c r="X104" i="4"/>
  <c r="Y104" i="4" s="1"/>
  <c r="L104" i="4"/>
  <c r="M104" i="4" s="1"/>
  <c r="AA104" i="4" s="1"/>
  <c r="N72" i="4"/>
  <c r="O72" i="4" s="1"/>
  <c r="Q72" i="4" s="1"/>
  <c r="K72" i="4"/>
  <c r="AF72" i="4" s="1"/>
  <c r="R72" i="4"/>
  <c r="S72" i="4" s="1"/>
  <c r="T72" i="4" s="1"/>
  <c r="U72" i="4"/>
  <c r="V72" i="4" s="1"/>
  <c r="W72" i="4" s="1"/>
  <c r="AD72" i="4"/>
  <c r="AE72" i="4" s="1"/>
  <c r="L72" i="4"/>
  <c r="X72" i="4"/>
  <c r="Y72" i="4" s="1"/>
  <c r="K136" i="4"/>
  <c r="U138" i="4"/>
  <c r="V138" i="4" s="1"/>
  <c r="W138" i="4" s="1"/>
  <c r="R155" i="4"/>
  <c r="S155" i="4" s="1"/>
  <c r="T155" i="4" s="1"/>
  <c r="N123" i="4"/>
  <c r="O123" i="4" s="1"/>
  <c r="Q123" i="4" s="1"/>
  <c r="N138" i="4"/>
  <c r="O138" i="4" s="1"/>
  <c r="Q138" i="4" s="1"/>
  <c r="J195" i="4"/>
  <c r="U195" i="4" s="1"/>
  <c r="V195" i="4" s="1"/>
  <c r="W195" i="4" s="1"/>
  <c r="L123" i="4"/>
  <c r="Z123" i="4" s="1"/>
  <c r="R37" i="4"/>
  <c r="S37" i="4" s="1"/>
  <c r="T37" i="4" s="1"/>
  <c r="R123" i="4"/>
  <c r="S123" i="4" s="1"/>
  <c r="T123" i="4" s="1"/>
  <c r="K37" i="4"/>
  <c r="AD135" i="4"/>
  <c r="AE135" i="4" s="1"/>
  <c r="K50" i="4"/>
  <c r="R188" i="4"/>
  <c r="S188" i="4" s="1"/>
  <c r="T188" i="4" s="1"/>
  <c r="X188" i="4"/>
  <c r="Y188" i="4" s="1"/>
  <c r="L126" i="4"/>
  <c r="N28" i="4"/>
  <c r="O28" i="4" s="1"/>
  <c r="Q28" i="4" s="1"/>
  <c r="AD188" i="4"/>
  <c r="AE188" i="4" s="1"/>
  <c r="AD123" i="4"/>
  <c r="AE123" i="4" s="1"/>
  <c r="K172" i="4"/>
  <c r="X174" i="4"/>
  <c r="Y174" i="4" s="1"/>
  <c r="K188" i="4"/>
  <c r="AD126" i="4"/>
  <c r="AE126" i="4" s="1"/>
  <c r="AD69" i="4"/>
  <c r="AE69" i="4" s="1"/>
  <c r="R28" i="4"/>
  <c r="S28" i="4" s="1"/>
  <c r="T28" i="4" s="1"/>
  <c r="X112" i="4"/>
  <c r="Y112" i="4" s="1"/>
  <c r="AD22" i="4"/>
  <c r="AE22" i="4" s="1"/>
  <c r="AD139" i="4"/>
  <c r="AE139" i="4" s="1"/>
  <c r="K38" i="4"/>
  <c r="N134" i="4"/>
  <c r="O134" i="4" s="1"/>
  <c r="Q134" i="4" s="1"/>
  <c r="AD209" i="4"/>
  <c r="AE209" i="4" s="1"/>
  <c r="N171" i="4"/>
  <c r="O171" i="4" s="1"/>
  <c r="Q171" i="4" s="1"/>
  <c r="R162" i="4"/>
  <c r="S162" i="4" s="1"/>
  <c r="T162" i="4" s="1"/>
  <c r="U104" i="4"/>
  <c r="V104" i="4" s="1"/>
  <c r="W104" i="4" s="1"/>
  <c r="N122" i="4"/>
  <c r="O122" i="4" s="1"/>
  <c r="Q122" i="4" s="1"/>
  <c r="U171" i="4"/>
  <c r="V171" i="4" s="1"/>
  <c r="W171" i="4" s="1"/>
  <c r="R171" i="4"/>
  <c r="S171" i="4" s="1"/>
  <c r="T171" i="4" s="1"/>
  <c r="X171" i="4"/>
  <c r="Y171" i="4" s="1"/>
  <c r="X154" i="4"/>
  <c r="Y154" i="4" s="1"/>
  <c r="N119" i="4"/>
  <c r="O119" i="4" s="1"/>
  <c r="Q119" i="4" s="1"/>
  <c r="AD96" i="4"/>
  <c r="AE96" i="4" s="1"/>
  <c r="AD122" i="4"/>
  <c r="AE122" i="4" s="1"/>
  <c r="U122" i="4"/>
  <c r="V122" i="4" s="1"/>
  <c r="W122" i="4" s="1"/>
  <c r="L154" i="4"/>
  <c r="AB154" i="4" s="1"/>
  <c r="X82" i="4"/>
  <c r="Y82" i="4" s="1"/>
  <c r="K119" i="4"/>
  <c r="AF119" i="4" s="1"/>
  <c r="X122" i="4"/>
  <c r="Y122" i="4" s="1"/>
  <c r="K122" i="4"/>
  <c r="U154" i="4"/>
  <c r="V154" i="4" s="1"/>
  <c r="W154" i="4" s="1"/>
  <c r="L122" i="4"/>
  <c r="M122" i="4" s="1"/>
  <c r="AA122" i="4" s="1"/>
  <c r="X114" i="4"/>
  <c r="Y114" i="4" s="1"/>
  <c r="AD154" i="4"/>
  <c r="AE154" i="4" s="1"/>
  <c r="U177" i="4"/>
  <c r="V177" i="4" s="1"/>
  <c r="W177" i="4" s="1"/>
  <c r="N154" i="4"/>
  <c r="O154" i="4" s="1"/>
  <c r="Q154" i="4" s="1"/>
  <c r="R154" i="4"/>
  <c r="S154" i="4" s="1"/>
  <c r="T154" i="4" s="1"/>
  <c r="AD35" i="4"/>
  <c r="AE35" i="4" s="1"/>
  <c r="U117" i="4"/>
  <c r="V117" i="4" s="1"/>
  <c r="W117" i="4" s="1"/>
  <c r="X117" i="4"/>
  <c r="Y117" i="4" s="1"/>
  <c r="K91" i="4"/>
  <c r="L91" i="4"/>
  <c r="U91" i="4"/>
  <c r="V91" i="4" s="1"/>
  <c r="W91" i="4" s="1"/>
  <c r="X91" i="4"/>
  <c r="Y91" i="4" s="1"/>
  <c r="N91" i="4"/>
  <c r="O91" i="4" s="1"/>
  <c r="Q91" i="4" s="1"/>
  <c r="AD91" i="4"/>
  <c r="AE91" i="4" s="1"/>
  <c r="R91" i="4"/>
  <c r="S91" i="4" s="1"/>
  <c r="T91" i="4" s="1"/>
  <c r="AD82" i="4"/>
  <c r="AE82" i="4" s="1"/>
  <c r="X101" i="4"/>
  <c r="Y101" i="4" s="1"/>
  <c r="R121" i="4"/>
  <c r="S121" i="4" s="1"/>
  <c r="T121" i="4" s="1"/>
  <c r="AD162" i="4"/>
  <c r="AE162" i="4" s="1"/>
  <c r="N209" i="4"/>
  <c r="O209" i="4" s="1"/>
  <c r="Q209" i="4" s="1"/>
  <c r="X31" i="4"/>
  <c r="Y31" i="4" s="1"/>
  <c r="L69" i="4"/>
  <c r="M69" i="4" s="1"/>
  <c r="AA69" i="4" s="1"/>
  <c r="N82" i="4"/>
  <c r="O82" i="4" s="1"/>
  <c r="Q82" i="4" s="1"/>
  <c r="AD70" i="4"/>
  <c r="AE70" i="4" s="1"/>
  <c r="U209" i="4"/>
  <c r="V209" i="4" s="1"/>
  <c r="W209" i="4" s="1"/>
  <c r="R169" i="4"/>
  <c r="S169" i="4" s="1"/>
  <c r="T169" i="4" s="1"/>
  <c r="U162" i="4"/>
  <c r="V162" i="4" s="1"/>
  <c r="W162" i="4" s="1"/>
  <c r="L209" i="4"/>
  <c r="AF209" i="4" s="1"/>
  <c r="AG209" i="4" s="1"/>
  <c r="AS209" i="4" s="1"/>
  <c r="L185" i="4"/>
  <c r="M185" i="4" s="1"/>
  <c r="AA185" i="4" s="1"/>
  <c r="N31" i="4"/>
  <c r="O31" i="4" s="1"/>
  <c r="Q31" i="4" s="1"/>
  <c r="X69" i="4"/>
  <c r="Y69" i="4" s="1"/>
  <c r="L82" i="4"/>
  <c r="R70" i="4"/>
  <c r="S70" i="4" s="1"/>
  <c r="T70" i="4" s="1"/>
  <c r="AD142" i="4"/>
  <c r="AE142" i="4" s="1"/>
  <c r="U159" i="4"/>
  <c r="V159" i="4" s="1"/>
  <c r="W159" i="4" s="1"/>
  <c r="AD130" i="4"/>
  <c r="AE130" i="4" s="1"/>
  <c r="N185" i="4"/>
  <c r="O185" i="4" s="1"/>
  <c r="Q185" i="4" s="1"/>
  <c r="R69" i="4"/>
  <c r="S69" i="4" s="1"/>
  <c r="T69" i="4" s="1"/>
  <c r="U82" i="4"/>
  <c r="V82" i="4" s="1"/>
  <c r="W82" i="4" s="1"/>
  <c r="K142" i="4"/>
  <c r="X156" i="4"/>
  <c r="Y156" i="4" s="1"/>
  <c r="L169" i="4"/>
  <c r="AD169" i="4"/>
  <c r="AE169" i="4" s="1"/>
  <c r="N192" i="4"/>
  <c r="O192" i="4" s="1"/>
  <c r="Q192" i="4" s="1"/>
  <c r="K201" i="4"/>
  <c r="AF201" i="4" s="1"/>
  <c r="K82" i="4"/>
  <c r="N44" i="4"/>
  <c r="O44" i="4" s="1"/>
  <c r="Q44" i="4" s="1"/>
  <c r="X56" i="4"/>
  <c r="Y56" i="4" s="1"/>
  <c r="K169" i="4"/>
  <c r="K193" i="4"/>
  <c r="AF193" i="4" s="1"/>
  <c r="U169" i="4"/>
  <c r="V169" i="4" s="1"/>
  <c r="W169" i="4" s="1"/>
  <c r="AD192" i="4"/>
  <c r="AE192" i="4" s="1"/>
  <c r="K159" i="4"/>
  <c r="K174" i="4"/>
  <c r="N201" i="4"/>
  <c r="O201" i="4" s="1"/>
  <c r="Q201" i="4" s="1"/>
  <c r="N32" i="4"/>
  <c r="O32" i="4" s="1"/>
  <c r="Q32" i="4" s="1"/>
  <c r="R34" i="4"/>
  <c r="S34" i="4" s="1"/>
  <c r="T34" i="4" s="1"/>
  <c r="U163" i="4"/>
  <c r="V163" i="4" s="1"/>
  <c r="W163" i="4" s="1"/>
  <c r="R35" i="4"/>
  <c r="S35" i="4" s="1"/>
  <c r="T35" i="4" s="1"/>
  <c r="AD56" i="4"/>
  <c r="AE56" i="4" s="1"/>
  <c r="L56" i="4"/>
  <c r="J61" i="4"/>
  <c r="K61" i="4" s="1"/>
  <c r="X192" i="4"/>
  <c r="Y192" i="4" s="1"/>
  <c r="R201" i="4"/>
  <c r="S201" i="4" s="1"/>
  <c r="T201" i="4" s="1"/>
  <c r="X35" i="4"/>
  <c r="Y35" i="4" s="1"/>
  <c r="K207" i="4"/>
  <c r="N193" i="4"/>
  <c r="O193" i="4" s="1"/>
  <c r="Q193" i="4" s="1"/>
  <c r="X169" i="4"/>
  <c r="Y169" i="4" s="1"/>
  <c r="U192" i="4"/>
  <c r="V192" i="4" s="1"/>
  <c r="W192" i="4" s="1"/>
  <c r="R159" i="4"/>
  <c r="S159" i="4" s="1"/>
  <c r="T159" i="4" s="1"/>
  <c r="AD174" i="4"/>
  <c r="AE174" i="4" s="1"/>
  <c r="U201" i="4"/>
  <c r="V201" i="4" s="1"/>
  <c r="W201" i="4" s="1"/>
  <c r="AD66" i="4"/>
  <c r="AE66" i="4" s="1"/>
  <c r="U32" i="4"/>
  <c r="V32" i="4" s="1"/>
  <c r="W32" i="4" s="1"/>
  <c r="N34" i="4"/>
  <c r="O34" i="4" s="1"/>
  <c r="Q34" i="4" s="1"/>
  <c r="AD37" i="4"/>
  <c r="AE37" i="4" s="1"/>
  <c r="L163" i="4"/>
  <c r="AB163" i="4" s="1"/>
  <c r="L162" i="4"/>
  <c r="AD114" i="4"/>
  <c r="AE114" i="4" s="1"/>
  <c r="K124" i="4"/>
  <c r="R192" i="4"/>
  <c r="S192" i="4" s="1"/>
  <c r="T192" i="4" s="1"/>
  <c r="N208" i="4"/>
  <c r="O208" i="4" s="1"/>
  <c r="Q208" i="4" s="1"/>
  <c r="N159" i="4"/>
  <c r="O159" i="4" s="1"/>
  <c r="Q159" i="4" s="1"/>
  <c r="N174" i="4"/>
  <c r="O174" i="4" s="1"/>
  <c r="Q174" i="4" s="1"/>
  <c r="X201" i="4"/>
  <c r="Y201" i="4" s="1"/>
  <c r="L66" i="4"/>
  <c r="M66" i="4" s="1"/>
  <c r="AA66" i="4" s="1"/>
  <c r="L34" i="4"/>
  <c r="AB34" i="4" s="1"/>
  <c r="N37" i="4"/>
  <c r="O37" i="4" s="1"/>
  <c r="Q37" i="4" s="1"/>
  <c r="R163" i="4"/>
  <c r="S163" i="4" s="1"/>
  <c r="T163" i="4" s="1"/>
  <c r="L35" i="4"/>
  <c r="X124" i="4"/>
  <c r="Y124" i="4" s="1"/>
  <c r="R195" i="4"/>
  <c r="S195" i="4" s="1"/>
  <c r="T195" i="4" s="1"/>
  <c r="R128" i="4"/>
  <c r="S128" i="4" s="1"/>
  <c r="T128" i="4" s="1"/>
  <c r="K114" i="4"/>
  <c r="K208" i="4"/>
  <c r="L174" i="4"/>
  <c r="M174" i="4" s="1"/>
  <c r="AA174" i="4" s="1"/>
  <c r="L188" i="4"/>
  <c r="M188" i="4" s="1"/>
  <c r="AA188" i="4" s="1"/>
  <c r="U156" i="4"/>
  <c r="V156" i="4" s="1"/>
  <c r="W156" i="4" s="1"/>
  <c r="N126" i="4"/>
  <c r="O126" i="4" s="1"/>
  <c r="Q126" i="4" s="1"/>
  <c r="L37" i="4"/>
  <c r="AD131" i="4"/>
  <c r="AE131" i="4" s="1"/>
  <c r="L44" i="4"/>
  <c r="AF44" i="4" s="1"/>
  <c r="U44" i="4"/>
  <c r="V44" i="4" s="1"/>
  <c r="W44" i="4" s="1"/>
  <c r="AD44" i="4"/>
  <c r="AE44" i="4" s="1"/>
  <c r="L195" i="4"/>
  <c r="AB195" i="4" s="1"/>
  <c r="AD182" i="4"/>
  <c r="AE182" i="4" s="1"/>
  <c r="X159" i="4"/>
  <c r="Y159" i="4" s="1"/>
  <c r="X128" i="4"/>
  <c r="Y128" i="4" s="1"/>
  <c r="L121" i="4"/>
  <c r="AB121" i="4" s="1"/>
  <c r="L114" i="4"/>
  <c r="M114" i="4" s="1"/>
  <c r="AA114" i="4" s="1"/>
  <c r="AD208" i="4"/>
  <c r="AE208" i="4" s="1"/>
  <c r="U174" i="4"/>
  <c r="V174" i="4" s="1"/>
  <c r="W174" i="4" s="1"/>
  <c r="L156" i="4"/>
  <c r="Z156" i="4" s="1"/>
  <c r="X126" i="4"/>
  <c r="Y126" i="4" s="1"/>
  <c r="U37" i="4"/>
  <c r="V37" i="4" s="1"/>
  <c r="W37" i="4" s="1"/>
  <c r="X70" i="4"/>
  <c r="Y70" i="4" s="1"/>
  <c r="U114" i="4"/>
  <c r="V114" i="4" s="1"/>
  <c r="W114" i="4" s="1"/>
  <c r="N114" i="4"/>
  <c r="O114" i="4" s="1"/>
  <c r="Q114" i="4" s="1"/>
  <c r="N162" i="4"/>
  <c r="O162" i="4" s="1"/>
  <c r="Q162" i="4" s="1"/>
  <c r="X209" i="4"/>
  <c r="Y209" i="4" s="1"/>
  <c r="L208" i="4"/>
  <c r="AB208" i="4" s="1"/>
  <c r="U188" i="4"/>
  <c r="V188" i="4" s="1"/>
  <c r="W188" i="4" s="1"/>
  <c r="AD156" i="4"/>
  <c r="AE156" i="4" s="1"/>
  <c r="K126" i="4"/>
  <c r="X131" i="4"/>
  <c r="Y131" i="4" s="1"/>
  <c r="N35" i="4"/>
  <c r="O35" i="4" s="1"/>
  <c r="Q35" i="4" s="1"/>
  <c r="N70" i="4"/>
  <c r="O70" i="4" s="1"/>
  <c r="Q70" i="4" s="1"/>
  <c r="U50" i="4"/>
  <c r="V50" i="4" s="1"/>
  <c r="W50" i="4" s="1"/>
  <c r="Z81" i="4"/>
  <c r="X44" i="4"/>
  <c r="Y44" i="4" s="1"/>
  <c r="U35" i="4"/>
  <c r="V35" i="4" s="1"/>
  <c r="W35" i="4" s="1"/>
  <c r="R44" i="4"/>
  <c r="S44" i="4" s="1"/>
  <c r="T44" i="4" s="1"/>
  <c r="AD196" i="4"/>
  <c r="AE196" i="4" s="1"/>
  <c r="R175" i="4"/>
  <c r="S175" i="4" s="1"/>
  <c r="T175" i="4" s="1"/>
  <c r="R185" i="4"/>
  <c r="S185" i="4" s="1"/>
  <c r="T185" i="4" s="1"/>
  <c r="N196" i="4"/>
  <c r="O196" i="4" s="1"/>
  <c r="Q196" i="4" s="1"/>
  <c r="K175" i="4"/>
  <c r="K185" i="4"/>
  <c r="U157" i="4"/>
  <c r="V157" i="4" s="1"/>
  <c r="W157" i="4" s="1"/>
  <c r="U172" i="4"/>
  <c r="V172" i="4" s="1"/>
  <c r="W172" i="4" s="1"/>
  <c r="R196" i="4"/>
  <c r="S196" i="4" s="1"/>
  <c r="T196" i="4" s="1"/>
  <c r="X175" i="4"/>
  <c r="Y175" i="4" s="1"/>
  <c r="AD185" i="4"/>
  <c r="AE185" i="4" s="1"/>
  <c r="AD189" i="4"/>
  <c r="AE189" i="4" s="1"/>
  <c r="U196" i="4"/>
  <c r="V196" i="4" s="1"/>
  <c r="W196" i="4" s="1"/>
  <c r="U175" i="4"/>
  <c r="V175" i="4" s="1"/>
  <c r="W175" i="4" s="1"/>
  <c r="U185" i="4"/>
  <c r="V185" i="4" s="1"/>
  <c r="W185" i="4" s="1"/>
  <c r="N30" i="4"/>
  <c r="O30" i="4" s="1"/>
  <c r="Q30" i="4" s="1"/>
  <c r="K196" i="4"/>
  <c r="Z196" i="4" s="1"/>
  <c r="AD175" i="4"/>
  <c r="AE175" i="4" s="1"/>
  <c r="X30" i="4"/>
  <c r="Y30" i="4" s="1"/>
  <c r="X196" i="4"/>
  <c r="Y196" i="4" s="1"/>
  <c r="L175" i="4"/>
  <c r="M175" i="4" s="1"/>
  <c r="AA175" i="4" s="1"/>
  <c r="AD146" i="4"/>
  <c r="AE146" i="4" s="1"/>
  <c r="L146" i="4"/>
  <c r="M146" i="4" s="1"/>
  <c r="AA146" i="4" s="1"/>
  <c r="X146" i="4"/>
  <c r="Y146" i="4" s="1"/>
  <c r="U78" i="4"/>
  <c r="V78" i="4" s="1"/>
  <c r="W78" i="4" s="1"/>
  <c r="K146" i="4"/>
  <c r="L172" i="4"/>
  <c r="AF172" i="4" s="1"/>
  <c r="R134" i="4"/>
  <c r="S134" i="4" s="1"/>
  <c r="T134" i="4" s="1"/>
  <c r="U146" i="4"/>
  <c r="V146" i="4" s="1"/>
  <c r="W146" i="4" s="1"/>
  <c r="U66" i="4"/>
  <c r="V66" i="4" s="1"/>
  <c r="W66" i="4" s="1"/>
  <c r="U101" i="4"/>
  <c r="V101" i="4" s="1"/>
  <c r="W101" i="4" s="1"/>
  <c r="N78" i="4"/>
  <c r="O78" i="4" s="1"/>
  <c r="Q78" i="4" s="1"/>
  <c r="N146" i="4"/>
  <c r="O146" i="4" s="1"/>
  <c r="Q146" i="4" s="1"/>
  <c r="N66" i="4"/>
  <c r="O66" i="4" s="1"/>
  <c r="Q66" i="4" s="1"/>
  <c r="R66" i="4"/>
  <c r="S66" i="4" s="1"/>
  <c r="T66" i="4" s="1"/>
  <c r="N117" i="4"/>
  <c r="O117" i="4" s="1"/>
  <c r="Q117" i="4" s="1"/>
  <c r="X143" i="4"/>
  <c r="Y143" i="4" s="1"/>
  <c r="AD26" i="4"/>
  <c r="AE26" i="4" s="1"/>
  <c r="U80" i="4"/>
  <c r="V80" i="4" s="1"/>
  <c r="W80" i="4" s="1"/>
  <c r="U194" i="4"/>
  <c r="V194" i="4" s="1"/>
  <c r="W194" i="4" s="1"/>
  <c r="R143" i="4"/>
  <c r="S143" i="4" s="1"/>
  <c r="T143" i="4" s="1"/>
  <c r="N168" i="4"/>
  <c r="O168" i="4" s="1"/>
  <c r="Q168" i="4" s="1"/>
  <c r="N194" i="4"/>
  <c r="O194" i="4" s="1"/>
  <c r="Q194" i="4" s="1"/>
  <c r="L143" i="4"/>
  <c r="AB143" i="4" s="1"/>
  <c r="K10" i="4"/>
  <c r="X94" i="4"/>
  <c r="Y94" i="4" s="1"/>
  <c r="AD194" i="4"/>
  <c r="AE194" i="4" s="1"/>
  <c r="AD143" i="4"/>
  <c r="AE143" i="4" s="1"/>
  <c r="R26" i="4"/>
  <c r="S26" i="4" s="1"/>
  <c r="T26" i="4" s="1"/>
  <c r="L179" i="4"/>
  <c r="K143" i="4"/>
  <c r="AD76" i="4"/>
  <c r="AE76" i="4" s="1"/>
  <c r="AD94" i="4"/>
  <c r="AE94" i="4" s="1"/>
  <c r="X76" i="4"/>
  <c r="Y76" i="4" s="1"/>
  <c r="U94" i="4"/>
  <c r="V94" i="4" s="1"/>
  <c r="W94" i="4" s="1"/>
  <c r="R94" i="4"/>
  <c r="S94" i="4" s="1"/>
  <c r="T94" i="4" s="1"/>
  <c r="U26" i="4"/>
  <c r="V26" i="4" s="1"/>
  <c r="W26" i="4" s="1"/>
  <c r="L94" i="4"/>
  <c r="M94" i="4" s="1"/>
  <c r="AA94" i="4" s="1"/>
  <c r="N94" i="4"/>
  <c r="O94" i="4" s="1"/>
  <c r="Q94" i="4" s="1"/>
  <c r="L68" i="4"/>
  <c r="M68" i="4" s="1"/>
  <c r="AA68" i="4" s="1"/>
  <c r="R76" i="4"/>
  <c r="S76" i="4" s="1"/>
  <c r="T76" i="4" s="1"/>
  <c r="AD161" i="4"/>
  <c r="AE161" i="4" s="1"/>
  <c r="N76" i="4"/>
  <c r="O76" i="4" s="1"/>
  <c r="Q76" i="4" s="1"/>
  <c r="U54" i="4"/>
  <c r="V54" i="4" s="1"/>
  <c r="W54" i="4" s="1"/>
  <c r="L194" i="4"/>
  <c r="M194" i="4" s="1"/>
  <c r="AA194" i="4" s="1"/>
  <c r="L76" i="4"/>
  <c r="M76" i="4" s="1"/>
  <c r="AA76" i="4" s="1"/>
  <c r="U151" i="4"/>
  <c r="V151" i="4" s="1"/>
  <c r="W151" i="4" s="1"/>
  <c r="U76" i="4"/>
  <c r="V76" i="4" s="1"/>
  <c r="W76" i="4" s="1"/>
  <c r="K173" i="4"/>
  <c r="AD151" i="4"/>
  <c r="AE151" i="4" s="1"/>
  <c r="L187" i="4"/>
  <c r="R145" i="4"/>
  <c r="S145" i="4" s="1"/>
  <c r="T145" i="4" s="1"/>
  <c r="L145" i="4"/>
  <c r="AB145" i="4" s="1"/>
  <c r="N145" i="4"/>
  <c r="O145" i="4" s="1"/>
  <c r="Q145" i="4" s="1"/>
  <c r="K163" i="4"/>
  <c r="K145" i="4"/>
  <c r="X145" i="4"/>
  <c r="Y145" i="4" s="1"/>
  <c r="AD206" i="4"/>
  <c r="AE206" i="4" s="1"/>
  <c r="X163" i="4"/>
  <c r="Y163" i="4" s="1"/>
  <c r="U57" i="4"/>
  <c r="V57" i="4" s="1"/>
  <c r="W57" i="4" s="1"/>
  <c r="U145" i="4"/>
  <c r="V145" i="4" s="1"/>
  <c r="W145" i="4" s="1"/>
  <c r="N163" i="4"/>
  <c r="O163" i="4" s="1"/>
  <c r="Q163" i="4" s="1"/>
  <c r="N57" i="4"/>
  <c r="O57" i="4" s="1"/>
  <c r="Q57" i="4" s="1"/>
  <c r="X57" i="4"/>
  <c r="Y57" i="4" s="1"/>
  <c r="AB130" i="4"/>
  <c r="R21" i="4"/>
  <c r="S21" i="4" s="1"/>
  <c r="T21" i="4" s="1"/>
  <c r="AB160" i="4"/>
  <c r="AD160" i="4"/>
  <c r="AE160" i="4" s="1"/>
  <c r="K141" i="4"/>
  <c r="X189" i="4"/>
  <c r="Y189" i="4" s="1"/>
  <c r="K39" i="4"/>
  <c r="L39" i="4"/>
  <c r="X39" i="4"/>
  <c r="Y39" i="4" s="1"/>
  <c r="AD39" i="4"/>
  <c r="AE39" i="4" s="1"/>
  <c r="N39" i="4"/>
  <c r="O39" i="4" s="1"/>
  <c r="Q39" i="4" s="1"/>
  <c r="U39" i="4"/>
  <c r="V39" i="4" s="1"/>
  <c r="W39" i="4" s="1"/>
  <c r="X187" i="4"/>
  <c r="Y187" i="4" s="1"/>
  <c r="AD187" i="4"/>
  <c r="AE187" i="4" s="1"/>
  <c r="N96" i="4"/>
  <c r="O96" i="4" s="1"/>
  <c r="Q96" i="4" s="1"/>
  <c r="X96" i="4"/>
  <c r="Y96" i="4" s="1"/>
  <c r="K151" i="4"/>
  <c r="AF151" i="4" s="1"/>
  <c r="X144" i="4"/>
  <c r="Y144" i="4" s="1"/>
  <c r="X173" i="4"/>
  <c r="Y173" i="4" s="1"/>
  <c r="K75" i="4"/>
  <c r="N75" i="4"/>
  <c r="O75" i="4" s="1"/>
  <c r="Q75" i="4" s="1"/>
  <c r="U75" i="4"/>
  <c r="V75" i="4" s="1"/>
  <c r="W75" i="4" s="1"/>
  <c r="AD75" i="4"/>
  <c r="AE75" i="4" s="1"/>
  <c r="R75" i="4"/>
  <c r="S75" i="4" s="1"/>
  <c r="T75" i="4" s="1"/>
  <c r="L75" i="4"/>
  <c r="X75" i="4"/>
  <c r="Y75" i="4" s="1"/>
  <c r="B13" i="6"/>
  <c r="X118" i="4"/>
  <c r="Y118" i="4" s="1"/>
  <c r="N144" i="4"/>
  <c r="O144" i="4" s="1"/>
  <c r="Q144" i="4" s="1"/>
  <c r="K15" i="4"/>
  <c r="L15" i="4"/>
  <c r="AD15" i="4"/>
  <c r="AE15" i="4" s="1"/>
  <c r="U15" i="4"/>
  <c r="V15" i="4" s="1"/>
  <c r="W15" i="4" s="1"/>
  <c r="N15" i="4"/>
  <c r="O15" i="4" s="1"/>
  <c r="Q15" i="4" s="1"/>
  <c r="X15" i="4"/>
  <c r="Y15" i="4" s="1"/>
  <c r="R15" i="4"/>
  <c r="S15" i="4" s="1"/>
  <c r="T15" i="4" s="1"/>
  <c r="K29" i="4"/>
  <c r="L29" i="4"/>
  <c r="AD29" i="4"/>
  <c r="AE29" i="4" s="1"/>
  <c r="U29" i="4"/>
  <c r="V29" i="4" s="1"/>
  <c r="W29" i="4" s="1"/>
  <c r="X29" i="4"/>
  <c r="Y29" i="4" s="1"/>
  <c r="N29" i="4"/>
  <c r="O29" i="4" s="1"/>
  <c r="Q29" i="4" s="1"/>
  <c r="R29" i="4"/>
  <c r="S29" i="4" s="1"/>
  <c r="T29" i="4" s="1"/>
  <c r="X79" i="4"/>
  <c r="Y79" i="4" s="1"/>
  <c r="K118" i="4"/>
  <c r="R139" i="4"/>
  <c r="S139" i="4" s="1"/>
  <c r="T139" i="4" s="1"/>
  <c r="R117" i="4"/>
  <c r="S117" i="4" s="1"/>
  <c r="T117" i="4" s="1"/>
  <c r="X164" i="4"/>
  <c r="Y164" i="4" s="1"/>
  <c r="AD157" i="4"/>
  <c r="AE157" i="4" s="1"/>
  <c r="K179" i="4"/>
  <c r="X139" i="4"/>
  <c r="Y139" i="4" s="1"/>
  <c r="L117" i="4"/>
  <c r="AB117" i="4" s="1"/>
  <c r="R164" i="4"/>
  <c r="S164" i="4" s="1"/>
  <c r="T164" i="4" s="1"/>
  <c r="L197" i="4"/>
  <c r="M197" i="4" s="1"/>
  <c r="AA197" i="4" s="1"/>
  <c r="N157" i="4"/>
  <c r="O157" i="4" s="1"/>
  <c r="Q157" i="4" s="1"/>
  <c r="R187" i="4"/>
  <c r="S187" i="4" s="1"/>
  <c r="T187" i="4" s="1"/>
  <c r="AD101" i="4"/>
  <c r="AE101" i="4" s="1"/>
  <c r="N142" i="4"/>
  <c r="O142" i="4" s="1"/>
  <c r="Q142" i="4" s="1"/>
  <c r="R144" i="4"/>
  <c r="S144" i="4" s="1"/>
  <c r="T144" i="4" s="1"/>
  <c r="L173" i="4"/>
  <c r="R152" i="4"/>
  <c r="S152" i="4" s="1"/>
  <c r="T152" i="4" s="1"/>
  <c r="N152" i="4"/>
  <c r="O152" i="4" s="1"/>
  <c r="Q152" i="4" s="1"/>
  <c r="L152" i="4"/>
  <c r="K84" i="4"/>
  <c r="R84" i="4"/>
  <c r="S84" i="4" s="1"/>
  <c r="T84" i="4" s="1"/>
  <c r="L84" i="4"/>
  <c r="X84" i="4"/>
  <c r="Y84" i="4" s="1"/>
  <c r="AD84" i="4"/>
  <c r="AE84" i="4" s="1"/>
  <c r="N84" i="4"/>
  <c r="O84" i="4" s="1"/>
  <c r="Q84" i="4" s="1"/>
  <c r="U84" i="4"/>
  <c r="V84" i="4" s="1"/>
  <c r="W84" i="4" s="1"/>
  <c r="N95" i="4"/>
  <c r="O95" i="4" s="1"/>
  <c r="Q95" i="4" s="1"/>
  <c r="U118" i="4"/>
  <c r="V118" i="4" s="1"/>
  <c r="W118" i="4" s="1"/>
  <c r="U134" i="4"/>
  <c r="V134" i="4" s="1"/>
  <c r="W134" i="4" s="1"/>
  <c r="K149" i="4"/>
  <c r="N139" i="4"/>
  <c r="O139" i="4" s="1"/>
  <c r="Q139" i="4" s="1"/>
  <c r="AD164" i="4"/>
  <c r="AE164" i="4" s="1"/>
  <c r="N73" i="4"/>
  <c r="O73" i="4" s="1"/>
  <c r="Q73" i="4" s="1"/>
  <c r="K197" i="4"/>
  <c r="R157" i="4"/>
  <c r="S157" i="4" s="1"/>
  <c r="T157" i="4" s="1"/>
  <c r="K187" i="4"/>
  <c r="L142" i="4"/>
  <c r="Z142" i="4" s="1"/>
  <c r="L57" i="4"/>
  <c r="Z57" i="4" s="1"/>
  <c r="L144" i="4"/>
  <c r="AB144" i="4" s="1"/>
  <c r="R173" i="4"/>
  <c r="S173" i="4" s="1"/>
  <c r="T173" i="4" s="1"/>
  <c r="L168" i="4"/>
  <c r="M168" i="4" s="1"/>
  <c r="AA168" i="4" s="1"/>
  <c r="N207" i="4"/>
  <c r="O207" i="4" s="1"/>
  <c r="Q207" i="4" s="1"/>
  <c r="R207" i="4"/>
  <c r="S207" i="4" s="1"/>
  <c r="T207" i="4" s="1"/>
  <c r="L207" i="4"/>
  <c r="X207" i="4"/>
  <c r="Y207" i="4" s="1"/>
  <c r="U207" i="4"/>
  <c r="V207" i="4" s="1"/>
  <c r="W207" i="4" s="1"/>
  <c r="E108" i="1"/>
  <c r="E107" i="1"/>
  <c r="B221" i="2"/>
  <c r="B222" i="2" s="1"/>
  <c r="B75" i="4"/>
  <c r="B76" i="4" s="1"/>
  <c r="K93" i="4"/>
  <c r="U93" i="4"/>
  <c r="V93" i="4" s="1"/>
  <c r="W93" i="4" s="1"/>
  <c r="L93" i="4"/>
  <c r="R93" i="4"/>
  <c r="S93" i="4" s="1"/>
  <c r="T93" i="4" s="1"/>
  <c r="N93" i="4"/>
  <c r="O93" i="4" s="1"/>
  <c r="Q93" i="4" s="1"/>
  <c r="AD93" i="4"/>
  <c r="AE93" i="4" s="1"/>
  <c r="X93" i="4"/>
  <c r="Y93" i="4" s="1"/>
  <c r="R124" i="4"/>
  <c r="S124" i="4" s="1"/>
  <c r="T124" i="4" s="1"/>
  <c r="N124" i="4"/>
  <c r="O124" i="4" s="1"/>
  <c r="Q124" i="4" s="1"/>
  <c r="L124" i="4"/>
  <c r="U124" i="4"/>
  <c r="V124" i="4" s="1"/>
  <c r="W124" i="4" s="1"/>
  <c r="K108" i="4"/>
  <c r="AD108" i="4"/>
  <c r="AE108" i="4" s="1"/>
  <c r="L108" i="4"/>
  <c r="R108" i="4"/>
  <c r="S108" i="4" s="1"/>
  <c r="T108" i="4" s="1"/>
  <c r="U108" i="4"/>
  <c r="V108" i="4" s="1"/>
  <c r="W108" i="4" s="1"/>
  <c r="N108" i="4"/>
  <c r="O108" i="4" s="1"/>
  <c r="Q108" i="4" s="1"/>
  <c r="X108" i="4"/>
  <c r="Y108" i="4" s="1"/>
  <c r="U139" i="4"/>
  <c r="V139" i="4" s="1"/>
  <c r="W139" i="4" s="1"/>
  <c r="U164" i="4"/>
  <c r="V164" i="4" s="1"/>
  <c r="W164" i="4" s="1"/>
  <c r="N63" i="4"/>
  <c r="O63" i="4" s="1"/>
  <c r="Q63" i="4" s="1"/>
  <c r="K205" i="4"/>
  <c r="AD67" i="4"/>
  <c r="AE67" i="4" s="1"/>
  <c r="AD134" i="4"/>
  <c r="AE134" i="4" s="1"/>
  <c r="N79" i="4"/>
  <c r="O79" i="4" s="1"/>
  <c r="Q79" i="4" s="1"/>
  <c r="K139" i="4"/>
  <c r="AF139" i="4" s="1"/>
  <c r="L79" i="4"/>
  <c r="AF79" i="4" s="1"/>
  <c r="N164" i="4"/>
  <c r="O164" i="4" s="1"/>
  <c r="Q164" i="4" s="1"/>
  <c r="R73" i="4"/>
  <c r="S73" i="4" s="1"/>
  <c r="T73" i="4" s="1"/>
  <c r="N197" i="4"/>
  <c r="O197" i="4" s="1"/>
  <c r="Q197" i="4" s="1"/>
  <c r="L157" i="4"/>
  <c r="M157" i="4" s="1"/>
  <c r="AA157" i="4" s="1"/>
  <c r="R142" i="4"/>
  <c r="S142" i="4" s="1"/>
  <c r="T142" i="4" s="1"/>
  <c r="AD57" i="4"/>
  <c r="AE57" i="4" s="1"/>
  <c r="AD144" i="4"/>
  <c r="AE144" i="4" s="1"/>
  <c r="N173" i="4"/>
  <c r="O173" i="4" s="1"/>
  <c r="Q173" i="4" s="1"/>
  <c r="K18" i="4"/>
  <c r="L18" i="4"/>
  <c r="R18" i="4"/>
  <c r="S18" i="4" s="1"/>
  <c r="T18" i="4" s="1"/>
  <c r="X18" i="4"/>
  <c r="Y18" i="4" s="1"/>
  <c r="AD18" i="4"/>
  <c r="AE18" i="4" s="1"/>
  <c r="K70" i="4"/>
  <c r="AF70" i="4" s="1"/>
  <c r="AG70" i="4" s="1"/>
  <c r="AS70" i="4" s="1"/>
  <c r="U70" i="4"/>
  <c r="V70" i="4" s="1"/>
  <c r="W70" i="4" s="1"/>
  <c r="R179" i="4"/>
  <c r="S179" i="4" s="1"/>
  <c r="T179" i="4" s="1"/>
  <c r="L164" i="4"/>
  <c r="AF164" i="4" s="1"/>
  <c r="K157" i="4"/>
  <c r="R160" i="4"/>
  <c r="S160" i="4" s="1"/>
  <c r="T160" i="4" s="1"/>
  <c r="X142" i="4"/>
  <c r="Y142" i="4" s="1"/>
  <c r="U144" i="4"/>
  <c r="V144" i="4" s="1"/>
  <c r="W144" i="4" s="1"/>
  <c r="R112" i="4"/>
  <c r="S112" i="4" s="1"/>
  <c r="T112" i="4" s="1"/>
  <c r="U173" i="4"/>
  <c r="V173" i="4" s="1"/>
  <c r="W173" i="4" s="1"/>
  <c r="X42" i="4"/>
  <c r="Y42" i="4" s="1"/>
  <c r="AD42" i="4"/>
  <c r="AE42" i="4" s="1"/>
  <c r="K25" i="4"/>
  <c r="Z25" i="4" s="1"/>
  <c r="U25" i="4"/>
  <c r="V25" i="4" s="1"/>
  <c r="W25" i="4" s="1"/>
  <c r="AD25" i="4"/>
  <c r="AE25" i="4" s="1"/>
  <c r="N25" i="4"/>
  <c r="O25" i="4" s="1"/>
  <c r="Q25" i="4" s="1"/>
  <c r="X25" i="4"/>
  <c r="Y25" i="4" s="1"/>
  <c r="R25" i="4"/>
  <c r="S25" i="4" s="1"/>
  <c r="T25" i="4" s="1"/>
  <c r="K16" i="4"/>
  <c r="X16" i="4"/>
  <c r="Y16" i="4" s="1"/>
  <c r="U16" i="4"/>
  <c r="V16" i="4" s="1"/>
  <c r="W16" i="4" s="1"/>
  <c r="R16" i="4"/>
  <c r="S16" i="4" s="1"/>
  <c r="T16" i="4" s="1"/>
  <c r="N16" i="4"/>
  <c r="O16" i="4" s="1"/>
  <c r="Q16" i="4" s="1"/>
  <c r="AD16" i="4"/>
  <c r="AE16" i="4" s="1"/>
  <c r="L16" i="4"/>
  <c r="K71" i="4"/>
  <c r="AD71" i="4"/>
  <c r="AE71" i="4" s="1"/>
  <c r="L71" i="4"/>
  <c r="R71" i="4"/>
  <c r="S71" i="4" s="1"/>
  <c r="T71" i="4" s="1"/>
  <c r="X71" i="4"/>
  <c r="Y71" i="4" s="1"/>
  <c r="N71" i="4"/>
  <c r="O71" i="4" s="1"/>
  <c r="Q71" i="4" s="1"/>
  <c r="U71" i="4"/>
  <c r="V71" i="4" s="1"/>
  <c r="W71" i="4" s="1"/>
  <c r="K63" i="4"/>
  <c r="AF63" i="4" s="1"/>
  <c r="AD63" i="4"/>
  <c r="AE63" i="4" s="1"/>
  <c r="X63" i="4"/>
  <c r="Y63" i="4" s="1"/>
  <c r="U63" i="4"/>
  <c r="V63" i="4" s="1"/>
  <c r="W63" i="4" s="1"/>
  <c r="K21" i="4"/>
  <c r="L21" i="4"/>
  <c r="AD21" i="4"/>
  <c r="AE21" i="4" s="1"/>
  <c r="U21" i="4"/>
  <c r="V21" i="4" s="1"/>
  <c r="W21" i="4" s="1"/>
  <c r="L118" i="4"/>
  <c r="M118" i="4" s="1"/>
  <c r="AA118" i="4" s="1"/>
  <c r="L134" i="4"/>
  <c r="M134" i="4" s="1"/>
  <c r="AA134" i="4" s="1"/>
  <c r="R149" i="4"/>
  <c r="S149" i="4" s="1"/>
  <c r="T149" i="4" s="1"/>
  <c r="K134" i="4"/>
  <c r="R206" i="4"/>
  <c r="S206" i="4" s="1"/>
  <c r="T206" i="4" s="1"/>
  <c r="R30" i="4"/>
  <c r="S30" i="4" s="1"/>
  <c r="T30" i="4" s="1"/>
  <c r="L96" i="4"/>
  <c r="R57" i="4"/>
  <c r="S57" i="4" s="1"/>
  <c r="T57" i="4" s="1"/>
  <c r="K112" i="4"/>
  <c r="U22" i="4"/>
  <c r="V22" i="4" s="1"/>
  <c r="W22" i="4" s="1"/>
  <c r="L22" i="4"/>
  <c r="M22" i="4" s="1"/>
  <c r="AA22" i="4" s="1"/>
  <c r="K14" i="4"/>
  <c r="R14" i="4"/>
  <c r="S14" i="4" s="1"/>
  <c r="T14" i="4" s="1"/>
  <c r="L14" i="4"/>
  <c r="N14" i="4"/>
  <c r="O14" i="4" s="1"/>
  <c r="Q14" i="4" s="1"/>
  <c r="AD14" i="4"/>
  <c r="AE14" i="4" s="1"/>
  <c r="U14" i="4"/>
  <c r="V14" i="4" s="1"/>
  <c r="W14" i="4" s="1"/>
  <c r="X14" i="4"/>
  <c r="Y14" i="4" s="1"/>
  <c r="K59" i="4"/>
  <c r="L59" i="4"/>
  <c r="AD59" i="4"/>
  <c r="AE59" i="4" s="1"/>
  <c r="U59" i="4"/>
  <c r="V59" i="4" s="1"/>
  <c r="W59" i="4" s="1"/>
  <c r="R59" i="4"/>
  <c r="S59" i="4" s="1"/>
  <c r="T59" i="4" s="1"/>
  <c r="N59" i="4"/>
  <c r="O59" i="4" s="1"/>
  <c r="Q59" i="4" s="1"/>
  <c r="X59" i="4"/>
  <c r="Y59" i="4" s="1"/>
  <c r="K62" i="4"/>
  <c r="R62" i="4"/>
  <c r="S62" i="4" s="1"/>
  <c r="T62" i="4" s="1"/>
  <c r="L62" i="4"/>
  <c r="K104" i="4"/>
  <c r="R104" i="4"/>
  <c r="S104" i="4" s="1"/>
  <c r="T104" i="4" s="1"/>
  <c r="N104" i="4"/>
  <c r="O104" i="4" s="1"/>
  <c r="Q104" i="4" s="1"/>
  <c r="AD104" i="4"/>
  <c r="AE104" i="4" s="1"/>
  <c r="K102" i="4"/>
  <c r="R102" i="4"/>
  <c r="S102" i="4" s="1"/>
  <c r="T102" i="4" s="1"/>
  <c r="L102" i="4"/>
  <c r="AD102" i="4"/>
  <c r="AE102" i="4" s="1"/>
  <c r="N102" i="4"/>
  <c r="O102" i="4" s="1"/>
  <c r="Q102" i="4" s="1"/>
  <c r="U102" i="4"/>
  <c r="V102" i="4" s="1"/>
  <c r="W102" i="4" s="1"/>
  <c r="X102" i="4"/>
  <c r="Y102" i="4" s="1"/>
  <c r="B82" i="2"/>
  <c r="E43" i="1" s="1"/>
  <c r="B158" i="2"/>
  <c r="K42" i="4"/>
  <c r="AF42" i="4" s="1"/>
  <c r="N42" i="4"/>
  <c r="O42" i="4" s="1"/>
  <c r="Q42" i="4" s="1"/>
  <c r="U42" i="4"/>
  <c r="V42" i="4" s="1"/>
  <c r="W42" i="4" s="1"/>
  <c r="L206" i="4"/>
  <c r="AB206" i="4" s="1"/>
  <c r="L38" i="4"/>
  <c r="X177" i="4"/>
  <c r="Y177" i="4" s="1"/>
  <c r="R189" i="4"/>
  <c r="S189" i="4" s="1"/>
  <c r="T189" i="4" s="1"/>
  <c r="AD30" i="4"/>
  <c r="AE30" i="4" s="1"/>
  <c r="X160" i="4"/>
  <c r="Y160" i="4" s="1"/>
  <c r="R96" i="4"/>
  <c r="S96" i="4" s="1"/>
  <c r="T96" i="4" s="1"/>
  <c r="R10" i="4"/>
  <c r="S10" i="4" s="1"/>
  <c r="T10" i="4" s="1"/>
  <c r="N135" i="4"/>
  <c r="O135" i="4" s="1"/>
  <c r="Q135" i="4" s="1"/>
  <c r="AD141" i="4"/>
  <c r="AE141" i="4" s="1"/>
  <c r="N130" i="4"/>
  <c r="O130" i="4" s="1"/>
  <c r="Q130" i="4" s="1"/>
  <c r="N80" i="4"/>
  <c r="O80" i="4" s="1"/>
  <c r="Q80" i="4" s="1"/>
  <c r="K26" i="4"/>
  <c r="X26" i="4"/>
  <c r="Y26" i="4" s="1"/>
  <c r="K11" i="4"/>
  <c r="U11" i="4"/>
  <c r="V11" i="4" s="1"/>
  <c r="W11" i="4" s="1"/>
  <c r="L11" i="4"/>
  <c r="X11" i="4"/>
  <c r="Y11" i="4" s="1"/>
  <c r="N11" i="4"/>
  <c r="O11" i="4" s="1"/>
  <c r="Q11" i="4" s="1"/>
  <c r="AD11" i="4"/>
  <c r="AE11" i="4" s="1"/>
  <c r="R11" i="4"/>
  <c r="S11" i="4" s="1"/>
  <c r="T11" i="4" s="1"/>
  <c r="AD23" i="4"/>
  <c r="AE23" i="4" s="1"/>
  <c r="X23" i="4"/>
  <c r="Y23" i="4" s="1"/>
  <c r="R23" i="4"/>
  <c r="S23" i="4" s="1"/>
  <c r="T23" i="4" s="1"/>
  <c r="K206" i="4"/>
  <c r="X22" i="4"/>
  <c r="Y22" i="4" s="1"/>
  <c r="AD168" i="4"/>
  <c r="AE168" i="4" s="1"/>
  <c r="K168" i="4"/>
  <c r="U67" i="4"/>
  <c r="V67" i="4" s="1"/>
  <c r="W67" i="4" s="1"/>
  <c r="K80" i="4"/>
  <c r="L101" i="4"/>
  <c r="AF101" i="4" s="1"/>
  <c r="U206" i="4"/>
  <c r="V206" i="4" s="1"/>
  <c r="W206" i="4" s="1"/>
  <c r="R38" i="4"/>
  <c r="S38" i="4" s="1"/>
  <c r="T38" i="4" s="1"/>
  <c r="R177" i="4"/>
  <c r="S177" i="4" s="1"/>
  <c r="T177" i="4" s="1"/>
  <c r="R55" i="4"/>
  <c r="S55" i="4" s="1"/>
  <c r="T55" i="4" s="1"/>
  <c r="L189" i="4"/>
  <c r="M189" i="4" s="1"/>
  <c r="AA189" i="4" s="1"/>
  <c r="L30" i="4"/>
  <c r="M30" i="4" s="1"/>
  <c r="AA30" i="4" s="1"/>
  <c r="U79" i="4"/>
  <c r="V79" i="4" s="1"/>
  <c r="W79" i="4" s="1"/>
  <c r="U10" i="4"/>
  <c r="V10" i="4" s="1"/>
  <c r="W10" i="4" s="1"/>
  <c r="X135" i="4"/>
  <c r="Y135" i="4" s="1"/>
  <c r="L50" i="4"/>
  <c r="N141" i="4"/>
  <c r="O141" i="4" s="1"/>
  <c r="Q141" i="4" s="1"/>
  <c r="R42" i="4"/>
  <c r="S42" i="4" s="1"/>
  <c r="T42" i="4" s="1"/>
  <c r="N21" i="4"/>
  <c r="O21" i="4" s="1"/>
  <c r="Q21" i="4" s="1"/>
  <c r="K43" i="4"/>
  <c r="R43" i="4"/>
  <c r="S43" i="4" s="1"/>
  <c r="T43" i="4" s="1"/>
  <c r="L43" i="4"/>
  <c r="U43" i="4"/>
  <c r="V43" i="4" s="1"/>
  <c r="W43" i="4" s="1"/>
  <c r="AD43" i="4"/>
  <c r="AE43" i="4" s="1"/>
  <c r="X43" i="4"/>
  <c r="Y43" i="4" s="1"/>
  <c r="N43" i="4"/>
  <c r="O43" i="4" s="1"/>
  <c r="Q43" i="4" s="1"/>
  <c r="X137" i="4"/>
  <c r="Y137" i="4" s="1"/>
  <c r="U137" i="4"/>
  <c r="V137" i="4" s="1"/>
  <c r="W137" i="4" s="1"/>
  <c r="R137" i="4"/>
  <c r="S137" i="4" s="1"/>
  <c r="T137" i="4" s="1"/>
  <c r="L137" i="4"/>
  <c r="Z137" i="4" s="1"/>
  <c r="N137" i="4"/>
  <c r="O137" i="4" s="1"/>
  <c r="Q137" i="4" s="1"/>
  <c r="K92" i="4"/>
  <c r="AD92" i="4"/>
  <c r="AE92" i="4" s="1"/>
  <c r="L92" i="4"/>
  <c r="R92" i="4"/>
  <c r="S92" i="4" s="1"/>
  <c r="T92" i="4" s="1"/>
  <c r="N92" i="4"/>
  <c r="O92" i="4" s="1"/>
  <c r="Q92" i="4" s="1"/>
  <c r="X92" i="4"/>
  <c r="Y92" i="4" s="1"/>
  <c r="U92" i="4"/>
  <c r="V92" i="4" s="1"/>
  <c r="W92" i="4" s="1"/>
  <c r="K47" i="4"/>
  <c r="X47" i="4"/>
  <c r="Y47" i="4" s="1"/>
  <c r="L47" i="4"/>
  <c r="AD47" i="4"/>
  <c r="AE47" i="4" s="1"/>
  <c r="R47" i="4"/>
  <c r="S47" i="4" s="1"/>
  <c r="T47" i="4" s="1"/>
  <c r="U47" i="4"/>
  <c r="V47" i="4" s="1"/>
  <c r="W47" i="4" s="1"/>
  <c r="N47" i="4"/>
  <c r="O47" i="4" s="1"/>
  <c r="Q47" i="4" s="1"/>
  <c r="K189" i="4"/>
  <c r="K160" i="4"/>
  <c r="AF160" i="4" s="1"/>
  <c r="X151" i="4"/>
  <c r="Y151" i="4" s="1"/>
  <c r="N10" i="4"/>
  <c r="O10" i="4" s="1"/>
  <c r="Q10" i="4" s="1"/>
  <c r="K135" i="4"/>
  <c r="R141" i="4"/>
  <c r="S141" i="4" s="1"/>
  <c r="T141" i="4" s="1"/>
  <c r="K13" i="4"/>
  <c r="L13" i="4"/>
  <c r="U13" i="4"/>
  <c r="V13" i="4" s="1"/>
  <c r="W13" i="4" s="1"/>
  <c r="X13" i="4"/>
  <c r="Y13" i="4" s="1"/>
  <c r="K74" i="4"/>
  <c r="L74" i="4"/>
  <c r="R74" i="4"/>
  <c r="S74" i="4" s="1"/>
  <c r="T74" i="4" s="1"/>
  <c r="N74" i="4"/>
  <c r="O74" i="4" s="1"/>
  <c r="Q74" i="4" s="1"/>
  <c r="AD74" i="4"/>
  <c r="AE74" i="4" s="1"/>
  <c r="U74" i="4"/>
  <c r="V74" i="4" s="1"/>
  <c r="W74" i="4" s="1"/>
  <c r="N177" i="4"/>
  <c r="O177" i="4" s="1"/>
  <c r="Q177" i="4" s="1"/>
  <c r="U135" i="4"/>
  <c r="V135" i="4" s="1"/>
  <c r="W135" i="4" s="1"/>
  <c r="R63" i="4"/>
  <c r="S63" i="4" s="1"/>
  <c r="T63" i="4" s="1"/>
  <c r="AD95" i="4"/>
  <c r="AE95" i="4" s="1"/>
  <c r="N206" i="4"/>
  <c r="O206" i="4" s="1"/>
  <c r="Q206" i="4" s="1"/>
  <c r="X38" i="4"/>
  <c r="Y38" i="4" s="1"/>
  <c r="N55" i="4"/>
  <c r="O55" i="4" s="1"/>
  <c r="Q55" i="4" s="1"/>
  <c r="R95" i="4"/>
  <c r="S95" i="4" s="1"/>
  <c r="T95" i="4" s="1"/>
  <c r="AD117" i="4"/>
  <c r="AE117" i="4" s="1"/>
  <c r="U38" i="4"/>
  <c r="V38" i="4" s="1"/>
  <c r="W38" i="4" s="1"/>
  <c r="AD177" i="4"/>
  <c r="AE177" i="4" s="1"/>
  <c r="L55" i="4"/>
  <c r="AB55" i="4" s="1"/>
  <c r="U189" i="4"/>
  <c r="V189" i="4" s="1"/>
  <c r="W189" i="4" s="1"/>
  <c r="K30" i="4"/>
  <c r="U133" i="4"/>
  <c r="V133" i="4" s="1"/>
  <c r="W133" i="4" s="1"/>
  <c r="U160" i="4"/>
  <c r="V160" i="4" s="1"/>
  <c r="W160" i="4" s="1"/>
  <c r="N160" i="4"/>
  <c r="O160" i="4" s="1"/>
  <c r="Q160" i="4" s="1"/>
  <c r="R101" i="4"/>
  <c r="S101" i="4" s="1"/>
  <c r="T101" i="4" s="1"/>
  <c r="R151" i="4"/>
  <c r="S151" i="4" s="1"/>
  <c r="T151" i="4" s="1"/>
  <c r="X10" i="4"/>
  <c r="Y10" i="4" s="1"/>
  <c r="L135" i="4"/>
  <c r="AB135" i="4" s="1"/>
  <c r="N50" i="4"/>
  <c r="O50" i="4" s="1"/>
  <c r="Q50" i="4" s="1"/>
  <c r="U141" i="4"/>
  <c r="V141" i="4" s="1"/>
  <c r="W141" i="4" s="1"/>
  <c r="R22" i="4"/>
  <c r="S22" i="4" s="1"/>
  <c r="T22" i="4" s="1"/>
  <c r="N22" i="4"/>
  <c r="O22" i="4" s="1"/>
  <c r="Q22" i="4" s="1"/>
  <c r="K17" i="4"/>
  <c r="U17" i="4"/>
  <c r="V17" i="4" s="1"/>
  <c r="W17" i="4" s="1"/>
  <c r="L17" i="4"/>
  <c r="N17" i="4"/>
  <c r="O17" i="4" s="1"/>
  <c r="Q17" i="4" s="1"/>
  <c r="R17" i="4"/>
  <c r="S17" i="4" s="1"/>
  <c r="T17" i="4" s="1"/>
  <c r="X17" i="4"/>
  <c r="Y17" i="4" s="1"/>
  <c r="AD17" i="4"/>
  <c r="AE17" i="4" s="1"/>
  <c r="K98" i="4"/>
  <c r="R98" i="4"/>
  <c r="S98" i="4" s="1"/>
  <c r="T98" i="4" s="1"/>
  <c r="L98" i="4"/>
  <c r="AD98" i="4"/>
  <c r="AE98" i="4" s="1"/>
  <c r="U98" i="4"/>
  <c r="V98" i="4" s="1"/>
  <c r="W98" i="4" s="1"/>
  <c r="X98" i="4"/>
  <c r="Y98" i="4" s="1"/>
  <c r="N98" i="4"/>
  <c r="O98" i="4" s="1"/>
  <c r="Q98" i="4" s="1"/>
  <c r="K28" i="4"/>
  <c r="AD28" i="4"/>
  <c r="AE28" i="4" s="1"/>
  <c r="L97" i="4"/>
  <c r="AD97" i="4"/>
  <c r="AE97" i="4" s="1"/>
  <c r="K89" i="4"/>
  <c r="AF89" i="4" s="1"/>
  <c r="U89" i="4"/>
  <c r="V89" i="4" s="1"/>
  <c r="W89" i="4" s="1"/>
  <c r="X89" i="4"/>
  <c r="Y89" i="4" s="1"/>
  <c r="N89" i="4"/>
  <c r="O89" i="4" s="1"/>
  <c r="Q89" i="4" s="1"/>
  <c r="R89" i="4"/>
  <c r="S89" i="4" s="1"/>
  <c r="T89" i="4" s="1"/>
  <c r="R39" i="4"/>
  <c r="S39" i="4" s="1"/>
  <c r="T39" i="4" s="1"/>
  <c r="X168" i="4"/>
  <c r="Y168" i="4" s="1"/>
  <c r="L177" i="4"/>
  <c r="M177" i="4" s="1"/>
  <c r="AA177" i="4" s="1"/>
  <c r="R79" i="4"/>
  <c r="S79" i="4" s="1"/>
  <c r="T79" i="4" s="1"/>
  <c r="AD202" i="4"/>
  <c r="AE202" i="4" s="1"/>
  <c r="K117" i="4"/>
  <c r="N38" i="4"/>
  <c r="O38" i="4" s="1"/>
  <c r="Q38" i="4" s="1"/>
  <c r="X55" i="4"/>
  <c r="Y55" i="4" s="1"/>
  <c r="U179" i="4"/>
  <c r="V179" i="4" s="1"/>
  <c r="W179" i="4" s="1"/>
  <c r="U96" i="4"/>
  <c r="V96" i="4" s="1"/>
  <c r="W96" i="4" s="1"/>
  <c r="N151" i="4"/>
  <c r="O151" i="4" s="1"/>
  <c r="Q151" i="4" s="1"/>
  <c r="L10" i="4"/>
  <c r="M10" i="4" s="1"/>
  <c r="AA10" i="4" s="1"/>
  <c r="L141" i="4"/>
  <c r="X80" i="4"/>
  <c r="Y80" i="4" s="1"/>
  <c r="K83" i="4"/>
  <c r="U83" i="4"/>
  <c r="V83" i="4" s="1"/>
  <c r="W83" i="4" s="1"/>
  <c r="L83" i="4"/>
  <c r="N83" i="4"/>
  <c r="O83" i="4" s="1"/>
  <c r="Q83" i="4" s="1"/>
  <c r="R83" i="4"/>
  <c r="S83" i="4" s="1"/>
  <c r="T83" i="4" s="1"/>
  <c r="AD83" i="4"/>
  <c r="AE83" i="4" s="1"/>
  <c r="X83" i="4"/>
  <c r="Y83" i="4" s="1"/>
  <c r="K60" i="4"/>
  <c r="L60" i="4"/>
  <c r="X60" i="4"/>
  <c r="Y60" i="4" s="1"/>
  <c r="AD60" i="4"/>
  <c r="AE60" i="4" s="1"/>
  <c r="R60" i="4"/>
  <c r="S60" i="4" s="1"/>
  <c r="T60" i="4" s="1"/>
  <c r="U60" i="4"/>
  <c r="V60" i="4" s="1"/>
  <c r="W60" i="4" s="1"/>
  <c r="N60" i="4"/>
  <c r="O60" i="4" s="1"/>
  <c r="Q60" i="4" s="1"/>
  <c r="K77" i="4"/>
  <c r="R77" i="4"/>
  <c r="S77" i="4" s="1"/>
  <c r="T77" i="4" s="1"/>
  <c r="L77" i="4"/>
  <c r="X182" i="4"/>
  <c r="Y182" i="4" s="1"/>
  <c r="N182" i="4"/>
  <c r="O182" i="4" s="1"/>
  <c r="Q182" i="4" s="1"/>
  <c r="R182" i="4"/>
  <c r="S182" i="4" s="1"/>
  <c r="T182" i="4" s="1"/>
  <c r="L182" i="4"/>
  <c r="AF182" i="4" s="1"/>
  <c r="AG182" i="4" s="1"/>
  <c r="AS182" i="4" s="1"/>
  <c r="N128" i="4"/>
  <c r="O128" i="4" s="1"/>
  <c r="Q128" i="4" s="1"/>
  <c r="L128" i="4"/>
  <c r="K67" i="4"/>
  <c r="R67" i="4"/>
  <c r="S67" i="4" s="1"/>
  <c r="T67" i="4" s="1"/>
  <c r="X67" i="4"/>
  <c r="Y67" i="4" s="1"/>
  <c r="L80" i="4"/>
  <c r="AB80" i="4" s="1"/>
  <c r="N67" i="4"/>
  <c r="O67" i="4" s="1"/>
  <c r="Q67" i="4" s="1"/>
  <c r="X202" i="4"/>
  <c r="Y202" i="4" s="1"/>
  <c r="AD55" i="4"/>
  <c r="AE55" i="4" s="1"/>
  <c r="U187" i="4"/>
  <c r="V187" i="4" s="1"/>
  <c r="W187" i="4" s="1"/>
  <c r="X179" i="4"/>
  <c r="Y179" i="4" s="1"/>
  <c r="AD79" i="4"/>
  <c r="AE79" i="4" s="1"/>
  <c r="N101" i="4"/>
  <c r="O101" i="4" s="1"/>
  <c r="Q101" i="4" s="1"/>
  <c r="AD80" i="4"/>
  <c r="AE80" i="4" s="1"/>
  <c r="K12" i="4"/>
  <c r="L12" i="4"/>
  <c r="N12" i="4"/>
  <c r="O12" i="4" s="1"/>
  <c r="Q12" i="4" s="1"/>
  <c r="R12" i="4"/>
  <c r="S12" i="4" s="1"/>
  <c r="T12" i="4" s="1"/>
  <c r="X12" i="4"/>
  <c r="Y12" i="4" s="1"/>
  <c r="AD12" i="4"/>
  <c r="AE12" i="4" s="1"/>
  <c r="U12" i="4"/>
  <c r="V12" i="4" s="1"/>
  <c r="W12" i="4" s="1"/>
  <c r="K87" i="4"/>
  <c r="AD87" i="4"/>
  <c r="AE87" i="4" s="1"/>
  <c r="L87" i="4"/>
  <c r="X87" i="4"/>
  <c r="Y87" i="4" s="1"/>
  <c r="R87" i="4"/>
  <c r="S87" i="4" s="1"/>
  <c r="T87" i="4" s="1"/>
  <c r="U87" i="4"/>
  <c r="V87" i="4" s="1"/>
  <c r="W87" i="4" s="1"/>
  <c r="N87" i="4"/>
  <c r="O87" i="4" s="1"/>
  <c r="Q87" i="4" s="1"/>
  <c r="R180" i="4"/>
  <c r="S180" i="4" s="1"/>
  <c r="T180" i="4" s="1"/>
  <c r="L180" i="4"/>
  <c r="N180" i="4"/>
  <c r="O180" i="4" s="1"/>
  <c r="Q180" i="4" s="1"/>
  <c r="J24" i="4"/>
  <c r="AD24" i="4" s="1"/>
  <c r="AE24" i="4" s="1"/>
  <c r="X172" i="4"/>
  <c r="Y172" i="4" s="1"/>
  <c r="J106" i="4"/>
  <c r="X106" i="4" s="1"/>
  <c r="Y106" i="4" s="1"/>
  <c r="AD172" i="4"/>
  <c r="AE172" i="4" s="1"/>
  <c r="N20" i="4"/>
  <c r="O20" i="4" s="1"/>
  <c r="Q20" i="4" s="1"/>
  <c r="N184" i="4"/>
  <c r="O184" i="4" s="1"/>
  <c r="Q184" i="4" s="1"/>
  <c r="J45" i="4"/>
  <c r="X45" i="4" s="1"/>
  <c r="Y45" i="4" s="1"/>
  <c r="K184" i="4"/>
  <c r="Z184" i="4" s="1"/>
  <c r="R20" i="4"/>
  <c r="S20" i="4" s="1"/>
  <c r="T20" i="4" s="1"/>
  <c r="J53" i="4"/>
  <c r="AD53" i="4" s="1"/>
  <c r="AE53" i="4" s="1"/>
  <c r="J46" i="4"/>
  <c r="X46" i="4" s="1"/>
  <c r="Y46" i="4" s="1"/>
  <c r="J40" i="4"/>
  <c r="U40" i="4" s="1"/>
  <c r="V40" i="4" s="1"/>
  <c r="W40" i="4" s="1"/>
  <c r="U184" i="4"/>
  <c r="V184" i="4" s="1"/>
  <c r="W184" i="4" s="1"/>
  <c r="AD184" i="4"/>
  <c r="AE184" i="4" s="1"/>
  <c r="AD179" i="4"/>
  <c r="AE179" i="4" s="1"/>
  <c r="AD119" i="4"/>
  <c r="AE119" i="4" s="1"/>
  <c r="J111" i="4"/>
  <c r="AD111" i="4" s="1"/>
  <c r="AE111" i="4" s="1"/>
  <c r="J9" i="4"/>
  <c r="U9" i="4" s="1"/>
  <c r="V9" i="4" s="1"/>
  <c r="W9" i="4" s="1"/>
  <c r="N202" i="4"/>
  <c r="O202" i="4" s="1"/>
  <c r="Q202" i="4" s="1"/>
  <c r="X184" i="4"/>
  <c r="Y184" i="4" s="1"/>
  <c r="X119" i="4"/>
  <c r="Y119" i="4" s="1"/>
  <c r="J113" i="4"/>
  <c r="AD113" i="4" s="1"/>
  <c r="AE113" i="4" s="1"/>
  <c r="AD200" i="4"/>
  <c r="AE200" i="4" s="1"/>
  <c r="R184" i="4"/>
  <c r="S184" i="4" s="1"/>
  <c r="T184" i="4" s="1"/>
  <c r="X95" i="4"/>
  <c r="Y95" i="4" s="1"/>
  <c r="AD99" i="4"/>
  <c r="AE99" i="4" s="1"/>
  <c r="U119" i="4"/>
  <c r="V119" i="4" s="1"/>
  <c r="W119" i="4" s="1"/>
  <c r="N172" i="4"/>
  <c r="O172" i="4" s="1"/>
  <c r="Q172" i="4" s="1"/>
  <c r="R119" i="4"/>
  <c r="S119" i="4" s="1"/>
  <c r="T119" i="4" s="1"/>
  <c r="AD112" i="4"/>
  <c r="AE112" i="4" s="1"/>
  <c r="J115" i="4"/>
  <c r="AD115" i="4" s="1"/>
  <c r="AE115" i="4" s="1"/>
  <c r="M42" i="4"/>
  <c r="AA42" i="4" s="1"/>
  <c r="AB42" i="4"/>
  <c r="AD50" i="4"/>
  <c r="AE50" i="4" s="1"/>
  <c r="J49" i="4"/>
  <c r="X49" i="4" s="1"/>
  <c r="Y49" i="4" s="1"/>
  <c r="J41" i="4"/>
  <c r="AD41" i="4" s="1"/>
  <c r="AE41" i="4" s="1"/>
  <c r="M144" i="4"/>
  <c r="AA144" i="4" s="1"/>
  <c r="M70" i="4"/>
  <c r="AA70" i="4" s="1"/>
  <c r="AB70" i="4"/>
  <c r="U203" i="4"/>
  <c r="V203" i="4" s="1"/>
  <c r="W203" i="4" s="1"/>
  <c r="M28" i="4"/>
  <c r="AA28" i="4" s="1"/>
  <c r="M151" i="4"/>
  <c r="AA151" i="4" s="1"/>
  <c r="AB151" i="4"/>
  <c r="R99" i="4"/>
  <c r="S99" i="4" s="1"/>
  <c r="T99" i="4" s="1"/>
  <c r="U95" i="4"/>
  <c r="V95" i="4" s="1"/>
  <c r="W95" i="4" s="1"/>
  <c r="U202" i="4"/>
  <c r="V202" i="4" s="1"/>
  <c r="W202" i="4" s="1"/>
  <c r="AF176" i="4"/>
  <c r="U99" i="4"/>
  <c r="V99" i="4" s="1"/>
  <c r="W99" i="4" s="1"/>
  <c r="AD90" i="4"/>
  <c r="AE90" i="4" s="1"/>
  <c r="U200" i="4"/>
  <c r="V200" i="4" s="1"/>
  <c r="W200" i="4" s="1"/>
  <c r="AB187" i="4"/>
  <c r="M187" i="4"/>
  <c r="AA187" i="4" s="1"/>
  <c r="K90" i="4"/>
  <c r="N90" i="4"/>
  <c r="O90" i="4" s="1"/>
  <c r="Q90" i="4" s="1"/>
  <c r="L90" i="4"/>
  <c r="R90" i="4"/>
  <c r="S90" i="4" s="1"/>
  <c r="T90" i="4" s="1"/>
  <c r="X90" i="4"/>
  <c r="Y90" i="4" s="1"/>
  <c r="K36" i="4"/>
  <c r="N36" i="4"/>
  <c r="O36" i="4" s="1"/>
  <c r="Q36" i="4" s="1"/>
  <c r="M19" i="4"/>
  <c r="AA19" i="4" s="1"/>
  <c r="AB19" i="4"/>
  <c r="AF69" i="4"/>
  <c r="AG69" i="4" s="1"/>
  <c r="AS69" i="4" s="1"/>
  <c r="L202" i="4"/>
  <c r="Z202" i="4" s="1"/>
  <c r="R202" i="4"/>
  <c r="S202" i="4" s="1"/>
  <c r="T202" i="4" s="1"/>
  <c r="K54" i="4"/>
  <c r="N54" i="4"/>
  <c r="O54" i="4" s="1"/>
  <c r="Q54" i="4" s="1"/>
  <c r="L54" i="4"/>
  <c r="R54" i="4"/>
  <c r="S54" i="4" s="1"/>
  <c r="T54" i="4" s="1"/>
  <c r="AB119" i="4"/>
  <c r="M119" i="4"/>
  <c r="AA119" i="4" s="1"/>
  <c r="Z131" i="4"/>
  <c r="Z155" i="4"/>
  <c r="AB155" i="4"/>
  <c r="M155" i="4"/>
  <c r="AA155" i="4" s="1"/>
  <c r="X54" i="4"/>
  <c r="Y54" i="4" s="1"/>
  <c r="K99" i="4"/>
  <c r="N99" i="4"/>
  <c r="O99" i="4" s="1"/>
  <c r="Q99" i="4" s="1"/>
  <c r="L99" i="4"/>
  <c r="M163" i="4"/>
  <c r="AA163" i="4" s="1"/>
  <c r="Z176" i="4"/>
  <c r="AB170" i="4"/>
  <c r="M170" i="4"/>
  <c r="AA170" i="4" s="1"/>
  <c r="K27" i="4"/>
  <c r="N27" i="4"/>
  <c r="O27" i="4" s="1"/>
  <c r="Q27" i="4" s="1"/>
  <c r="L27" i="4"/>
  <c r="AB72" i="4"/>
  <c r="N203" i="4"/>
  <c r="O203" i="4" s="1"/>
  <c r="Q203" i="4" s="1"/>
  <c r="R203" i="4"/>
  <c r="S203" i="4" s="1"/>
  <c r="T203" i="4" s="1"/>
  <c r="L203" i="4"/>
  <c r="K203" i="4"/>
  <c r="N190" i="4"/>
  <c r="O190" i="4" s="1"/>
  <c r="Q190" i="4" s="1"/>
  <c r="M176" i="4"/>
  <c r="AA176" i="4" s="1"/>
  <c r="AB176" i="4"/>
  <c r="X203" i="4"/>
  <c r="Y203" i="4" s="1"/>
  <c r="K200" i="4"/>
  <c r="N200" i="4"/>
  <c r="O200" i="4" s="1"/>
  <c r="Q200" i="4" s="1"/>
  <c r="R200" i="4"/>
  <c r="S200" i="4" s="1"/>
  <c r="T200" i="4" s="1"/>
  <c r="L200" i="4"/>
  <c r="K52" i="4"/>
  <c r="M116" i="4"/>
  <c r="AA116" i="4" s="1"/>
  <c r="AB116" i="4"/>
  <c r="M101" i="4"/>
  <c r="AA101" i="4" s="1"/>
  <c r="AB101" i="4"/>
  <c r="AB171" i="4"/>
  <c r="AF171" i="4"/>
  <c r="M171" i="4"/>
  <c r="AA171" i="4" s="1"/>
  <c r="Z171" i="4"/>
  <c r="M139" i="4"/>
  <c r="AA139" i="4" s="1"/>
  <c r="AB139" i="4"/>
  <c r="AB67" i="4"/>
  <c r="AF67" i="4"/>
  <c r="M67" i="4"/>
  <c r="AA67" i="4" s="1"/>
  <c r="Z67" i="4"/>
  <c r="AF198" i="4"/>
  <c r="AG198" i="4" s="1"/>
  <c r="AS198" i="4" s="1"/>
  <c r="AB198" i="4"/>
  <c r="M198" i="4"/>
  <c r="AA198" i="4" s="1"/>
  <c r="AB193" i="4"/>
  <c r="M193" i="4"/>
  <c r="AA193" i="4" s="1"/>
  <c r="Z209" i="4"/>
  <c r="Z95" i="4"/>
  <c r="M201" i="4"/>
  <c r="AA201" i="4" s="1"/>
  <c r="AB201" i="4"/>
  <c r="M25" i="4"/>
  <c r="AA25" i="4" s="1"/>
  <c r="AB25" i="4"/>
  <c r="AB118" i="4"/>
  <c r="AB196" i="4"/>
  <c r="M196" i="4"/>
  <c r="AA196" i="4" s="1"/>
  <c r="AB123" i="4"/>
  <c r="B245" i="2"/>
  <c r="D243" i="2" s="1"/>
  <c r="E243" i="2" s="1"/>
  <c r="A44" i="16"/>
  <c r="L44" i="16" s="1"/>
  <c r="L65" i="16" s="1"/>
  <c r="N65" i="16" s="1"/>
  <c r="AB184" i="4"/>
  <c r="M184" i="4"/>
  <c r="AA184" i="4" s="1"/>
  <c r="AB192" i="4"/>
  <c r="M192" i="4"/>
  <c r="AA192" i="4" s="1"/>
  <c r="Z192" i="4"/>
  <c r="M183" i="4"/>
  <c r="AA183" i="4" s="1"/>
  <c r="AB183" i="4"/>
  <c r="AF183" i="4"/>
  <c r="AG183" i="4" s="1"/>
  <c r="AS183" i="4" s="1"/>
  <c r="Z183" i="4"/>
  <c r="Z136" i="4"/>
  <c r="M48" i="4"/>
  <c r="AA48" i="4" s="1"/>
  <c r="M63" i="4"/>
  <c r="AA63" i="4" s="1"/>
  <c r="AB63" i="4"/>
  <c r="M169" i="4"/>
  <c r="AA169" i="4" s="1"/>
  <c r="AB169" i="4"/>
  <c r="AR683" i="3"/>
  <c r="B683" i="3"/>
  <c r="C683" i="3"/>
  <c r="D683" i="3"/>
  <c r="AQ683" i="3"/>
  <c r="AB204" i="4"/>
  <c r="AB134" i="4"/>
  <c r="M89" i="4"/>
  <c r="AA89" i="4" s="1"/>
  <c r="AB89" i="4"/>
  <c r="AB185" i="4"/>
  <c r="M55" i="4" l="1"/>
  <c r="AA55" i="4" s="1"/>
  <c r="AD132" i="4"/>
  <c r="AE132" i="4" s="1"/>
  <c r="F683" i="3"/>
  <c r="AG160" i="4"/>
  <c r="AS160" i="4" s="1"/>
  <c r="AG164" i="4"/>
  <c r="AS164" i="4" s="1"/>
  <c r="AF131" i="4"/>
  <c r="Z187" i="4"/>
  <c r="AF155" i="4"/>
  <c r="AG155" i="4" s="1"/>
  <c r="AS155" i="4" s="1"/>
  <c r="Z51" i="4"/>
  <c r="AF144" i="4"/>
  <c r="AD52" i="4"/>
  <c r="AE52" i="4" s="1"/>
  <c r="U161" i="4"/>
  <c r="V161" i="4" s="1"/>
  <c r="W161" i="4" s="1"/>
  <c r="AB197" i="4"/>
  <c r="N178" i="4"/>
  <c r="O178" i="4" s="1"/>
  <c r="Q178" i="4" s="1"/>
  <c r="R161" i="4"/>
  <c r="S161" i="4" s="1"/>
  <c r="T161" i="4" s="1"/>
  <c r="X20" i="4"/>
  <c r="Y20" i="4" s="1"/>
  <c r="B69" i="2"/>
  <c r="E37" i="1" s="1"/>
  <c r="X205" i="4"/>
  <c r="Y205" i="4" s="1"/>
  <c r="G156" i="2"/>
  <c r="U130" i="4"/>
  <c r="V130" i="4" s="1"/>
  <c r="W130" i="4" s="1"/>
  <c r="Z182" i="4"/>
  <c r="M110" i="4"/>
  <c r="AA110" i="4" s="1"/>
  <c r="AB48" i="4"/>
  <c r="F28" i="3"/>
  <c r="BM28" i="3" s="1"/>
  <c r="AB131" i="4"/>
  <c r="U112" i="4"/>
  <c r="V112" i="4" s="1"/>
  <c r="W112" i="4" s="1"/>
  <c r="B68" i="4"/>
  <c r="B69" i="4" s="1"/>
  <c r="X77" i="4"/>
  <c r="Y77" i="4" s="1"/>
  <c r="U178" i="4"/>
  <c r="V178" i="4" s="1"/>
  <c r="W178" i="4" s="1"/>
  <c r="L23" i="4"/>
  <c r="M23" i="4" s="1"/>
  <c r="AA23" i="4" s="1"/>
  <c r="B66" i="2"/>
  <c r="L205" i="4"/>
  <c r="R118" i="4"/>
  <c r="S118" i="4" s="1"/>
  <c r="T118" i="4" s="1"/>
  <c r="R78" i="4"/>
  <c r="S78" i="4" s="1"/>
  <c r="T78" i="4" s="1"/>
  <c r="X130" i="4"/>
  <c r="Y130" i="4" s="1"/>
  <c r="Z181" i="4"/>
  <c r="Z172" i="4"/>
  <c r="M136" i="4"/>
  <c r="AA136" i="4" s="1"/>
  <c r="AC136" i="4" s="1"/>
  <c r="AR136" i="4" s="1"/>
  <c r="AF116" i="4"/>
  <c r="AG116" i="4" s="1"/>
  <c r="AS116" i="4" s="1"/>
  <c r="L161" i="4"/>
  <c r="AB161" i="4" s="1"/>
  <c r="K148" i="4"/>
  <c r="X178" i="4"/>
  <c r="Y178" i="4" s="1"/>
  <c r="E62" i="1"/>
  <c r="Z144" i="4"/>
  <c r="L20" i="4"/>
  <c r="AB20" i="4" s="1"/>
  <c r="U77" i="4"/>
  <c r="V77" i="4" s="1"/>
  <c r="W77" i="4" s="1"/>
  <c r="N23" i="4"/>
  <c r="O23" i="4" s="1"/>
  <c r="Q23" i="4" s="1"/>
  <c r="K161" i="4"/>
  <c r="AB32" i="4"/>
  <c r="AB110" i="4"/>
  <c r="Z48" i="4"/>
  <c r="G13" i="3"/>
  <c r="H13" i="3" s="1"/>
  <c r="BN13" i="3" s="1"/>
  <c r="Z101" i="4"/>
  <c r="L52" i="4"/>
  <c r="AB52" i="4" s="1"/>
  <c r="AB181" i="4"/>
  <c r="M131" i="4"/>
  <c r="AA131" i="4" s="1"/>
  <c r="K20" i="4"/>
  <c r="AD20" i="4"/>
  <c r="AE20" i="4" s="1"/>
  <c r="AD77" i="4"/>
  <c r="AE77" i="4" s="1"/>
  <c r="L112" i="4"/>
  <c r="AB112" i="4" s="1"/>
  <c r="Z97" i="4"/>
  <c r="Z50" i="4"/>
  <c r="U23" i="4"/>
  <c r="V23" i="4" s="1"/>
  <c r="W23" i="4" s="1"/>
  <c r="N52" i="4"/>
  <c r="O52" i="4" s="1"/>
  <c r="Q52" i="4" s="1"/>
  <c r="B160" i="2"/>
  <c r="AD118" i="4"/>
  <c r="AE118" i="4" s="1"/>
  <c r="AD149" i="4"/>
  <c r="AE149" i="4" s="1"/>
  <c r="K78" i="4"/>
  <c r="AD78" i="4"/>
  <c r="AE78" i="4" s="1"/>
  <c r="L78" i="4"/>
  <c r="M78" i="4" s="1"/>
  <c r="AA78" i="4" s="1"/>
  <c r="U158" i="4"/>
  <c r="V158" i="4" s="1"/>
  <c r="W158" i="4" s="1"/>
  <c r="K130" i="4"/>
  <c r="Z130" i="4" s="1"/>
  <c r="K162" i="4"/>
  <c r="AF162" i="4" s="1"/>
  <c r="R205" i="4"/>
  <c r="S205" i="4" s="1"/>
  <c r="T205" i="4" s="1"/>
  <c r="K110" i="4"/>
  <c r="Z110" i="4" s="1"/>
  <c r="U52" i="4"/>
  <c r="V52" i="4" s="1"/>
  <c r="W52" i="4" s="1"/>
  <c r="AD167" i="4"/>
  <c r="AE167" i="4" s="1"/>
  <c r="AD34" i="4"/>
  <c r="AE34" i="4" s="1"/>
  <c r="Z19" i="4"/>
  <c r="Z193" i="4"/>
  <c r="AG171" i="4"/>
  <c r="AS171" i="4" s="1"/>
  <c r="AF170" i="4"/>
  <c r="AG170" i="4" s="1"/>
  <c r="AS170" i="4" s="1"/>
  <c r="U36" i="4"/>
  <c r="V36" i="4" s="1"/>
  <c r="W36" i="4" s="1"/>
  <c r="X36" i="4"/>
  <c r="Y36" i="4" s="1"/>
  <c r="AD178" i="4"/>
  <c r="AE178" i="4" s="1"/>
  <c r="B3" i="6"/>
  <c r="L149" i="4"/>
  <c r="AB149" i="4" s="1"/>
  <c r="X149" i="4"/>
  <c r="Y149" i="4" s="1"/>
  <c r="N149" i="4"/>
  <c r="O149" i="4" s="1"/>
  <c r="Q149" i="4" s="1"/>
  <c r="R130" i="4"/>
  <c r="S130" i="4" s="1"/>
  <c r="T130" i="4" s="1"/>
  <c r="AF136" i="4"/>
  <c r="AG136" i="4" s="1"/>
  <c r="AS136" i="4" s="1"/>
  <c r="R52" i="4"/>
  <c r="S52" i="4" s="1"/>
  <c r="T52" i="4" s="1"/>
  <c r="Z69" i="4"/>
  <c r="L36" i="4"/>
  <c r="M36" i="4" s="1"/>
  <c r="AA36" i="4" s="1"/>
  <c r="R36" i="4"/>
  <c r="S36" i="4" s="1"/>
  <c r="T36" i="4" s="1"/>
  <c r="AF81" i="4"/>
  <c r="AG81" i="4" s="1"/>
  <c r="AS81" i="4" s="1"/>
  <c r="AD205" i="4"/>
  <c r="AE205" i="4" s="1"/>
  <c r="E19" i="1"/>
  <c r="N205" i="4"/>
  <c r="O205" i="4" s="1"/>
  <c r="Q205" i="4" s="1"/>
  <c r="B16" i="6"/>
  <c r="X161" i="4"/>
  <c r="Y161" i="4" s="1"/>
  <c r="X120" i="4"/>
  <c r="Y120" i="4" s="1"/>
  <c r="AF159" i="4"/>
  <c r="AG159" i="4" s="1"/>
  <c r="AS159" i="4" s="1"/>
  <c r="L31" i="4"/>
  <c r="AF31" i="4" s="1"/>
  <c r="R31" i="4"/>
  <c r="S31" i="4" s="1"/>
  <c r="T31" i="4" s="1"/>
  <c r="L167" i="4"/>
  <c r="AB175" i="4"/>
  <c r="AB81" i="4"/>
  <c r="L120" i="4"/>
  <c r="Z120" i="4" s="1"/>
  <c r="R120" i="4"/>
  <c r="S120" i="4" s="1"/>
  <c r="T120" i="4" s="1"/>
  <c r="AG201" i="4"/>
  <c r="AS201" i="4" s="1"/>
  <c r="U191" i="4"/>
  <c r="V191" i="4" s="1"/>
  <c r="W191" i="4" s="1"/>
  <c r="U153" i="4"/>
  <c r="V153" i="4" s="1"/>
  <c r="W153" i="4" s="1"/>
  <c r="X110" i="4"/>
  <c r="Y110" i="4" s="1"/>
  <c r="L148" i="4"/>
  <c r="AD148" i="4"/>
  <c r="AE148" i="4" s="1"/>
  <c r="L100" i="4"/>
  <c r="M100" i="4" s="1"/>
  <c r="AA100" i="4" s="1"/>
  <c r="AG32" i="4"/>
  <c r="AS32" i="4" s="1"/>
  <c r="X167" i="4"/>
  <c r="Y167" i="4" s="1"/>
  <c r="Z154" i="4"/>
  <c r="K120" i="4"/>
  <c r="K191" i="4"/>
  <c r="AF26" i="4"/>
  <c r="AF154" i="4"/>
  <c r="AG154" i="4" s="1"/>
  <c r="AS154" i="4" s="1"/>
  <c r="M154" i="4"/>
  <c r="AA154" i="4" s="1"/>
  <c r="AG72" i="4"/>
  <c r="AS72" i="4" s="1"/>
  <c r="AF181" i="4"/>
  <c r="AG181" i="4" s="1"/>
  <c r="AS181" i="4" s="1"/>
  <c r="AF28" i="4"/>
  <c r="AG28" i="4" s="1"/>
  <c r="AS28" i="4" s="1"/>
  <c r="X148" i="4"/>
  <c r="Y148" i="4" s="1"/>
  <c r="R148" i="4"/>
  <c r="S148" i="4" s="1"/>
  <c r="T148" i="4" s="1"/>
  <c r="N148" i="4"/>
  <c r="O148" i="4" s="1"/>
  <c r="Q148" i="4" s="1"/>
  <c r="R100" i="4"/>
  <c r="S100" i="4" s="1"/>
  <c r="T100" i="4" s="1"/>
  <c r="AD191" i="4"/>
  <c r="AE191" i="4" s="1"/>
  <c r="AF104" i="4"/>
  <c r="AG104" i="4" s="1"/>
  <c r="AS104" i="4" s="1"/>
  <c r="AD120" i="4"/>
  <c r="AE120" i="4" s="1"/>
  <c r="X100" i="4"/>
  <c r="Y100" i="4" s="1"/>
  <c r="L191" i="4"/>
  <c r="X191" i="4"/>
  <c r="Y191" i="4" s="1"/>
  <c r="R167" i="4"/>
  <c r="S167" i="4" s="1"/>
  <c r="T167" i="4" s="1"/>
  <c r="AG48" i="4"/>
  <c r="AS48" i="4" s="1"/>
  <c r="AG176" i="4"/>
  <c r="AS176" i="4" s="1"/>
  <c r="N120" i="4"/>
  <c r="O120" i="4" s="1"/>
  <c r="Q120" i="4" s="1"/>
  <c r="R191" i="4"/>
  <c r="S191" i="4" s="1"/>
  <c r="T191" i="4" s="1"/>
  <c r="AD153" i="4"/>
  <c r="AE153" i="4" s="1"/>
  <c r="K167" i="4"/>
  <c r="AD103" i="4"/>
  <c r="AE103" i="4" s="1"/>
  <c r="AB150" i="4"/>
  <c r="M150" i="4"/>
  <c r="AA150" i="4" s="1"/>
  <c r="U165" i="4"/>
  <c r="V165" i="4" s="1"/>
  <c r="W165" i="4" s="1"/>
  <c r="AF204" i="4"/>
  <c r="AG204" i="4" s="1"/>
  <c r="AS204" i="4" s="1"/>
  <c r="N65" i="4"/>
  <c r="O65" i="4" s="1"/>
  <c r="Q65" i="4" s="1"/>
  <c r="R125" i="4"/>
  <c r="S125" i="4" s="1"/>
  <c r="T125" i="4" s="1"/>
  <c r="K125" i="4"/>
  <c r="AF207" i="4"/>
  <c r="AG207" i="4" s="1"/>
  <c r="AS207" i="4" s="1"/>
  <c r="Z119" i="4"/>
  <c r="Z163" i="4"/>
  <c r="AC163" i="4" s="1"/>
  <c r="AR163" i="4" s="1"/>
  <c r="AD105" i="4"/>
  <c r="AE105" i="4" s="1"/>
  <c r="N86" i="4"/>
  <c r="O86" i="4" s="1"/>
  <c r="Q86" i="4" s="1"/>
  <c r="X165" i="4"/>
  <c r="Y165" i="4" s="1"/>
  <c r="U65" i="4"/>
  <c r="V65" i="4" s="1"/>
  <c r="W65" i="4" s="1"/>
  <c r="N125" i="4"/>
  <c r="O125" i="4" s="1"/>
  <c r="Q125" i="4" s="1"/>
  <c r="L73" i="4"/>
  <c r="K73" i="4"/>
  <c r="L165" i="4"/>
  <c r="L65" i="4"/>
  <c r="Z65" i="4" s="1"/>
  <c r="R65" i="4"/>
  <c r="S65" i="4" s="1"/>
  <c r="T65" i="4" s="1"/>
  <c r="L125" i="4"/>
  <c r="X65" i="4"/>
  <c r="Y65" i="4" s="1"/>
  <c r="U125" i="4"/>
  <c r="V125" i="4" s="1"/>
  <c r="W125" i="4" s="1"/>
  <c r="Z26" i="4"/>
  <c r="AD165" i="4"/>
  <c r="AE165" i="4" s="1"/>
  <c r="L103" i="4"/>
  <c r="AD65" i="4"/>
  <c r="AE65" i="4" s="1"/>
  <c r="AF152" i="4"/>
  <c r="AG152" i="4" s="1"/>
  <c r="AS152" i="4" s="1"/>
  <c r="M123" i="4"/>
  <c r="AA123" i="4" s="1"/>
  <c r="AC123" i="4" s="1"/>
  <c r="U73" i="4"/>
  <c r="V73" i="4" s="1"/>
  <c r="W73" i="4" s="1"/>
  <c r="AD73" i="4"/>
  <c r="AE73" i="4" s="1"/>
  <c r="Z121" i="4"/>
  <c r="AF192" i="4"/>
  <c r="AG192" i="4" s="1"/>
  <c r="AS192" i="4" s="1"/>
  <c r="R103" i="4"/>
  <c r="S103" i="4" s="1"/>
  <c r="T103" i="4" s="1"/>
  <c r="Z138" i="4"/>
  <c r="N165" i="4"/>
  <c r="O165" i="4" s="1"/>
  <c r="Q165" i="4" s="1"/>
  <c r="AF123" i="4"/>
  <c r="AG123" i="4" s="1"/>
  <c r="AS123" i="4" s="1"/>
  <c r="M26" i="4"/>
  <c r="AA26" i="4" s="1"/>
  <c r="AG44" i="4"/>
  <c r="AS44" i="4" s="1"/>
  <c r="R165" i="4"/>
  <c r="S165" i="4" s="1"/>
  <c r="T165" i="4" s="1"/>
  <c r="X125" i="4"/>
  <c r="Y125" i="4" s="1"/>
  <c r="AD125" i="4"/>
  <c r="AE125" i="4" s="1"/>
  <c r="N199" i="4"/>
  <c r="O199" i="4" s="1"/>
  <c r="Q199" i="4" s="1"/>
  <c r="R199" i="4"/>
  <c r="S199" i="4" s="1"/>
  <c r="T199" i="4" s="1"/>
  <c r="K199" i="4"/>
  <c r="L199" i="4"/>
  <c r="J58" i="4"/>
  <c r="X58" i="4" s="1"/>
  <c r="Y58" i="4" s="1"/>
  <c r="Z204" i="4"/>
  <c r="F16" i="3"/>
  <c r="BM16" i="3" s="1"/>
  <c r="AD100" i="4"/>
  <c r="AE100" i="4" s="1"/>
  <c r="J140" i="4"/>
  <c r="AD140" i="4" s="1"/>
  <c r="AE140" i="4" s="1"/>
  <c r="J107" i="4"/>
  <c r="U199" i="4"/>
  <c r="V199" i="4" s="1"/>
  <c r="W199" i="4" s="1"/>
  <c r="K186" i="4"/>
  <c r="R186" i="4"/>
  <c r="S186" i="4" s="1"/>
  <c r="T186" i="4" s="1"/>
  <c r="N186" i="4"/>
  <c r="O186" i="4" s="1"/>
  <c r="Q186" i="4" s="1"/>
  <c r="G23" i="3"/>
  <c r="H23" i="3" s="1"/>
  <c r="BN23" i="3" s="1"/>
  <c r="G17" i="3"/>
  <c r="H17" i="3" s="1"/>
  <c r="BN17" i="3" s="1"/>
  <c r="F34" i="3"/>
  <c r="BM34" i="3" s="1"/>
  <c r="G34" i="3"/>
  <c r="H34" i="3" s="1"/>
  <c r="BN34" i="3" s="1"/>
  <c r="F12" i="3"/>
  <c r="BM12" i="3" s="1"/>
  <c r="AB172" i="4"/>
  <c r="Z104" i="4"/>
  <c r="F26" i="3"/>
  <c r="BM26" i="3" s="1"/>
  <c r="F20" i="3"/>
  <c r="BM20" i="3" s="1"/>
  <c r="F18" i="3"/>
  <c r="BM18" i="3" s="1"/>
  <c r="F15" i="3"/>
  <c r="BM15" i="3" s="1"/>
  <c r="F30" i="3"/>
  <c r="BM30" i="3" s="1"/>
  <c r="AF138" i="4"/>
  <c r="AG138" i="4" s="1"/>
  <c r="AS138" i="4" s="1"/>
  <c r="M172" i="4"/>
  <c r="AA172" i="4" s="1"/>
  <c r="AG193" i="4"/>
  <c r="AS193" i="4" s="1"/>
  <c r="R133" i="4"/>
  <c r="S133" i="4" s="1"/>
  <c r="T133" i="4" s="1"/>
  <c r="X186" i="4"/>
  <c r="Y186" i="4" s="1"/>
  <c r="R147" i="4"/>
  <c r="S147" i="4" s="1"/>
  <c r="T147" i="4" s="1"/>
  <c r="K147" i="4"/>
  <c r="AD147" i="4"/>
  <c r="AE147" i="4" s="1"/>
  <c r="N147" i="4"/>
  <c r="O147" i="4" s="1"/>
  <c r="Q147" i="4" s="1"/>
  <c r="L147" i="4"/>
  <c r="AD158" i="4"/>
  <c r="AE158" i="4" s="1"/>
  <c r="U186" i="4"/>
  <c r="V186" i="4" s="1"/>
  <c r="W186" i="4" s="1"/>
  <c r="AD110" i="4"/>
  <c r="AE110" i="4" s="1"/>
  <c r="K103" i="4"/>
  <c r="J64" i="4"/>
  <c r="AD64" i="4" s="1"/>
  <c r="AE64" i="4" s="1"/>
  <c r="U147" i="4"/>
  <c r="V147" i="4" s="1"/>
  <c r="W147" i="4" s="1"/>
  <c r="R129" i="4"/>
  <c r="S129" i="4" s="1"/>
  <c r="T129" i="4" s="1"/>
  <c r="U129" i="4"/>
  <c r="V129" i="4" s="1"/>
  <c r="W129" i="4" s="1"/>
  <c r="L129" i="4"/>
  <c r="AD129" i="4"/>
  <c r="AE129" i="4" s="1"/>
  <c r="N129" i="4"/>
  <c r="O129" i="4" s="1"/>
  <c r="Q129" i="4" s="1"/>
  <c r="K129" i="4"/>
  <c r="X158" i="4"/>
  <c r="Y158" i="4" s="1"/>
  <c r="F24" i="3"/>
  <c r="BM24" i="3" s="1"/>
  <c r="G33" i="3"/>
  <c r="H33" i="3" s="1"/>
  <c r="BN33" i="3" s="1"/>
  <c r="AD190" i="4"/>
  <c r="AE190" i="4" s="1"/>
  <c r="L133" i="4"/>
  <c r="AB104" i="4"/>
  <c r="F27" i="3"/>
  <c r="BM27" i="3" s="1"/>
  <c r="G30" i="3"/>
  <c r="H30" i="3" s="1"/>
  <c r="BN30" i="3" s="1"/>
  <c r="F21" i="3"/>
  <c r="BM21" i="3" s="1"/>
  <c r="F9" i="3"/>
  <c r="BM9" i="3" s="1"/>
  <c r="F37" i="3"/>
  <c r="AB138" i="4"/>
  <c r="L86" i="4"/>
  <c r="AG131" i="4"/>
  <c r="AS131" i="4" s="1"/>
  <c r="X86" i="4"/>
  <c r="Y86" i="4" s="1"/>
  <c r="L105" i="4"/>
  <c r="AD197" i="4"/>
  <c r="AE197" i="4" s="1"/>
  <c r="U132" i="4"/>
  <c r="V132" i="4" s="1"/>
  <c r="W132" i="4" s="1"/>
  <c r="AD186" i="4"/>
  <c r="AE186" i="4" s="1"/>
  <c r="K150" i="4"/>
  <c r="N150" i="4"/>
  <c r="O150" i="4" s="1"/>
  <c r="Q150" i="4" s="1"/>
  <c r="R150" i="4"/>
  <c r="S150" i="4" s="1"/>
  <c r="T150" i="4" s="1"/>
  <c r="X150" i="4"/>
  <c r="Y150" i="4" s="1"/>
  <c r="AD150" i="4"/>
  <c r="AE150" i="4" s="1"/>
  <c r="AD89" i="4"/>
  <c r="AE89" i="4" s="1"/>
  <c r="AG89" i="4" s="1"/>
  <c r="AS89" i="4" s="1"/>
  <c r="G35" i="3"/>
  <c r="H35" i="3" s="1"/>
  <c r="BN35" i="3" s="1"/>
  <c r="M138" i="4"/>
  <c r="AA138" i="4" s="1"/>
  <c r="G683" i="3"/>
  <c r="H683" i="3" s="1"/>
  <c r="M95" i="4"/>
  <c r="AA95" i="4" s="1"/>
  <c r="G37" i="3"/>
  <c r="H37" i="3" s="1"/>
  <c r="F11" i="3"/>
  <c r="BM11" i="3" s="1"/>
  <c r="G36" i="3"/>
  <c r="H36" i="3" s="1"/>
  <c r="BN36" i="3" s="1"/>
  <c r="G28" i="3"/>
  <c r="H28" i="3" s="1"/>
  <c r="BN28" i="3" s="1"/>
  <c r="X190" i="4"/>
  <c r="Y190" i="4" s="1"/>
  <c r="K190" i="4"/>
  <c r="R86" i="4"/>
  <c r="S86" i="4" s="1"/>
  <c r="T86" i="4" s="1"/>
  <c r="AD133" i="4"/>
  <c r="AE133" i="4" s="1"/>
  <c r="K133" i="4"/>
  <c r="R105" i="4"/>
  <c r="S105" i="4" s="1"/>
  <c r="T105" i="4" s="1"/>
  <c r="L178" i="4"/>
  <c r="AB178" i="4" s="1"/>
  <c r="R178" i="4"/>
  <c r="S178" i="4" s="1"/>
  <c r="T178" i="4" s="1"/>
  <c r="U100" i="4"/>
  <c r="V100" i="4" s="1"/>
  <c r="W100" i="4" s="1"/>
  <c r="X133" i="4"/>
  <c r="Y133" i="4" s="1"/>
  <c r="K105" i="4"/>
  <c r="U103" i="4"/>
  <c r="V103" i="4" s="1"/>
  <c r="W103" i="4" s="1"/>
  <c r="N158" i="4"/>
  <c r="O158" i="4" s="1"/>
  <c r="Q158" i="4" s="1"/>
  <c r="K153" i="4"/>
  <c r="N153" i="4"/>
  <c r="O153" i="4" s="1"/>
  <c r="Q153" i="4" s="1"/>
  <c r="L153" i="4"/>
  <c r="R153" i="4"/>
  <c r="S153" i="4" s="1"/>
  <c r="T153" i="4" s="1"/>
  <c r="U150" i="4"/>
  <c r="V150" i="4" s="1"/>
  <c r="W150" i="4" s="1"/>
  <c r="N110" i="4"/>
  <c r="O110" i="4" s="1"/>
  <c r="Q110" i="4" s="1"/>
  <c r="R110" i="4"/>
  <c r="S110" i="4" s="1"/>
  <c r="T110" i="4" s="1"/>
  <c r="J88" i="4"/>
  <c r="U88" i="4" s="1"/>
  <c r="V88" i="4" s="1"/>
  <c r="W88" i="4" s="1"/>
  <c r="K158" i="4"/>
  <c r="J85" i="4"/>
  <c r="AD199" i="4"/>
  <c r="AE199" i="4" s="1"/>
  <c r="J33" i="4"/>
  <c r="X33" i="4" s="1"/>
  <c r="Y33" i="4" s="1"/>
  <c r="F33" i="3"/>
  <c r="BM33" i="3" s="1"/>
  <c r="G29" i="3"/>
  <c r="H29" i="3" s="1"/>
  <c r="BN29" i="3" s="1"/>
  <c r="F14" i="3"/>
  <c r="BM14" i="3" s="1"/>
  <c r="AF95" i="4"/>
  <c r="AG95" i="4" s="1"/>
  <c r="AS95" i="4" s="1"/>
  <c r="F29" i="3"/>
  <c r="BM29" i="3" s="1"/>
  <c r="G21" i="3"/>
  <c r="H21" i="3" s="1"/>
  <c r="G15" i="3"/>
  <c r="H15" i="3" s="1"/>
  <c r="BN15" i="3" s="1"/>
  <c r="G27" i="3"/>
  <c r="H27" i="3" s="1"/>
  <c r="BN27" i="3" s="1"/>
  <c r="R190" i="4"/>
  <c r="S190" i="4" s="1"/>
  <c r="T190" i="4" s="1"/>
  <c r="K86" i="4"/>
  <c r="U86" i="4"/>
  <c r="V86" i="4" s="1"/>
  <c r="W86" i="4" s="1"/>
  <c r="N100" i="4"/>
  <c r="O100" i="4" s="1"/>
  <c r="Q100" i="4" s="1"/>
  <c r="G10" i="3"/>
  <c r="H10" i="3" s="1"/>
  <c r="BN10" i="3" s="1"/>
  <c r="G14" i="3"/>
  <c r="H14" i="3" s="1"/>
  <c r="BN14" i="3" s="1"/>
  <c r="G20" i="3"/>
  <c r="H20" i="3" s="1"/>
  <c r="BN20" i="3" s="1"/>
  <c r="F25" i="3"/>
  <c r="BM25" i="3" s="1"/>
  <c r="L190" i="4"/>
  <c r="U197" i="4"/>
  <c r="V197" i="4" s="1"/>
  <c r="W197" i="4" s="1"/>
  <c r="X197" i="4"/>
  <c r="Y197" i="4" s="1"/>
  <c r="X105" i="4"/>
  <c r="Y105" i="4" s="1"/>
  <c r="U105" i="4"/>
  <c r="V105" i="4" s="1"/>
  <c r="W105" i="4" s="1"/>
  <c r="N167" i="4"/>
  <c r="O167" i="4" s="1"/>
  <c r="Q167" i="4" s="1"/>
  <c r="U110" i="4"/>
  <c r="V110" i="4" s="1"/>
  <c r="W110" i="4" s="1"/>
  <c r="X103" i="4"/>
  <c r="Y103" i="4" s="1"/>
  <c r="L186" i="4"/>
  <c r="X199" i="4"/>
  <c r="Y199" i="4" s="1"/>
  <c r="K180" i="4"/>
  <c r="Z180" i="4" s="1"/>
  <c r="X180" i="4"/>
  <c r="Y180" i="4" s="1"/>
  <c r="AD180" i="4"/>
  <c r="AE180" i="4" s="1"/>
  <c r="R166" i="4"/>
  <c r="S166" i="4" s="1"/>
  <c r="T166" i="4" s="1"/>
  <c r="N166" i="4"/>
  <c r="O166" i="4" s="1"/>
  <c r="Q166" i="4" s="1"/>
  <c r="X166" i="4"/>
  <c r="Y166" i="4" s="1"/>
  <c r="L166" i="4"/>
  <c r="U166" i="4"/>
  <c r="V166" i="4" s="1"/>
  <c r="W166" i="4" s="1"/>
  <c r="L158" i="4"/>
  <c r="AB146" i="4"/>
  <c r="AF121" i="4"/>
  <c r="AG121" i="4" s="1"/>
  <c r="AS121" i="4" s="1"/>
  <c r="AG101" i="4"/>
  <c r="AS101" i="4" s="1"/>
  <c r="AB44" i="4"/>
  <c r="B70" i="2"/>
  <c r="E32" i="1" s="1"/>
  <c r="B15" i="6"/>
  <c r="M159" i="4"/>
  <c r="AA159" i="4" s="1"/>
  <c r="AB159" i="4"/>
  <c r="AF91" i="4"/>
  <c r="AG91" i="4" s="1"/>
  <c r="AS91" i="4" s="1"/>
  <c r="AB51" i="4"/>
  <c r="M51" i="4"/>
  <c r="AA51" i="4" s="1"/>
  <c r="AF51" i="4"/>
  <c r="AG51" i="4" s="1"/>
  <c r="AS51" i="4" s="1"/>
  <c r="AB189" i="4"/>
  <c r="B84" i="2"/>
  <c r="E45" i="1" s="1"/>
  <c r="B50" i="2"/>
  <c r="Z28" i="4"/>
  <c r="E20" i="1"/>
  <c r="B74" i="2"/>
  <c r="E36" i="1" s="1"/>
  <c r="AF37" i="4"/>
  <c r="AG37" i="4" s="1"/>
  <c r="AS37" i="4" s="1"/>
  <c r="M149" i="4"/>
  <c r="AA149" i="4" s="1"/>
  <c r="M206" i="4"/>
  <c r="AA206" i="4" s="1"/>
  <c r="B72" i="2"/>
  <c r="E34" i="1" s="1"/>
  <c r="AB38" i="4"/>
  <c r="AF38" i="4"/>
  <c r="AG38" i="4" s="1"/>
  <c r="AS38" i="4" s="1"/>
  <c r="M91" i="4"/>
  <c r="AA91" i="4" s="1"/>
  <c r="AB91" i="4"/>
  <c r="AB126" i="4"/>
  <c r="M126" i="4"/>
  <c r="AA126" i="4" s="1"/>
  <c r="Z161" i="4"/>
  <c r="AB68" i="4"/>
  <c r="AF68" i="4"/>
  <c r="AG68" i="4" s="1"/>
  <c r="AS68" i="4" s="1"/>
  <c r="Z44" i="4"/>
  <c r="M44" i="4"/>
  <c r="AA44" i="4" s="1"/>
  <c r="AF196" i="4"/>
  <c r="M121" i="4"/>
  <c r="AA121" i="4" s="1"/>
  <c r="AC121" i="4" s="1"/>
  <c r="M161" i="4"/>
  <c r="AA161" i="4" s="1"/>
  <c r="AB50" i="4"/>
  <c r="AB100" i="4"/>
  <c r="Z179" i="4"/>
  <c r="AF188" i="4"/>
  <c r="AG188" i="4" s="1"/>
  <c r="AS188" i="4" s="1"/>
  <c r="Z188" i="4"/>
  <c r="Z56" i="4"/>
  <c r="AF56" i="4"/>
  <c r="AG56" i="4" s="1"/>
  <c r="AS56" i="4" s="1"/>
  <c r="M56" i="4"/>
  <c r="AA56" i="4" s="1"/>
  <c r="M209" i="4"/>
  <c r="AA209" i="4" s="1"/>
  <c r="AB209" i="4"/>
  <c r="M72" i="4"/>
  <c r="AA72" i="4" s="1"/>
  <c r="Z72" i="4"/>
  <c r="Z35" i="4"/>
  <c r="M35" i="4"/>
  <c r="AA35" i="4" s="1"/>
  <c r="AB35" i="4"/>
  <c r="AC35" i="4" s="1"/>
  <c r="AB188" i="4"/>
  <c r="M145" i="4"/>
  <c r="AA145" i="4" s="1"/>
  <c r="Z91" i="4"/>
  <c r="AF35" i="4"/>
  <c r="AG35" i="4" s="1"/>
  <c r="AS35" i="4" s="1"/>
  <c r="Z98" i="4"/>
  <c r="AB96" i="4"/>
  <c r="M96" i="4"/>
  <c r="AA96" i="4" s="1"/>
  <c r="AF96" i="4"/>
  <c r="AG96" i="4" s="1"/>
  <c r="AS96" i="4" s="1"/>
  <c r="M179" i="4"/>
  <c r="AA179" i="4" s="1"/>
  <c r="AB179" i="4"/>
  <c r="AF126" i="4"/>
  <c r="AG126" i="4" s="1"/>
  <c r="AS126" i="4" s="1"/>
  <c r="M195" i="4"/>
  <c r="AA195" i="4" s="1"/>
  <c r="M34" i="4"/>
  <c r="AA34" i="4" s="1"/>
  <c r="AF34" i="4"/>
  <c r="Z34" i="4"/>
  <c r="A136" i="8"/>
  <c r="Z83" i="4"/>
  <c r="Z74" i="4"/>
  <c r="AR37" i="3"/>
  <c r="B37" i="3"/>
  <c r="AQ37" i="3"/>
  <c r="A38" i="3"/>
  <c r="F38" i="3" s="1"/>
  <c r="C37" i="3"/>
  <c r="D37" i="3"/>
  <c r="BN37" i="3" s="1"/>
  <c r="A129" i="8"/>
  <c r="A120" i="8"/>
  <c r="A113" i="8"/>
  <c r="A131" i="8"/>
  <c r="Z175" i="4"/>
  <c r="A116" i="8"/>
  <c r="A99" i="8"/>
  <c r="Z32" i="4"/>
  <c r="AC32" i="4" s="1"/>
  <c r="Z141" i="4"/>
  <c r="K195" i="4"/>
  <c r="Z195" i="4" s="1"/>
  <c r="A126" i="8"/>
  <c r="AG144" i="4"/>
  <c r="AS144" i="4" s="1"/>
  <c r="AF137" i="4"/>
  <c r="AG137" i="4" s="1"/>
  <c r="AS137" i="4" s="1"/>
  <c r="AF118" i="4"/>
  <c r="AG118" i="4" s="1"/>
  <c r="AS118" i="4" s="1"/>
  <c r="Z162" i="4"/>
  <c r="AG31" i="4"/>
  <c r="AS31" i="4" s="1"/>
  <c r="BM23" i="3"/>
  <c r="A97" i="8"/>
  <c r="A91" i="8"/>
  <c r="F36" i="3"/>
  <c r="BM36" i="3" s="1"/>
  <c r="F19" i="3"/>
  <c r="BM19" i="3" s="1"/>
  <c r="G682" i="3"/>
  <c r="H682" i="3" s="1"/>
  <c r="G19" i="3"/>
  <c r="H19" i="3" s="1"/>
  <c r="BN19" i="3" s="1"/>
  <c r="G24" i="3"/>
  <c r="H24" i="3" s="1"/>
  <c r="BN24" i="3" s="1"/>
  <c r="F10" i="3"/>
  <c r="BM10" i="3" s="1"/>
  <c r="G16" i="3"/>
  <c r="H16" i="3" s="1"/>
  <c r="BN16" i="3" s="1"/>
  <c r="F31" i="3"/>
  <c r="BM31" i="3" s="1"/>
  <c r="F13" i="3"/>
  <c r="BM13" i="3" s="1"/>
  <c r="G32" i="3"/>
  <c r="H32" i="3" s="1"/>
  <c r="G31" i="3"/>
  <c r="H31" i="3" s="1"/>
  <c r="BN31" i="3" s="1"/>
  <c r="F17" i="3"/>
  <c r="BM17" i="3" s="1"/>
  <c r="F22" i="3"/>
  <c r="BM22" i="3" s="1"/>
  <c r="G22" i="3"/>
  <c r="H22" i="3" s="1"/>
  <c r="BN22" i="3" s="1"/>
  <c r="G12" i="3"/>
  <c r="H12" i="3" s="1"/>
  <c r="BN12" i="3" s="1"/>
  <c r="F682" i="3"/>
  <c r="G11" i="3"/>
  <c r="H11" i="3" s="1"/>
  <c r="BN11" i="3" s="1"/>
  <c r="G26" i="3"/>
  <c r="H26" i="3" s="1"/>
  <c r="BN26" i="3" s="1"/>
  <c r="F32" i="3"/>
  <c r="BM32" i="3" s="1"/>
  <c r="G18" i="3"/>
  <c r="H18" i="3" s="1"/>
  <c r="BN18" i="3" s="1"/>
  <c r="F35" i="3"/>
  <c r="BM35" i="3" s="1"/>
  <c r="G25" i="3"/>
  <c r="H25" i="3" s="1"/>
  <c r="BN25" i="3" s="1"/>
  <c r="G9" i="3"/>
  <c r="H9" i="3" s="1"/>
  <c r="BN9" i="3" s="1"/>
  <c r="R9" i="8"/>
  <c r="S9" i="8" s="1"/>
  <c r="S30" i="8" s="1"/>
  <c r="C77" i="1" s="1"/>
  <c r="B77" i="1"/>
  <c r="Z55" i="4"/>
  <c r="AC55" i="4" s="1"/>
  <c r="AF55" i="4"/>
  <c r="AG55" i="4" s="1"/>
  <c r="AS55" i="4" s="1"/>
  <c r="AG172" i="4"/>
  <c r="AS172" i="4" s="1"/>
  <c r="R127" i="4"/>
  <c r="S127" i="4" s="1"/>
  <c r="T127" i="4" s="1"/>
  <c r="L127" i="4"/>
  <c r="N127" i="4"/>
  <c r="O127" i="4" s="1"/>
  <c r="Q127" i="4" s="1"/>
  <c r="K127" i="4"/>
  <c r="AF174" i="4"/>
  <c r="AG174" i="4" s="1"/>
  <c r="AS174" i="4" s="1"/>
  <c r="AG196" i="4"/>
  <c r="AS196" i="4" s="1"/>
  <c r="AD127" i="4"/>
  <c r="AE127" i="4" s="1"/>
  <c r="AB174" i="4"/>
  <c r="Z201" i="4"/>
  <c r="Z174" i="4"/>
  <c r="U127" i="4"/>
  <c r="V127" i="4" s="1"/>
  <c r="W127" i="4" s="1"/>
  <c r="AG26" i="4"/>
  <c r="AS26" i="4" s="1"/>
  <c r="AB164" i="4"/>
  <c r="X127" i="4"/>
  <c r="Y127" i="4" s="1"/>
  <c r="M208" i="4"/>
  <c r="AA208" i="4" s="1"/>
  <c r="AF130" i="4"/>
  <c r="AG130" i="4" s="1"/>
  <c r="Z208" i="4"/>
  <c r="AF179" i="4"/>
  <c r="AG179" i="4" s="1"/>
  <c r="AS179" i="4" s="1"/>
  <c r="R132" i="4"/>
  <c r="S132" i="4" s="1"/>
  <c r="T132" i="4" s="1"/>
  <c r="L132" i="4"/>
  <c r="K132" i="4"/>
  <c r="N132" i="4"/>
  <c r="O132" i="4" s="1"/>
  <c r="Q132" i="4" s="1"/>
  <c r="Z31" i="4"/>
  <c r="AF208" i="4"/>
  <c r="AG208" i="4" s="1"/>
  <c r="AS208" i="4" s="1"/>
  <c r="AF194" i="4"/>
  <c r="AG194" i="4" s="1"/>
  <c r="AF169" i="4"/>
  <c r="AG169" i="4" s="1"/>
  <c r="AS169" i="4" s="1"/>
  <c r="X61" i="4"/>
  <c r="Y61" i="4" s="1"/>
  <c r="M31" i="4"/>
  <c r="AA31" i="4" s="1"/>
  <c r="Z194" i="4"/>
  <c r="AF185" i="4"/>
  <c r="AG185" i="4" s="1"/>
  <c r="AS185" i="4" s="1"/>
  <c r="AB194" i="4"/>
  <c r="R14" i="8"/>
  <c r="E28" i="1"/>
  <c r="AB31" i="4"/>
  <c r="AF189" i="4"/>
  <c r="AG189" i="4" s="1"/>
  <c r="AS189" i="4" s="1"/>
  <c r="AF82" i="4"/>
  <c r="AG82" i="4" s="1"/>
  <c r="AS82" i="4" s="1"/>
  <c r="AF197" i="4"/>
  <c r="M57" i="4"/>
  <c r="AA57" i="4" s="1"/>
  <c r="AB105" i="4"/>
  <c r="AB57" i="4"/>
  <c r="AF57" i="4"/>
  <c r="AG57" i="4" s="1"/>
  <c r="AS57" i="4" s="1"/>
  <c r="AG139" i="4"/>
  <c r="AS139" i="4" s="1"/>
  <c r="AF163" i="4"/>
  <c r="AG163" i="4" s="1"/>
  <c r="AS163" i="4" s="1"/>
  <c r="N195" i="4"/>
  <c r="O195" i="4" s="1"/>
  <c r="Q195" i="4" s="1"/>
  <c r="X195" i="4"/>
  <c r="Y195" i="4" s="1"/>
  <c r="AD195" i="4"/>
  <c r="AE195" i="4" s="1"/>
  <c r="Z87" i="4"/>
  <c r="Z185" i="4"/>
  <c r="AC185" i="4" s="1"/>
  <c r="M162" i="4"/>
  <c r="AA162" i="4" s="1"/>
  <c r="AF156" i="4"/>
  <c r="AG156" i="4" s="1"/>
  <c r="AS156" i="4" s="1"/>
  <c r="AF50" i="4"/>
  <c r="AG50" i="4" s="1"/>
  <c r="AS50" i="4" s="1"/>
  <c r="AC130" i="4"/>
  <c r="AR130" i="4" s="1"/>
  <c r="AB162" i="4"/>
  <c r="M156" i="4"/>
  <c r="AA156" i="4" s="1"/>
  <c r="AB156" i="4"/>
  <c r="AG67" i="4"/>
  <c r="AS67" i="4" s="1"/>
  <c r="AB69" i="4"/>
  <c r="AC69" i="4" s="1"/>
  <c r="Z118" i="4"/>
  <c r="AC118" i="4" s="1"/>
  <c r="AB37" i="4"/>
  <c r="Z38" i="4"/>
  <c r="Z159" i="4"/>
  <c r="Z122" i="4"/>
  <c r="M37" i="4"/>
  <c r="AA37" i="4" s="1"/>
  <c r="M142" i="4"/>
  <c r="AA142" i="4" s="1"/>
  <c r="AF202" i="4"/>
  <c r="AG202" i="4" s="1"/>
  <c r="AS202" i="4" s="1"/>
  <c r="AB122" i="4"/>
  <c r="AB142" i="4"/>
  <c r="AF122" i="4"/>
  <c r="AG122" i="4" s="1"/>
  <c r="AS122" i="4" s="1"/>
  <c r="Z189" i="4"/>
  <c r="AF142" i="4"/>
  <c r="AG142" i="4" s="1"/>
  <c r="AS142" i="4" s="1"/>
  <c r="AF112" i="4"/>
  <c r="AG112" i="4" s="1"/>
  <c r="AS112" i="4" s="1"/>
  <c r="M143" i="4"/>
  <c r="AA143" i="4" s="1"/>
  <c r="AF178" i="4"/>
  <c r="AG178" i="4" s="1"/>
  <c r="AS178" i="4" s="1"/>
  <c r="AF133" i="4"/>
  <c r="AG133" i="4" s="1"/>
  <c r="AS133" i="4" s="1"/>
  <c r="AG79" i="4"/>
  <c r="AS79" i="4" s="1"/>
  <c r="Z178" i="4"/>
  <c r="AG42" i="4"/>
  <c r="AS42" i="4" s="1"/>
  <c r="AG63" i="4"/>
  <c r="AS63" i="4" s="1"/>
  <c r="M178" i="4"/>
  <c r="AA178" i="4" s="1"/>
  <c r="AF175" i="4"/>
  <c r="AG175" i="4" s="1"/>
  <c r="AS175" i="4" s="1"/>
  <c r="Z169" i="4"/>
  <c r="AC169" i="4" s="1"/>
  <c r="AR169" i="4" s="1"/>
  <c r="M133" i="4"/>
  <c r="AA133" i="4" s="1"/>
  <c r="R61" i="4"/>
  <c r="S61" i="4" s="1"/>
  <c r="T61" i="4" s="1"/>
  <c r="AF145" i="4"/>
  <c r="AG145" i="4" s="1"/>
  <c r="AS145" i="4" s="1"/>
  <c r="AF143" i="4"/>
  <c r="AG143" i="4" s="1"/>
  <c r="AS143" i="4" s="1"/>
  <c r="AF187" i="4"/>
  <c r="AG187" i="4" s="1"/>
  <c r="AS187" i="4" s="1"/>
  <c r="Z134" i="4"/>
  <c r="AC134" i="4" s="1"/>
  <c r="AF205" i="4"/>
  <c r="AG205" i="4" s="1"/>
  <c r="AS205" i="4" s="1"/>
  <c r="AG151" i="4"/>
  <c r="AS151" i="4" s="1"/>
  <c r="M79" i="4"/>
  <c r="AA79" i="4" s="1"/>
  <c r="M50" i="4"/>
  <c r="AA50" i="4" s="1"/>
  <c r="AF80" i="4"/>
  <c r="AG80" i="4" s="1"/>
  <c r="AS80" i="4" s="1"/>
  <c r="Z79" i="4"/>
  <c r="M82" i="4"/>
  <c r="AA82" i="4" s="1"/>
  <c r="Z76" i="4"/>
  <c r="Z80" i="4"/>
  <c r="Z139" i="4"/>
  <c r="AC139" i="4" s="1"/>
  <c r="Z82" i="4"/>
  <c r="AF76" i="4"/>
  <c r="AG76" i="4" s="1"/>
  <c r="AS76" i="4" s="1"/>
  <c r="AF146" i="4"/>
  <c r="AG146" i="4" s="1"/>
  <c r="AS146" i="4" s="1"/>
  <c r="AB133" i="4"/>
  <c r="AG119" i="4"/>
  <c r="AS119" i="4" s="1"/>
  <c r="AB66" i="4"/>
  <c r="AB82" i="4"/>
  <c r="AB76" i="4"/>
  <c r="Z112" i="4"/>
  <c r="Z42" i="4"/>
  <c r="AC42" i="4" s="1"/>
  <c r="Z66" i="4"/>
  <c r="AF20" i="4"/>
  <c r="AG20" i="4" s="1"/>
  <c r="AS20" i="4" s="1"/>
  <c r="Z114" i="4"/>
  <c r="Z30" i="4"/>
  <c r="AF66" i="4"/>
  <c r="AG66" i="4" s="1"/>
  <c r="AS66" i="4" s="1"/>
  <c r="AB141" i="4"/>
  <c r="Z37" i="4"/>
  <c r="M80" i="4"/>
  <c r="AA80" i="4" s="1"/>
  <c r="AB114" i="4"/>
  <c r="AF168" i="4"/>
  <c r="AG168" i="4" s="1"/>
  <c r="AS168" i="4" s="1"/>
  <c r="Z126" i="4"/>
  <c r="AB30" i="4"/>
  <c r="AF10" i="4"/>
  <c r="AG10" i="4" s="1"/>
  <c r="AS10" i="4" s="1"/>
  <c r="M141" i="4"/>
  <c r="AA141" i="4" s="1"/>
  <c r="AF114" i="4"/>
  <c r="AG114" i="4" s="1"/>
  <c r="AS114" i="4" s="1"/>
  <c r="Z168" i="4"/>
  <c r="AF30" i="4"/>
  <c r="AG30" i="4" s="1"/>
  <c r="AS30" i="4" s="1"/>
  <c r="AB79" i="4"/>
  <c r="Z63" i="4"/>
  <c r="AC63" i="4" s="1"/>
  <c r="AG162" i="4"/>
  <c r="AS162" i="4" s="1"/>
  <c r="M164" i="4"/>
  <c r="AA164" i="4" s="1"/>
  <c r="AB56" i="4"/>
  <c r="Z68" i="4"/>
  <c r="AC68" i="4" s="1"/>
  <c r="AR68" i="4" s="1"/>
  <c r="M135" i="4"/>
  <c r="AA135" i="4" s="1"/>
  <c r="Z152" i="4"/>
  <c r="Z96" i="4"/>
  <c r="N61" i="4"/>
  <c r="O61" i="4" s="1"/>
  <c r="Q61" i="4" s="1"/>
  <c r="U61" i="4"/>
  <c r="V61" i="4" s="1"/>
  <c r="W61" i="4" s="1"/>
  <c r="L61" i="4"/>
  <c r="AD61" i="4"/>
  <c r="AE61" i="4" s="1"/>
  <c r="M20" i="4"/>
  <c r="AA20" i="4" s="1"/>
  <c r="Z47" i="4"/>
  <c r="Z108" i="4"/>
  <c r="AB148" i="4"/>
  <c r="Z205" i="4"/>
  <c r="AF141" i="4"/>
  <c r="AG141" i="4" s="1"/>
  <c r="AS141" i="4" s="1"/>
  <c r="Z60" i="4"/>
  <c r="Z148" i="4"/>
  <c r="AB205" i="4"/>
  <c r="M205" i="4"/>
  <c r="AA205" i="4" s="1"/>
  <c r="Z20" i="4"/>
  <c r="Z89" i="4"/>
  <c r="AC89" i="4" s="1"/>
  <c r="AR89" i="4" s="1"/>
  <c r="Z146" i="4"/>
  <c r="AC146" i="4" s="1"/>
  <c r="Z151" i="4"/>
  <c r="AC151" i="4" s="1"/>
  <c r="AF134" i="4"/>
  <c r="AG134" i="4" s="1"/>
  <c r="AS134" i="4" s="1"/>
  <c r="Z145" i="4"/>
  <c r="Z143" i="4"/>
  <c r="AF25" i="4"/>
  <c r="AG25" i="4" s="1"/>
  <c r="AS25" i="4" s="1"/>
  <c r="AF78" i="4"/>
  <c r="AG78" i="4" s="1"/>
  <c r="AS78" i="4" s="1"/>
  <c r="M38" i="4"/>
  <c r="AA38" i="4" s="1"/>
  <c r="Z10" i="4"/>
  <c r="Z94" i="4"/>
  <c r="Z197" i="4"/>
  <c r="Z93" i="4"/>
  <c r="Z164" i="4"/>
  <c r="Z77" i="4"/>
  <c r="AB94" i="4"/>
  <c r="AF94" i="4"/>
  <c r="AG94" i="4" s="1"/>
  <c r="AS94" i="4" s="1"/>
  <c r="AC81" i="4"/>
  <c r="AR81" i="4" s="1"/>
  <c r="AF173" i="4"/>
  <c r="AG173" i="4" s="1"/>
  <c r="AS173" i="4" s="1"/>
  <c r="Z206" i="4"/>
  <c r="X109" i="4"/>
  <c r="Y109" i="4" s="1"/>
  <c r="AF157" i="4"/>
  <c r="AG157" i="4" s="1"/>
  <c r="AS157" i="4" s="1"/>
  <c r="AB157" i="4"/>
  <c r="Z157" i="4"/>
  <c r="AF149" i="4"/>
  <c r="AG149" i="4" s="1"/>
  <c r="AS149" i="4" s="1"/>
  <c r="AB177" i="4"/>
  <c r="M117" i="4"/>
  <c r="AA117" i="4" s="1"/>
  <c r="Z177" i="4"/>
  <c r="AF22" i="4"/>
  <c r="AG22" i="4" s="1"/>
  <c r="AS22" i="4" s="1"/>
  <c r="Z117" i="4"/>
  <c r="AF177" i="4"/>
  <c r="AG177" i="4" s="1"/>
  <c r="AS177" i="4" s="1"/>
  <c r="AB22" i="4"/>
  <c r="AF117" i="4"/>
  <c r="AG117" i="4" s="1"/>
  <c r="AS117" i="4" s="1"/>
  <c r="Z22" i="4"/>
  <c r="AF135" i="4"/>
  <c r="AG135" i="4" s="1"/>
  <c r="AS135" i="4" s="1"/>
  <c r="AF206" i="4"/>
  <c r="AG206" i="4" s="1"/>
  <c r="AS206" i="4" s="1"/>
  <c r="AB10" i="4"/>
  <c r="X9" i="4"/>
  <c r="Y9" i="4" s="1"/>
  <c r="M105" i="4"/>
  <c r="AA105" i="4" s="1"/>
  <c r="AD9" i="4"/>
  <c r="AE9" i="4" s="1"/>
  <c r="M43" i="4"/>
  <c r="AA43" i="4" s="1"/>
  <c r="AF43" i="4"/>
  <c r="AG43" i="4" s="1"/>
  <c r="AS43" i="4" s="1"/>
  <c r="AB43" i="4"/>
  <c r="AB59" i="4"/>
  <c r="AF59" i="4"/>
  <c r="AG59" i="4" s="1"/>
  <c r="AS59" i="4" s="1"/>
  <c r="M59" i="4"/>
  <c r="AA59" i="4" s="1"/>
  <c r="M124" i="4"/>
  <c r="AA124" i="4" s="1"/>
  <c r="AB124" i="4"/>
  <c r="M207" i="4"/>
  <c r="AA207" i="4" s="1"/>
  <c r="AB207" i="4"/>
  <c r="M12" i="4"/>
  <c r="AA12" i="4" s="1"/>
  <c r="Z12" i="4"/>
  <c r="AF12" i="4"/>
  <c r="AG12" i="4" s="1"/>
  <c r="AS12" i="4" s="1"/>
  <c r="AB12" i="4"/>
  <c r="M182" i="4"/>
  <c r="AA182" i="4" s="1"/>
  <c r="AB182" i="4"/>
  <c r="M60" i="4"/>
  <c r="AA60" i="4" s="1"/>
  <c r="AB60" i="4"/>
  <c r="AF60" i="4"/>
  <c r="AG60" i="4" s="1"/>
  <c r="AS60" i="4" s="1"/>
  <c r="M102" i="4"/>
  <c r="AA102" i="4" s="1"/>
  <c r="Z102" i="4"/>
  <c r="AB102" i="4"/>
  <c r="AF102" i="4"/>
  <c r="AG102" i="4" s="1"/>
  <c r="AS102" i="4" s="1"/>
  <c r="AD46" i="4"/>
  <c r="AE46" i="4" s="1"/>
  <c r="M97" i="4"/>
  <c r="AA97" i="4" s="1"/>
  <c r="AB97" i="4"/>
  <c r="M15" i="4"/>
  <c r="AA15" i="4" s="1"/>
  <c r="AB15" i="4"/>
  <c r="AF15" i="4"/>
  <c r="AG15" i="4" s="1"/>
  <c r="AS15" i="4" s="1"/>
  <c r="Z15" i="4"/>
  <c r="M180" i="4"/>
  <c r="AA180" i="4" s="1"/>
  <c r="AB180" i="4"/>
  <c r="M71" i="4"/>
  <c r="AA71" i="4" s="1"/>
  <c r="AB71" i="4"/>
  <c r="AF71" i="4"/>
  <c r="AG71" i="4" s="1"/>
  <c r="AS71" i="4" s="1"/>
  <c r="Z18" i="4"/>
  <c r="AB18" i="4"/>
  <c r="M18" i="4"/>
  <c r="AA18" i="4" s="1"/>
  <c r="AF18" i="4"/>
  <c r="AG18" i="4" s="1"/>
  <c r="AS18" i="4" s="1"/>
  <c r="Z70" i="4"/>
  <c r="AC70" i="4" s="1"/>
  <c r="M92" i="4"/>
  <c r="AA92" i="4" s="1"/>
  <c r="AB92" i="4"/>
  <c r="AF92" i="4"/>
  <c r="AG92" i="4" s="1"/>
  <c r="AS92" i="4" s="1"/>
  <c r="X113" i="4"/>
  <c r="Y113" i="4" s="1"/>
  <c r="M17" i="4"/>
  <c r="AA17" i="4" s="1"/>
  <c r="AB17" i="4"/>
  <c r="AF17" i="4"/>
  <c r="AG17" i="4" s="1"/>
  <c r="AS17" i="4" s="1"/>
  <c r="Z17" i="4"/>
  <c r="AF11" i="4"/>
  <c r="AG11" i="4" s="1"/>
  <c r="AS11" i="4" s="1"/>
  <c r="AB11" i="4"/>
  <c r="M11" i="4"/>
  <c r="AA11" i="4" s="1"/>
  <c r="Z11" i="4"/>
  <c r="M14" i="4"/>
  <c r="AA14" i="4" s="1"/>
  <c r="AF14" i="4"/>
  <c r="AG14" i="4" s="1"/>
  <c r="AS14" i="4" s="1"/>
  <c r="AB14" i="4"/>
  <c r="Z14" i="4"/>
  <c r="M16" i="4"/>
  <c r="AA16" i="4" s="1"/>
  <c r="AF16" i="4"/>
  <c r="AG16" i="4" s="1"/>
  <c r="AS16" i="4" s="1"/>
  <c r="AB16" i="4"/>
  <c r="Z16" i="4"/>
  <c r="AF124" i="4"/>
  <c r="AG124" i="4" s="1"/>
  <c r="AS124" i="4" s="1"/>
  <c r="M173" i="4"/>
  <c r="AA173" i="4" s="1"/>
  <c r="AF83" i="4"/>
  <c r="AG83" i="4" s="1"/>
  <c r="AS83" i="4" s="1"/>
  <c r="M83" i="4"/>
  <c r="AA83" i="4" s="1"/>
  <c r="AB83" i="4"/>
  <c r="M93" i="4"/>
  <c r="AA93" i="4" s="1"/>
  <c r="AB93" i="4"/>
  <c r="AF93" i="4"/>
  <c r="AG93" i="4" s="1"/>
  <c r="AS93" i="4" s="1"/>
  <c r="Z124" i="4"/>
  <c r="AB173" i="4"/>
  <c r="M137" i="4"/>
  <c r="AA137" i="4" s="1"/>
  <c r="AB137" i="4"/>
  <c r="Z62" i="4"/>
  <c r="AB62" i="4"/>
  <c r="M62" i="4"/>
  <c r="AA62" i="4" s="1"/>
  <c r="AF62" i="4"/>
  <c r="AG62" i="4" s="1"/>
  <c r="AS62" i="4" s="1"/>
  <c r="Z149" i="4"/>
  <c r="AC149" i="4" s="1"/>
  <c r="Z173" i="4"/>
  <c r="M87" i="4"/>
  <c r="AA87" i="4" s="1"/>
  <c r="AB87" i="4"/>
  <c r="AF87" i="4"/>
  <c r="AG87" i="4" s="1"/>
  <c r="AS87" i="4" s="1"/>
  <c r="M77" i="4"/>
  <c r="AA77" i="4" s="1"/>
  <c r="AF77" i="4"/>
  <c r="AG77" i="4" s="1"/>
  <c r="AS77" i="4" s="1"/>
  <c r="AB77" i="4"/>
  <c r="M98" i="4"/>
  <c r="AA98" i="4" s="1"/>
  <c r="AF98" i="4"/>
  <c r="AG98" i="4" s="1"/>
  <c r="AS98" i="4" s="1"/>
  <c r="AB98" i="4"/>
  <c r="M74" i="4"/>
  <c r="AA74" i="4" s="1"/>
  <c r="AF74" i="4"/>
  <c r="AG74" i="4" s="1"/>
  <c r="AS74" i="4" s="1"/>
  <c r="AB74" i="4"/>
  <c r="AB21" i="4"/>
  <c r="Z21" i="4"/>
  <c r="AF21" i="4"/>
  <c r="AG21" i="4" s="1"/>
  <c r="AS21" i="4" s="1"/>
  <c r="M21" i="4"/>
  <c r="AA21" i="4" s="1"/>
  <c r="M84" i="4"/>
  <c r="AA84" i="4" s="1"/>
  <c r="Z84" i="4"/>
  <c r="AF84" i="4"/>
  <c r="AG84" i="4" s="1"/>
  <c r="AS84" i="4" s="1"/>
  <c r="AB84" i="4"/>
  <c r="Z43" i="4"/>
  <c r="AF97" i="4"/>
  <c r="AG97" i="4" s="1"/>
  <c r="AS97" i="4" s="1"/>
  <c r="B59" i="2"/>
  <c r="R22" i="8" s="1"/>
  <c r="S22" i="8" s="1"/>
  <c r="B55" i="2"/>
  <c r="M128" i="4"/>
  <c r="AA128" i="4" s="1"/>
  <c r="AB128" i="4"/>
  <c r="Z128" i="4"/>
  <c r="Z160" i="4"/>
  <c r="AC160" i="4" s="1"/>
  <c r="AO160" i="4" s="1"/>
  <c r="AQ160" i="4" s="1"/>
  <c r="AU160" i="4" s="1"/>
  <c r="Z92" i="4"/>
  <c r="U24" i="4"/>
  <c r="V24" i="4" s="1"/>
  <c r="W24" i="4" s="1"/>
  <c r="M47" i="4"/>
  <c r="AA47" i="4" s="1"/>
  <c r="AB47" i="4"/>
  <c r="AF47" i="4"/>
  <c r="AG47" i="4" s="1"/>
  <c r="AS47" i="4" s="1"/>
  <c r="AB29" i="4"/>
  <c r="AF29" i="4"/>
  <c r="AG29" i="4" s="1"/>
  <c r="AS29" i="4" s="1"/>
  <c r="M29" i="4"/>
  <c r="AA29" i="4" s="1"/>
  <c r="Z29" i="4"/>
  <c r="AB75" i="4"/>
  <c r="AF75" i="4"/>
  <c r="AG75" i="4" s="1"/>
  <c r="AS75" i="4" s="1"/>
  <c r="M75" i="4"/>
  <c r="AA75" i="4" s="1"/>
  <c r="Z75" i="4"/>
  <c r="E27" i="1"/>
  <c r="D48" i="16"/>
  <c r="M108" i="4"/>
  <c r="AA108" i="4" s="1"/>
  <c r="AB108" i="4"/>
  <c r="AF108" i="4"/>
  <c r="AG108" i="4" s="1"/>
  <c r="AS108" i="4" s="1"/>
  <c r="M152" i="4"/>
  <c r="AA152" i="4" s="1"/>
  <c r="AB152" i="4"/>
  <c r="Z135" i="4"/>
  <c r="Z71" i="4"/>
  <c r="AB168" i="4"/>
  <c r="M13" i="4"/>
  <c r="AA13" i="4" s="1"/>
  <c r="AB13" i="4"/>
  <c r="AF13" i="4"/>
  <c r="AG13" i="4" s="1"/>
  <c r="AS13" i="4" s="1"/>
  <c r="Z13" i="4"/>
  <c r="Z207" i="4"/>
  <c r="AF39" i="4"/>
  <c r="AG39" i="4" s="1"/>
  <c r="AS39" i="4" s="1"/>
  <c r="Z39" i="4"/>
  <c r="M39" i="4"/>
  <c r="AA39" i="4" s="1"/>
  <c r="AB39" i="4"/>
  <c r="AF128" i="4"/>
  <c r="AG128" i="4" s="1"/>
  <c r="AS128" i="4" s="1"/>
  <c r="Z59" i="4"/>
  <c r="AD109" i="4"/>
  <c r="AE109" i="4" s="1"/>
  <c r="K115" i="4"/>
  <c r="X115" i="4"/>
  <c r="Y115" i="4" s="1"/>
  <c r="N115" i="4"/>
  <c r="O115" i="4" s="1"/>
  <c r="Q115" i="4" s="1"/>
  <c r="L115" i="4"/>
  <c r="R115" i="4"/>
  <c r="S115" i="4" s="1"/>
  <c r="T115" i="4" s="1"/>
  <c r="U115" i="4"/>
  <c r="V115" i="4" s="1"/>
  <c r="W115" i="4" s="1"/>
  <c r="K45" i="4"/>
  <c r="AD45" i="4"/>
  <c r="AE45" i="4" s="1"/>
  <c r="U45" i="4"/>
  <c r="V45" i="4" s="1"/>
  <c r="W45" i="4" s="1"/>
  <c r="N45" i="4"/>
  <c r="O45" i="4" s="1"/>
  <c r="Q45" i="4" s="1"/>
  <c r="L45" i="4"/>
  <c r="R45" i="4"/>
  <c r="S45" i="4" s="1"/>
  <c r="T45" i="4" s="1"/>
  <c r="K9" i="4"/>
  <c r="R9" i="4"/>
  <c r="S9" i="4" s="1"/>
  <c r="T9" i="4" s="1"/>
  <c r="L9" i="4"/>
  <c r="N9" i="4"/>
  <c r="O9" i="4" s="1"/>
  <c r="Q9" i="4" s="1"/>
  <c r="L111" i="4"/>
  <c r="K111" i="4"/>
  <c r="X111" i="4"/>
  <c r="Y111" i="4" s="1"/>
  <c r="N111" i="4"/>
  <c r="O111" i="4" s="1"/>
  <c r="Q111" i="4" s="1"/>
  <c r="U111" i="4"/>
  <c r="V111" i="4" s="1"/>
  <c r="W111" i="4" s="1"/>
  <c r="R111" i="4"/>
  <c r="S111" i="4" s="1"/>
  <c r="T111" i="4" s="1"/>
  <c r="AC172" i="4"/>
  <c r="K41" i="4"/>
  <c r="U41" i="4"/>
  <c r="V41" i="4" s="1"/>
  <c r="W41" i="4" s="1"/>
  <c r="R41" i="4"/>
  <c r="S41" i="4" s="1"/>
  <c r="T41" i="4" s="1"/>
  <c r="N41" i="4"/>
  <c r="O41" i="4" s="1"/>
  <c r="Q41" i="4" s="1"/>
  <c r="X41" i="4"/>
  <c r="Y41" i="4" s="1"/>
  <c r="L41" i="4"/>
  <c r="AF184" i="4"/>
  <c r="AG184" i="4" s="1"/>
  <c r="AS184" i="4" s="1"/>
  <c r="AD49" i="4"/>
  <c r="AE49" i="4" s="1"/>
  <c r="R113" i="4"/>
  <c r="S113" i="4" s="1"/>
  <c r="T113" i="4" s="1"/>
  <c r="L113" i="4"/>
  <c r="K113" i="4"/>
  <c r="N113" i="4"/>
  <c r="O113" i="4" s="1"/>
  <c r="Q113" i="4" s="1"/>
  <c r="U46" i="4"/>
  <c r="V46" i="4" s="1"/>
  <c r="W46" i="4" s="1"/>
  <c r="C225" i="2"/>
  <c r="B225" i="2" s="1"/>
  <c r="B226" i="2" s="1"/>
  <c r="C79" i="4"/>
  <c r="B79" i="4" s="1"/>
  <c r="B80" i="4" s="1"/>
  <c r="B70" i="4"/>
  <c r="X24" i="4"/>
  <c r="Y24" i="4" s="1"/>
  <c r="U113" i="4"/>
  <c r="V113" i="4" s="1"/>
  <c r="W113" i="4" s="1"/>
  <c r="K49" i="4"/>
  <c r="R49" i="4"/>
  <c r="S49" i="4" s="1"/>
  <c r="T49" i="4" s="1"/>
  <c r="L49" i="4"/>
  <c r="N49" i="4"/>
  <c r="O49" i="4" s="1"/>
  <c r="Q49" i="4" s="1"/>
  <c r="U49" i="4"/>
  <c r="V49" i="4" s="1"/>
  <c r="W49" i="4" s="1"/>
  <c r="K46" i="4"/>
  <c r="R46" i="4"/>
  <c r="S46" i="4" s="1"/>
  <c r="T46" i="4" s="1"/>
  <c r="N46" i="4"/>
  <c r="O46" i="4" s="1"/>
  <c r="Q46" i="4" s="1"/>
  <c r="L46" i="4"/>
  <c r="K24" i="4"/>
  <c r="R24" i="4"/>
  <c r="S24" i="4" s="1"/>
  <c r="T24" i="4" s="1"/>
  <c r="L24" i="4"/>
  <c r="N24" i="4"/>
  <c r="O24" i="4" s="1"/>
  <c r="Q24" i="4" s="1"/>
  <c r="K109" i="4"/>
  <c r="R109" i="4"/>
  <c r="S109" i="4" s="1"/>
  <c r="T109" i="4" s="1"/>
  <c r="L109" i="4"/>
  <c r="N109" i="4"/>
  <c r="O109" i="4" s="1"/>
  <c r="Q109" i="4" s="1"/>
  <c r="K40" i="4"/>
  <c r="R40" i="4"/>
  <c r="S40" i="4" s="1"/>
  <c r="T40" i="4" s="1"/>
  <c r="L40" i="4"/>
  <c r="N40" i="4"/>
  <c r="O40" i="4" s="1"/>
  <c r="Q40" i="4" s="1"/>
  <c r="K106" i="4"/>
  <c r="R106" i="4"/>
  <c r="S106" i="4" s="1"/>
  <c r="T106" i="4" s="1"/>
  <c r="L106" i="4"/>
  <c r="N106" i="4"/>
  <c r="O106" i="4" s="1"/>
  <c r="Q106" i="4" s="1"/>
  <c r="AD40" i="4"/>
  <c r="AE40" i="4" s="1"/>
  <c r="K53" i="4"/>
  <c r="L53" i="4"/>
  <c r="R53" i="4"/>
  <c r="S53" i="4" s="1"/>
  <c r="T53" i="4" s="1"/>
  <c r="X53" i="4"/>
  <c r="Y53" i="4" s="1"/>
  <c r="U53" i="4"/>
  <c r="V53" i="4" s="1"/>
  <c r="W53" i="4" s="1"/>
  <c r="N53" i="4"/>
  <c r="O53" i="4" s="1"/>
  <c r="Q53" i="4" s="1"/>
  <c r="U106" i="4"/>
  <c r="V106" i="4" s="1"/>
  <c r="W106" i="4" s="1"/>
  <c r="X40" i="4"/>
  <c r="Y40" i="4" s="1"/>
  <c r="AD106" i="4"/>
  <c r="AE106" i="4" s="1"/>
  <c r="AC144" i="4"/>
  <c r="AC28" i="4"/>
  <c r="AC26" i="4"/>
  <c r="AR26" i="4" s="1"/>
  <c r="AC170" i="4"/>
  <c r="AR170" i="4" s="1"/>
  <c r="AC187" i="4"/>
  <c r="AR187" i="4" s="1"/>
  <c r="AC181" i="4"/>
  <c r="AR181" i="4" s="1"/>
  <c r="AC155" i="4"/>
  <c r="AR155" i="4" s="1"/>
  <c r="AS194" i="4"/>
  <c r="AC204" i="4"/>
  <c r="AR204" i="4" s="1"/>
  <c r="M190" i="4"/>
  <c r="AA190" i="4" s="1"/>
  <c r="AB190" i="4"/>
  <c r="Z190" i="4"/>
  <c r="AF190" i="4"/>
  <c r="AG190" i="4" s="1"/>
  <c r="AS190" i="4" s="1"/>
  <c r="M27" i="4"/>
  <c r="AA27" i="4" s="1"/>
  <c r="AF27" i="4"/>
  <c r="AG27" i="4" s="1"/>
  <c r="AS27" i="4" s="1"/>
  <c r="AB27" i="4"/>
  <c r="Z27" i="4"/>
  <c r="Z36" i="4"/>
  <c r="AC48" i="4"/>
  <c r="AR48" i="4" s="1"/>
  <c r="AC184" i="4"/>
  <c r="AR184" i="4" s="1"/>
  <c r="AC131" i="4"/>
  <c r="AC201" i="4"/>
  <c r="AR201" i="4" s="1"/>
  <c r="M99" i="4"/>
  <c r="AA99" i="4" s="1"/>
  <c r="Z99" i="4"/>
  <c r="AF99" i="4"/>
  <c r="AG99" i="4" s="1"/>
  <c r="AS99" i="4" s="1"/>
  <c r="AB99" i="4"/>
  <c r="AC176" i="4"/>
  <c r="AC192" i="4"/>
  <c r="AR192" i="4" s="1"/>
  <c r="AC119" i="4"/>
  <c r="Z200" i="4"/>
  <c r="AF200" i="4"/>
  <c r="AG200" i="4" s="1"/>
  <c r="AS200" i="4" s="1"/>
  <c r="AB200" i="4"/>
  <c r="M200" i="4"/>
  <c r="AA200" i="4" s="1"/>
  <c r="AC19" i="4"/>
  <c r="M203" i="4"/>
  <c r="AA203" i="4" s="1"/>
  <c r="AF203" i="4"/>
  <c r="AG203" i="4" s="1"/>
  <c r="AS203" i="4" s="1"/>
  <c r="AB203" i="4"/>
  <c r="Z203" i="4"/>
  <c r="M202" i="4"/>
  <c r="AA202" i="4" s="1"/>
  <c r="AB202" i="4"/>
  <c r="AF90" i="4"/>
  <c r="AG90" i="4" s="1"/>
  <c r="AS90" i="4" s="1"/>
  <c r="AB90" i="4"/>
  <c r="M90" i="4"/>
  <c r="AA90" i="4" s="1"/>
  <c r="Z90" i="4"/>
  <c r="M54" i="4"/>
  <c r="AA54" i="4" s="1"/>
  <c r="Z54" i="4"/>
  <c r="AF54" i="4"/>
  <c r="AG54" i="4" s="1"/>
  <c r="AS54" i="4" s="1"/>
  <c r="AB54" i="4"/>
  <c r="AC95" i="4"/>
  <c r="AF86" i="4"/>
  <c r="AG86" i="4" s="1"/>
  <c r="AS86" i="4" s="1"/>
  <c r="AB86" i="4"/>
  <c r="M86" i="4"/>
  <c r="AA86" i="4" s="1"/>
  <c r="Z86" i="4"/>
  <c r="AC138" i="4"/>
  <c r="AC30" i="4"/>
  <c r="AC110" i="4"/>
  <c r="B78" i="1"/>
  <c r="E3" i="8"/>
  <c r="BN32" i="3"/>
  <c r="AC183" i="4"/>
  <c r="AC104" i="4"/>
  <c r="AC196" i="4"/>
  <c r="AC67" i="4"/>
  <c r="AC101" i="4"/>
  <c r="AC171" i="4"/>
  <c r="B74" i="1"/>
  <c r="R8" i="8"/>
  <c r="S8" i="8" s="1"/>
  <c r="B133" i="2"/>
  <c r="AC154" i="4"/>
  <c r="AC175" i="4"/>
  <c r="AC25" i="4"/>
  <c r="AC193" i="4"/>
  <c r="BN21" i="3"/>
  <c r="AC116" i="4"/>
  <c r="AC198" i="4"/>
  <c r="BM37" i="3" l="1"/>
  <c r="AC189" i="4"/>
  <c r="M65" i="4"/>
  <c r="AA65" i="4" s="1"/>
  <c r="Z73" i="4"/>
  <c r="M120" i="4"/>
  <c r="AA120" i="4" s="1"/>
  <c r="Z133" i="4"/>
  <c r="Z105" i="4"/>
  <c r="Z52" i="4"/>
  <c r="M52" i="4"/>
  <c r="AA52" i="4" s="1"/>
  <c r="Z100" i="4"/>
  <c r="AC100" i="4" s="1"/>
  <c r="AR100" i="4" s="1"/>
  <c r="AF36" i="4"/>
  <c r="AG36" i="4" s="1"/>
  <c r="AS36" i="4" s="1"/>
  <c r="AB120" i="4"/>
  <c r="AB36" i="4"/>
  <c r="AC36" i="4" s="1"/>
  <c r="AC209" i="4"/>
  <c r="AR209" i="4" s="1"/>
  <c r="Z23" i="4"/>
  <c r="Z78" i="4"/>
  <c r="AF100" i="4"/>
  <c r="AF23" i="4"/>
  <c r="AG23" i="4" s="1"/>
  <c r="AS23" i="4" s="1"/>
  <c r="AB78" i="4"/>
  <c r="AC34" i="4"/>
  <c r="AF161" i="4"/>
  <c r="AG161" i="4" s="1"/>
  <c r="AS161" i="4" s="1"/>
  <c r="M112" i="4"/>
  <c r="AA112" i="4" s="1"/>
  <c r="AC112" i="4" s="1"/>
  <c r="AF120" i="4"/>
  <c r="AG120" i="4" s="1"/>
  <c r="AS120" i="4" s="1"/>
  <c r="M167" i="4"/>
  <c r="AA167" i="4" s="1"/>
  <c r="AB167" i="4"/>
  <c r="AF52" i="4"/>
  <c r="AG52" i="4" s="1"/>
  <c r="AS52" i="4" s="1"/>
  <c r="AB23" i="4"/>
  <c r="AC56" i="4"/>
  <c r="AG197" i="4"/>
  <c r="AS197" i="4" s="1"/>
  <c r="AG34" i="4"/>
  <c r="AS34" i="4" s="1"/>
  <c r="AC188" i="4"/>
  <c r="AO188" i="4" s="1"/>
  <c r="AQ188" i="4" s="1"/>
  <c r="AU188" i="4" s="1"/>
  <c r="AF110" i="4"/>
  <c r="AG110" i="4" s="1"/>
  <c r="AF180" i="4"/>
  <c r="AC72" i="4"/>
  <c r="AR72" i="4" s="1"/>
  <c r="AC91" i="4"/>
  <c r="AR91" i="4" s="1"/>
  <c r="AB191" i="4"/>
  <c r="M191" i="4"/>
  <c r="AA191" i="4" s="1"/>
  <c r="AC197" i="4"/>
  <c r="AG100" i="4"/>
  <c r="AS100" i="4" s="1"/>
  <c r="AD33" i="4"/>
  <c r="AE33" i="4" s="1"/>
  <c r="AF73" i="4"/>
  <c r="AG73" i="4" s="1"/>
  <c r="AS73" i="4" s="1"/>
  <c r="AF167" i="4"/>
  <c r="AG167" i="4" s="1"/>
  <c r="AS167" i="4" s="1"/>
  <c r="Z167" i="4"/>
  <c r="AF191" i="4"/>
  <c r="AG191" i="4" s="1"/>
  <c r="AS191" i="4" s="1"/>
  <c r="M148" i="4"/>
  <c r="AA148" i="4" s="1"/>
  <c r="AC148" i="4" s="1"/>
  <c r="AF148" i="4"/>
  <c r="AG148" i="4" s="1"/>
  <c r="AS148" i="4" s="1"/>
  <c r="AC159" i="4"/>
  <c r="AR159" i="4" s="1"/>
  <c r="Z191" i="4"/>
  <c r="AC76" i="4"/>
  <c r="AO76" i="4" s="1"/>
  <c r="AQ76" i="4" s="1"/>
  <c r="AU76" i="4" s="1"/>
  <c r="AC206" i="4"/>
  <c r="AC142" i="4"/>
  <c r="AO142" i="4" s="1"/>
  <c r="AQ142" i="4" s="1"/>
  <c r="AU142" i="4" s="1"/>
  <c r="AB125" i="4"/>
  <c r="M125" i="4"/>
  <c r="AA125" i="4" s="1"/>
  <c r="Z125" i="4"/>
  <c r="AF125" i="4"/>
  <c r="AG125" i="4" s="1"/>
  <c r="AS125" i="4" s="1"/>
  <c r="AC156" i="4"/>
  <c r="AO156" i="4" s="1"/>
  <c r="AQ156" i="4" s="1"/>
  <c r="AU156" i="4" s="1"/>
  <c r="AC179" i="4"/>
  <c r="AC50" i="4"/>
  <c r="M103" i="4"/>
  <c r="AA103" i="4" s="1"/>
  <c r="AB103" i="4"/>
  <c r="AB65" i="4"/>
  <c r="AC65" i="4" s="1"/>
  <c r="AO65" i="4" s="1"/>
  <c r="AQ65" i="4" s="1"/>
  <c r="AU65" i="4" s="1"/>
  <c r="AF65" i="4"/>
  <c r="AG65" i="4" s="1"/>
  <c r="AS65" i="4" s="1"/>
  <c r="AC38" i="4"/>
  <c r="AO38" i="4" s="1"/>
  <c r="AQ38" i="4" s="1"/>
  <c r="AU38" i="4" s="1"/>
  <c r="AC208" i="4"/>
  <c r="AO208" i="4" s="1"/>
  <c r="AQ208" i="4" s="1"/>
  <c r="AU208" i="4" s="1"/>
  <c r="AC174" i="4"/>
  <c r="AR174" i="4" s="1"/>
  <c r="AC161" i="4"/>
  <c r="U33" i="4"/>
  <c r="V33" i="4" s="1"/>
  <c r="W33" i="4" s="1"/>
  <c r="AB165" i="4"/>
  <c r="AF165" i="4"/>
  <c r="AG165" i="4" s="1"/>
  <c r="AS165" i="4" s="1"/>
  <c r="Z165" i="4"/>
  <c r="M165" i="4"/>
  <c r="AA165" i="4" s="1"/>
  <c r="M73" i="4"/>
  <c r="AA73" i="4" s="1"/>
  <c r="AB73" i="4"/>
  <c r="K85" i="4"/>
  <c r="L85" i="4"/>
  <c r="X85" i="4"/>
  <c r="Y85" i="4" s="1"/>
  <c r="R85" i="4"/>
  <c r="S85" i="4" s="1"/>
  <c r="T85" i="4" s="1"/>
  <c r="N85" i="4"/>
  <c r="O85" i="4" s="1"/>
  <c r="Q85" i="4" s="1"/>
  <c r="AD85" i="4"/>
  <c r="AE85" i="4" s="1"/>
  <c r="AF129" i="4"/>
  <c r="AG129" i="4" s="1"/>
  <c r="AS129" i="4" s="1"/>
  <c r="AB129" i="4"/>
  <c r="Z129" i="4"/>
  <c r="M129" i="4"/>
  <c r="AA129" i="4" s="1"/>
  <c r="R107" i="4"/>
  <c r="S107" i="4" s="1"/>
  <c r="T107" i="4" s="1"/>
  <c r="L107" i="4"/>
  <c r="K107" i="4"/>
  <c r="N107" i="4"/>
  <c r="O107" i="4" s="1"/>
  <c r="Q107" i="4" s="1"/>
  <c r="AC168" i="4"/>
  <c r="AR168" i="4" s="1"/>
  <c r="AC44" i="4"/>
  <c r="AO44" i="4" s="1"/>
  <c r="AQ44" i="4" s="1"/>
  <c r="AU44" i="4" s="1"/>
  <c r="AF166" i="4"/>
  <c r="AG166" i="4" s="1"/>
  <c r="AS166" i="4" s="1"/>
  <c r="M166" i="4"/>
  <c r="AA166" i="4" s="1"/>
  <c r="Z166" i="4"/>
  <c r="AB166" i="4"/>
  <c r="M186" i="4"/>
  <c r="AA186" i="4" s="1"/>
  <c r="AF186" i="4"/>
  <c r="AG186" i="4" s="1"/>
  <c r="AS186" i="4" s="1"/>
  <c r="AB186" i="4"/>
  <c r="Z186" i="4"/>
  <c r="U85" i="4"/>
  <c r="V85" i="4" s="1"/>
  <c r="W85" i="4" s="1"/>
  <c r="AF150" i="4"/>
  <c r="AG150" i="4" s="1"/>
  <c r="AS150" i="4" s="1"/>
  <c r="Z150" i="4"/>
  <c r="AC150" i="4" s="1"/>
  <c r="AD107" i="4"/>
  <c r="AE107" i="4" s="1"/>
  <c r="L58" i="4"/>
  <c r="R58" i="4"/>
  <c r="S58" i="4" s="1"/>
  <c r="T58" i="4" s="1"/>
  <c r="N58" i="4"/>
  <c r="O58" i="4" s="1"/>
  <c r="Q58" i="4" s="1"/>
  <c r="K58" i="4"/>
  <c r="AB147" i="4"/>
  <c r="AF147" i="4"/>
  <c r="AG147" i="4" s="1"/>
  <c r="AS147" i="4" s="1"/>
  <c r="Z147" i="4"/>
  <c r="M147" i="4"/>
  <c r="AA147" i="4" s="1"/>
  <c r="AG180" i="4"/>
  <c r="AS180" i="4" s="1"/>
  <c r="U58" i="4"/>
  <c r="V58" i="4" s="1"/>
  <c r="W58" i="4" s="1"/>
  <c r="R33" i="4"/>
  <c r="S33" i="4" s="1"/>
  <c r="T33" i="4" s="1"/>
  <c r="N33" i="4"/>
  <c r="O33" i="4" s="1"/>
  <c r="Q33" i="4" s="1"/>
  <c r="K33" i="4"/>
  <c r="L33" i="4"/>
  <c r="AD88" i="4"/>
  <c r="AE88" i="4" s="1"/>
  <c r="Z153" i="4"/>
  <c r="AF153" i="4"/>
  <c r="AG153" i="4" s="1"/>
  <c r="AS153" i="4" s="1"/>
  <c r="M153" i="4"/>
  <c r="AA153" i="4" s="1"/>
  <c r="AB153" i="4"/>
  <c r="R140" i="4"/>
  <c r="S140" i="4" s="1"/>
  <c r="T140" i="4" s="1"/>
  <c r="N140" i="4"/>
  <c r="O140" i="4" s="1"/>
  <c r="Q140" i="4" s="1"/>
  <c r="X140" i="4"/>
  <c r="Y140" i="4" s="1"/>
  <c r="L140" i="4"/>
  <c r="K140" i="4"/>
  <c r="AD58" i="4"/>
  <c r="AE58" i="4" s="1"/>
  <c r="AC162" i="4"/>
  <c r="AR162" i="4" s="1"/>
  <c r="AC51" i="4"/>
  <c r="AO51" i="4" s="1"/>
  <c r="AQ51" i="4" s="1"/>
  <c r="AU51" i="4" s="1"/>
  <c r="U140" i="4"/>
  <c r="V140" i="4" s="1"/>
  <c r="W140" i="4" s="1"/>
  <c r="Z199" i="4"/>
  <c r="AB199" i="4"/>
  <c r="AF199" i="4"/>
  <c r="AG199" i="4" s="1"/>
  <c r="AS199" i="4" s="1"/>
  <c r="M199" i="4"/>
  <c r="AA199" i="4" s="1"/>
  <c r="K88" i="4"/>
  <c r="R88" i="4"/>
  <c r="S88" i="4" s="1"/>
  <c r="T88" i="4" s="1"/>
  <c r="L88" i="4"/>
  <c r="N88" i="4"/>
  <c r="O88" i="4" s="1"/>
  <c r="Q88" i="4" s="1"/>
  <c r="AF105" i="4"/>
  <c r="AG105" i="4" s="1"/>
  <c r="AS105" i="4" s="1"/>
  <c r="L64" i="4"/>
  <c r="R64" i="4"/>
  <c r="S64" i="4" s="1"/>
  <c r="T64" i="4" s="1"/>
  <c r="K64" i="4"/>
  <c r="N64" i="4"/>
  <c r="O64" i="4" s="1"/>
  <c r="Q64" i="4" s="1"/>
  <c r="U64" i="4"/>
  <c r="V64" i="4" s="1"/>
  <c r="W64" i="4" s="1"/>
  <c r="X64" i="4"/>
  <c r="Y64" i="4" s="1"/>
  <c r="X88" i="4"/>
  <c r="Y88" i="4" s="1"/>
  <c r="Z103" i="4"/>
  <c r="AF103" i="4"/>
  <c r="AG103" i="4" s="1"/>
  <c r="AS103" i="4" s="1"/>
  <c r="X107" i="4"/>
  <c r="Y107" i="4" s="1"/>
  <c r="AC177" i="4"/>
  <c r="AR177" i="4" s="1"/>
  <c r="AC96" i="4"/>
  <c r="AR96" i="4" s="1"/>
  <c r="M158" i="4"/>
  <c r="AA158" i="4" s="1"/>
  <c r="Z158" i="4"/>
  <c r="AB158" i="4"/>
  <c r="AF158" i="4"/>
  <c r="AG158" i="4" s="1"/>
  <c r="AS158" i="4" s="1"/>
  <c r="U107" i="4"/>
  <c r="V107" i="4" s="1"/>
  <c r="W107" i="4" s="1"/>
  <c r="AS130" i="4"/>
  <c r="AO130" i="4"/>
  <c r="AQ130" i="4" s="1"/>
  <c r="AU130" i="4" s="1"/>
  <c r="AC141" i="4"/>
  <c r="AR141" i="4" s="1"/>
  <c r="AC194" i="4"/>
  <c r="AR194" i="4" s="1"/>
  <c r="AC79" i="4"/>
  <c r="AR79" i="4" s="1"/>
  <c r="AC82" i="4"/>
  <c r="AR82" i="4" s="1"/>
  <c r="AC31" i="4"/>
  <c r="AR31" i="4" s="1"/>
  <c r="AC145" i="4"/>
  <c r="AO145" i="4" s="1"/>
  <c r="AQ145" i="4" s="1"/>
  <c r="AU145" i="4" s="1"/>
  <c r="AC126" i="4"/>
  <c r="AR126" i="4" s="1"/>
  <c r="AC57" i="4"/>
  <c r="AO57" i="4" s="1"/>
  <c r="AQ57" i="4" s="1"/>
  <c r="AU57" i="4" s="1"/>
  <c r="AC20" i="4"/>
  <c r="AO20" i="4" s="1"/>
  <c r="AQ20" i="4" s="1"/>
  <c r="AU20" i="4" s="1"/>
  <c r="A138" i="8"/>
  <c r="A111" i="8"/>
  <c r="A143" i="8"/>
  <c r="A125" i="8"/>
  <c r="A132" i="8"/>
  <c r="B38" i="3"/>
  <c r="AR38" i="3"/>
  <c r="A39" i="3"/>
  <c r="AQ38" i="3"/>
  <c r="C38" i="3"/>
  <c r="BM38" i="3" s="1"/>
  <c r="D38" i="3"/>
  <c r="A109" i="8"/>
  <c r="AF195" i="4"/>
  <c r="AG195" i="4" s="1"/>
  <c r="AS195" i="4" s="1"/>
  <c r="AC195" i="4"/>
  <c r="AR195" i="4" s="1"/>
  <c r="G38" i="3"/>
  <c r="H38" i="3" s="1"/>
  <c r="BN38" i="3" s="1"/>
  <c r="A103" i="8"/>
  <c r="A141" i="8"/>
  <c r="A148" i="8"/>
  <c r="A128" i="8"/>
  <c r="R30" i="8"/>
  <c r="AC105" i="4"/>
  <c r="AC66" i="4"/>
  <c r="AO66" i="4" s="1"/>
  <c r="AQ66" i="4" s="1"/>
  <c r="AU66" i="4" s="1"/>
  <c r="AC178" i="4"/>
  <c r="AR178" i="4" s="1"/>
  <c r="AC122" i="4"/>
  <c r="AO122" i="4" s="1"/>
  <c r="AQ122" i="4" s="1"/>
  <c r="AU122" i="4" s="1"/>
  <c r="Z132" i="4"/>
  <c r="AB132" i="4"/>
  <c r="M132" i="4"/>
  <c r="AA132" i="4" s="1"/>
  <c r="AF132" i="4"/>
  <c r="AG132" i="4" s="1"/>
  <c r="AS132" i="4" s="1"/>
  <c r="AC135" i="4"/>
  <c r="AO135" i="4" s="1"/>
  <c r="AQ135" i="4" s="1"/>
  <c r="AU135" i="4" s="1"/>
  <c r="AC164" i="4"/>
  <c r="AR164" i="4" s="1"/>
  <c r="AC114" i="4"/>
  <c r="AO114" i="4" s="1"/>
  <c r="AQ114" i="4" s="1"/>
  <c r="AU114" i="4" s="1"/>
  <c r="AC133" i="4"/>
  <c r="AO133" i="4" s="1"/>
  <c r="AQ133" i="4" s="1"/>
  <c r="AU133" i="4" s="1"/>
  <c r="AC80" i="4"/>
  <c r="AR80" i="4" s="1"/>
  <c r="M127" i="4"/>
  <c r="AA127" i="4" s="1"/>
  <c r="AF127" i="4"/>
  <c r="AG127" i="4" s="1"/>
  <c r="AS127" i="4" s="1"/>
  <c r="AB127" i="4"/>
  <c r="Z127" i="4"/>
  <c r="AC94" i="4"/>
  <c r="AR94" i="4" s="1"/>
  <c r="AC117" i="4"/>
  <c r="AR117" i="4" s="1"/>
  <c r="Z111" i="4"/>
  <c r="AC60" i="4"/>
  <c r="AC180" i="4"/>
  <c r="AR180" i="4" s="1"/>
  <c r="AC143" i="4"/>
  <c r="AO143" i="4" s="1"/>
  <c r="AQ143" i="4" s="1"/>
  <c r="AU143" i="4" s="1"/>
  <c r="AC37" i="4"/>
  <c r="AC157" i="4"/>
  <c r="AR157" i="4" s="1"/>
  <c r="M61" i="4"/>
  <c r="AA61" i="4" s="1"/>
  <c r="AB61" i="4"/>
  <c r="Z61" i="4"/>
  <c r="AF61" i="4"/>
  <c r="AG61" i="4" s="1"/>
  <c r="AS61" i="4" s="1"/>
  <c r="AC152" i="4"/>
  <c r="AR152" i="4" s="1"/>
  <c r="AC39" i="4"/>
  <c r="AR39" i="4" s="1"/>
  <c r="AO26" i="4"/>
  <c r="AQ26" i="4" s="1"/>
  <c r="AU26" i="4" s="1"/>
  <c r="AC205" i="4"/>
  <c r="AR205" i="4" s="1"/>
  <c r="AC10" i="4"/>
  <c r="AR10" i="4" s="1"/>
  <c r="AC93" i="4"/>
  <c r="AO93" i="4" s="1"/>
  <c r="AQ93" i="4" s="1"/>
  <c r="AU93" i="4" s="1"/>
  <c r="AO81" i="4"/>
  <c r="AQ81" i="4" s="1"/>
  <c r="AU81" i="4" s="1"/>
  <c r="AO163" i="4"/>
  <c r="AQ163" i="4" s="1"/>
  <c r="AU163" i="4" s="1"/>
  <c r="AC22" i="4"/>
  <c r="AR22" i="4" s="1"/>
  <c r="AC83" i="4"/>
  <c r="AO83" i="4" s="1"/>
  <c r="AQ83" i="4" s="1"/>
  <c r="AU83" i="4" s="1"/>
  <c r="AC173" i="4"/>
  <c r="AO173" i="4" s="1"/>
  <c r="AQ173" i="4" s="1"/>
  <c r="AU173" i="4" s="1"/>
  <c r="AC98" i="4"/>
  <c r="AR98" i="4" s="1"/>
  <c r="AC108" i="4"/>
  <c r="AR108" i="4" s="1"/>
  <c r="AC71" i="4"/>
  <c r="AR71" i="4" s="1"/>
  <c r="AC77" i="4"/>
  <c r="AO77" i="4" s="1"/>
  <c r="AQ77" i="4" s="1"/>
  <c r="AU77" i="4" s="1"/>
  <c r="AC84" i="4"/>
  <c r="AO84" i="4" s="1"/>
  <c r="AQ84" i="4" s="1"/>
  <c r="AU84" i="4" s="1"/>
  <c r="AR160" i="4"/>
  <c r="AC124" i="4"/>
  <c r="AR124" i="4" s="1"/>
  <c r="AO169" i="4"/>
  <c r="AQ169" i="4" s="1"/>
  <c r="AU169" i="4" s="1"/>
  <c r="AC87" i="4"/>
  <c r="AR87" i="4" s="1"/>
  <c r="AC182" i="4"/>
  <c r="AR182" i="4" s="1"/>
  <c r="AC137" i="4"/>
  <c r="AO137" i="4" s="1"/>
  <c r="AQ137" i="4" s="1"/>
  <c r="AU137" i="4" s="1"/>
  <c r="AC97" i="4"/>
  <c r="AR97" i="4" s="1"/>
  <c r="AO170" i="4"/>
  <c r="AQ170" i="4" s="1"/>
  <c r="AU170" i="4" s="1"/>
  <c r="AC47" i="4"/>
  <c r="AO47" i="4" s="1"/>
  <c r="AQ47" i="4" s="1"/>
  <c r="AU47" i="4" s="1"/>
  <c r="AC59" i="4"/>
  <c r="AO59" i="4" s="1"/>
  <c r="AQ59" i="4" s="1"/>
  <c r="AU59" i="4" s="1"/>
  <c r="AC11" i="4"/>
  <c r="AO11" i="4" s="1"/>
  <c r="AQ11" i="4" s="1"/>
  <c r="AU11" i="4" s="1"/>
  <c r="AC17" i="4"/>
  <c r="AR17" i="4" s="1"/>
  <c r="AC207" i="4"/>
  <c r="AR207" i="4" s="1"/>
  <c r="AC128" i="4"/>
  <c r="AR128" i="4" s="1"/>
  <c r="AC74" i="4"/>
  <c r="AR74" i="4" s="1"/>
  <c r="AC12" i="4"/>
  <c r="AC21" i="4"/>
  <c r="AC13" i="4"/>
  <c r="AC18" i="4"/>
  <c r="AC75" i="4"/>
  <c r="B64" i="2"/>
  <c r="R6" i="8"/>
  <c r="S6" i="8" s="1"/>
  <c r="B56" i="2" s="1"/>
  <c r="R5" i="8"/>
  <c r="S5" i="8" s="1"/>
  <c r="B265" i="2"/>
  <c r="C265" i="2"/>
  <c r="B60" i="2"/>
  <c r="A265" i="2" s="1"/>
  <c r="AO201" i="4"/>
  <c r="AQ201" i="4" s="1"/>
  <c r="AU201" i="4" s="1"/>
  <c r="AO68" i="4"/>
  <c r="AQ68" i="4" s="1"/>
  <c r="AU68" i="4" s="1"/>
  <c r="AC62" i="4"/>
  <c r="AC102" i="4"/>
  <c r="AO89" i="4"/>
  <c r="AQ89" i="4" s="1"/>
  <c r="AU89" i="4" s="1"/>
  <c r="AR66" i="4"/>
  <c r="AC43" i="4"/>
  <c r="AC29" i="4"/>
  <c r="AC16" i="4"/>
  <c r="AC92" i="4"/>
  <c r="AC15" i="4"/>
  <c r="AC14" i="4"/>
  <c r="AO94" i="4"/>
  <c r="AQ94" i="4" s="1"/>
  <c r="AU94" i="4" s="1"/>
  <c r="M46" i="4"/>
  <c r="AA46" i="4" s="1"/>
  <c r="AF46" i="4"/>
  <c r="AG46" i="4" s="1"/>
  <c r="AS46" i="4" s="1"/>
  <c r="AB46" i="4"/>
  <c r="Z46" i="4"/>
  <c r="AB45" i="4"/>
  <c r="AF45" i="4"/>
  <c r="AG45" i="4" s="1"/>
  <c r="AS45" i="4" s="1"/>
  <c r="Z45" i="4"/>
  <c r="M45" i="4"/>
  <c r="AA45" i="4" s="1"/>
  <c r="Z40" i="4"/>
  <c r="M40" i="4"/>
  <c r="AA40" i="4" s="1"/>
  <c r="AB40" i="4"/>
  <c r="AF40" i="4"/>
  <c r="AG40" i="4" s="1"/>
  <c r="AS40" i="4" s="1"/>
  <c r="AR172" i="4"/>
  <c r="AO172" i="4"/>
  <c r="AQ172" i="4" s="1"/>
  <c r="AU172" i="4" s="1"/>
  <c r="M113" i="4"/>
  <c r="AA113" i="4" s="1"/>
  <c r="AB113" i="4"/>
  <c r="AF113" i="4"/>
  <c r="AG113" i="4" s="1"/>
  <c r="AS113" i="4" s="1"/>
  <c r="Z113" i="4"/>
  <c r="AF53" i="4"/>
  <c r="AG53" i="4" s="1"/>
  <c r="AS53" i="4" s="1"/>
  <c r="Z53" i="4"/>
  <c r="AB53" i="4"/>
  <c r="M53" i="4"/>
  <c r="AA53" i="4" s="1"/>
  <c r="AB109" i="4"/>
  <c r="M109" i="4"/>
  <c r="AA109" i="4" s="1"/>
  <c r="AF109" i="4"/>
  <c r="AG109" i="4" s="1"/>
  <c r="AS109" i="4" s="1"/>
  <c r="Z109" i="4"/>
  <c r="M49" i="4"/>
  <c r="AA49" i="4" s="1"/>
  <c r="AB49" i="4"/>
  <c r="AF49" i="4"/>
  <c r="AG49" i="4" s="1"/>
  <c r="AS49" i="4" s="1"/>
  <c r="Z49" i="4"/>
  <c r="AO174" i="4"/>
  <c r="AQ174" i="4" s="1"/>
  <c r="AU174" i="4" s="1"/>
  <c r="AO181" i="4"/>
  <c r="AQ181" i="4" s="1"/>
  <c r="AU181" i="4" s="1"/>
  <c r="AF111" i="4"/>
  <c r="AG111" i="4" s="1"/>
  <c r="AS111" i="4" s="1"/>
  <c r="M111" i="4"/>
  <c r="AA111" i="4" s="1"/>
  <c r="AB111" i="4"/>
  <c r="Z115" i="4"/>
  <c r="AF115" i="4"/>
  <c r="AG115" i="4" s="1"/>
  <c r="AS115" i="4" s="1"/>
  <c r="AB115" i="4"/>
  <c r="M115" i="4"/>
  <c r="AA115" i="4" s="1"/>
  <c r="AR42" i="4"/>
  <c r="AO42" i="4"/>
  <c r="AQ42" i="4" s="1"/>
  <c r="AU42" i="4" s="1"/>
  <c r="AR56" i="4"/>
  <c r="AO56" i="4"/>
  <c r="AQ56" i="4" s="1"/>
  <c r="AU56" i="4" s="1"/>
  <c r="AR50" i="4"/>
  <c r="AO50" i="4"/>
  <c r="AQ50" i="4" s="1"/>
  <c r="AU50" i="4" s="1"/>
  <c r="M41" i="4"/>
  <c r="AA41" i="4" s="1"/>
  <c r="AF41" i="4"/>
  <c r="AG41" i="4" s="1"/>
  <c r="AS41" i="4" s="1"/>
  <c r="Z41" i="4"/>
  <c r="AB41" i="4"/>
  <c r="M106" i="4"/>
  <c r="AA106" i="4" s="1"/>
  <c r="AF106" i="4"/>
  <c r="AG106" i="4" s="1"/>
  <c r="AS106" i="4" s="1"/>
  <c r="Z106" i="4"/>
  <c r="AB106" i="4"/>
  <c r="M24" i="4"/>
  <c r="AA24" i="4" s="1"/>
  <c r="AB24" i="4"/>
  <c r="AF24" i="4"/>
  <c r="AG24" i="4" s="1"/>
  <c r="AS24" i="4" s="1"/>
  <c r="Z24" i="4"/>
  <c r="AB9" i="4"/>
  <c r="Z9" i="4"/>
  <c r="M9" i="4"/>
  <c r="AA9" i="4" s="1"/>
  <c r="AF9" i="4"/>
  <c r="AG9" i="4" s="1"/>
  <c r="AS9" i="4" s="1"/>
  <c r="AR70" i="4"/>
  <c r="AO70" i="4"/>
  <c r="AQ70" i="4" s="1"/>
  <c r="AU70" i="4" s="1"/>
  <c r="AC202" i="4"/>
  <c r="AO202" i="4" s="1"/>
  <c r="AQ202" i="4" s="1"/>
  <c r="AU202" i="4" s="1"/>
  <c r="AO91" i="4"/>
  <c r="AQ91" i="4" s="1"/>
  <c r="AU91" i="4" s="1"/>
  <c r="AR142" i="4"/>
  <c r="AR151" i="4"/>
  <c r="AO151" i="4"/>
  <c r="AQ151" i="4" s="1"/>
  <c r="AU151" i="4" s="1"/>
  <c r="AR144" i="4"/>
  <c r="AO144" i="4"/>
  <c r="AQ144" i="4" s="1"/>
  <c r="AU144" i="4" s="1"/>
  <c r="AO155" i="4"/>
  <c r="AQ155" i="4" s="1"/>
  <c r="AU155" i="4" s="1"/>
  <c r="AR28" i="4"/>
  <c r="AO28" i="4"/>
  <c r="AQ28" i="4" s="1"/>
  <c r="AU28" i="4" s="1"/>
  <c r="AR35" i="4"/>
  <c r="AO35" i="4"/>
  <c r="AQ35" i="4" s="1"/>
  <c r="AU35" i="4" s="1"/>
  <c r="AO204" i="4"/>
  <c r="AQ204" i="4" s="1"/>
  <c r="AU204" i="4" s="1"/>
  <c r="AO48" i="4"/>
  <c r="AQ48" i="4" s="1"/>
  <c r="AU48" i="4" s="1"/>
  <c r="AR76" i="4"/>
  <c r="AO187" i="4"/>
  <c r="AQ187" i="4" s="1"/>
  <c r="AU187" i="4" s="1"/>
  <c r="AC52" i="4"/>
  <c r="AO197" i="4"/>
  <c r="AQ197" i="4" s="1"/>
  <c r="AU197" i="4" s="1"/>
  <c r="AR197" i="4"/>
  <c r="AO136" i="4"/>
  <c r="AQ136" i="4" s="1"/>
  <c r="AU136" i="4" s="1"/>
  <c r="AR37" i="4"/>
  <c r="AO37" i="4"/>
  <c r="AQ37" i="4" s="1"/>
  <c r="AU37" i="4" s="1"/>
  <c r="AC54" i="4"/>
  <c r="AR32" i="4"/>
  <c r="AO32" i="4"/>
  <c r="AQ32" i="4" s="1"/>
  <c r="AU32" i="4" s="1"/>
  <c r="AR179" i="4"/>
  <c r="AO179" i="4"/>
  <c r="AQ179" i="4" s="1"/>
  <c r="AU179" i="4" s="1"/>
  <c r="AR30" i="4"/>
  <c r="AO30" i="4"/>
  <c r="AQ30" i="4" s="1"/>
  <c r="AU30" i="4" s="1"/>
  <c r="AR55" i="4"/>
  <c r="AO55" i="4"/>
  <c r="AQ55" i="4" s="1"/>
  <c r="AU55" i="4" s="1"/>
  <c r="AO72" i="4"/>
  <c r="AQ72" i="4" s="1"/>
  <c r="AU72" i="4" s="1"/>
  <c r="AR138" i="4"/>
  <c r="AO138" i="4"/>
  <c r="AQ138" i="4" s="1"/>
  <c r="AU138" i="4" s="1"/>
  <c r="AR156" i="4"/>
  <c r="AR176" i="4"/>
  <c r="AO176" i="4"/>
  <c r="AQ176" i="4" s="1"/>
  <c r="AU176" i="4" s="1"/>
  <c r="AC27" i="4"/>
  <c r="AR69" i="4"/>
  <c r="AO69" i="4"/>
  <c r="AQ69" i="4" s="1"/>
  <c r="AU69" i="4" s="1"/>
  <c r="AC203" i="4"/>
  <c r="AC190" i="4"/>
  <c r="AR119" i="4"/>
  <c r="AO119" i="4"/>
  <c r="AQ119" i="4" s="1"/>
  <c r="AU119" i="4" s="1"/>
  <c r="AO192" i="4"/>
  <c r="AQ192" i="4" s="1"/>
  <c r="AU192" i="4" s="1"/>
  <c r="AC90" i="4"/>
  <c r="AR19" i="4"/>
  <c r="AO19" i="4"/>
  <c r="AQ19" i="4" s="1"/>
  <c r="AU19" i="4" s="1"/>
  <c r="AC86" i="4"/>
  <c r="AO184" i="4"/>
  <c r="AQ184" i="4" s="1"/>
  <c r="AU184" i="4" s="1"/>
  <c r="AC99" i="4"/>
  <c r="AR189" i="4"/>
  <c r="AO189" i="4"/>
  <c r="AQ189" i="4" s="1"/>
  <c r="AU189" i="4" s="1"/>
  <c r="AR95" i="4"/>
  <c r="AO95" i="4"/>
  <c r="AQ95" i="4" s="1"/>
  <c r="AU95" i="4" s="1"/>
  <c r="AO177" i="4"/>
  <c r="AQ177" i="4" s="1"/>
  <c r="AU177" i="4" s="1"/>
  <c r="AC200" i="4"/>
  <c r="AR34" i="4"/>
  <c r="AO34" i="4"/>
  <c r="AQ34" i="4" s="1"/>
  <c r="AU34" i="4" s="1"/>
  <c r="AR131" i="4"/>
  <c r="AO131" i="4"/>
  <c r="AQ131" i="4" s="1"/>
  <c r="AU131" i="4" s="1"/>
  <c r="AR134" i="4"/>
  <c r="AO134" i="4"/>
  <c r="AQ134" i="4" s="1"/>
  <c r="AU134" i="4" s="1"/>
  <c r="AR175" i="4"/>
  <c r="AO175" i="4"/>
  <c r="AQ175" i="4" s="1"/>
  <c r="AU175" i="4" s="1"/>
  <c r="AR196" i="4"/>
  <c r="AO196" i="4"/>
  <c r="AQ196" i="4" s="1"/>
  <c r="AU196" i="4" s="1"/>
  <c r="B142" i="2"/>
  <c r="C53" i="16"/>
  <c r="D53" i="16" s="1"/>
  <c r="AR122" i="4"/>
  <c r="AR123" i="4"/>
  <c r="AO123" i="4"/>
  <c r="AQ123" i="4" s="1"/>
  <c r="AU123" i="4" s="1"/>
  <c r="AR183" i="4"/>
  <c r="AO183" i="4"/>
  <c r="AQ183" i="4" s="1"/>
  <c r="AU183" i="4" s="1"/>
  <c r="AR139" i="4"/>
  <c r="AO139" i="4"/>
  <c r="AQ139" i="4" s="1"/>
  <c r="AU139" i="4" s="1"/>
  <c r="AR171" i="4"/>
  <c r="AO171" i="4"/>
  <c r="AQ171" i="4" s="1"/>
  <c r="AU171" i="4" s="1"/>
  <c r="AR104" i="4"/>
  <c r="AO104" i="4"/>
  <c r="AQ104" i="4" s="1"/>
  <c r="AU104" i="4" s="1"/>
  <c r="AR150" i="4"/>
  <c r="AR208" i="4"/>
  <c r="AR118" i="4"/>
  <c r="AO118" i="4"/>
  <c r="AQ118" i="4" s="1"/>
  <c r="AU118" i="4" s="1"/>
  <c r="AR185" i="4"/>
  <c r="AO185" i="4"/>
  <c r="AQ185" i="4" s="1"/>
  <c r="AU185" i="4" s="1"/>
  <c r="AR110" i="4"/>
  <c r="AR154" i="4"/>
  <c r="AO154" i="4"/>
  <c r="AQ154" i="4" s="1"/>
  <c r="AU154" i="4" s="1"/>
  <c r="AR121" i="4"/>
  <c r="AO121" i="4"/>
  <c r="AQ121" i="4" s="1"/>
  <c r="AU121" i="4" s="1"/>
  <c r="AR63" i="4"/>
  <c r="AO63" i="4"/>
  <c r="AQ63" i="4" s="1"/>
  <c r="AU63" i="4" s="1"/>
  <c r="AR193" i="4"/>
  <c r="AO193" i="4"/>
  <c r="AQ193" i="4" s="1"/>
  <c r="AU193" i="4" s="1"/>
  <c r="B75" i="1"/>
  <c r="C3" i="8"/>
  <c r="AR67" i="4"/>
  <c r="AO67" i="4"/>
  <c r="AQ67" i="4" s="1"/>
  <c r="AU67" i="4" s="1"/>
  <c r="AR149" i="4"/>
  <c r="AO149" i="4"/>
  <c r="AQ149" i="4" s="1"/>
  <c r="AU149" i="4" s="1"/>
  <c r="AR25" i="4"/>
  <c r="AO25" i="4"/>
  <c r="AQ25" i="4" s="1"/>
  <c r="AU25" i="4" s="1"/>
  <c r="S27" i="8"/>
  <c r="C74" i="1" s="1"/>
  <c r="R27" i="8"/>
  <c r="AR146" i="4"/>
  <c r="AO146" i="4"/>
  <c r="AQ146" i="4" s="1"/>
  <c r="AU146" i="4" s="1"/>
  <c r="AR206" i="4"/>
  <c r="AO206" i="4"/>
  <c r="AQ206" i="4" s="1"/>
  <c r="AU206" i="4" s="1"/>
  <c r="B134" i="2"/>
  <c r="AR198" i="4"/>
  <c r="AO198" i="4"/>
  <c r="AQ198" i="4" s="1"/>
  <c r="AU198" i="4" s="1"/>
  <c r="AR116" i="4"/>
  <c r="AO116" i="4"/>
  <c r="AQ116" i="4" s="1"/>
  <c r="AU116" i="4" s="1"/>
  <c r="AR101" i="4"/>
  <c r="AO101" i="4"/>
  <c r="AQ101" i="4" s="1"/>
  <c r="AU101" i="4" s="1"/>
  <c r="AS110" i="4" l="1"/>
  <c r="AO110" i="4"/>
  <c r="AQ110" i="4" s="1"/>
  <c r="AU110" i="4" s="1"/>
  <c r="AO159" i="4"/>
  <c r="AQ159" i="4" s="1"/>
  <c r="AU159" i="4" s="1"/>
  <c r="AO100" i="4"/>
  <c r="AQ100" i="4" s="1"/>
  <c r="AU100" i="4" s="1"/>
  <c r="AR188" i="4"/>
  <c r="AR38" i="4"/>
  <c r="AC167" i="4"/>
  <c r="AC23" i="4"/>
  <c r="AC78" i="4"/>
  <c r="AC120" i="4"/>
  <c r="AR114" i="4"/>
  <c r="AR78" i="4"/>
  <c r="AO78" i="4"/>
  <c r="AQ78" i="4" s="1"/>
  <c r="AU78" i="4" s="1"/>
  <c r="AR120" i="4"/>
  <c r="AO120" i="4"/>
  <c r="AQ120" i="4" s="1"/>
  <c r="AU120" i="4" s="1"/>
  <c r="AO112" i="4"/>
  <c r="AQ112" i="4" s="1"/>
  <c r="AU112" i="4" s="1"/>
  <c r="AR112" i="4"/>
  <c r="AC103" i="4"/>
  <c r="AR103" i="4" s="1"/>
  <c r="AO52" i="4"/>
  <c r="AQ52" i="4" s="1"/>
  <c r="AU52" i="4" s="1"/>
  <c r="AC158" i="4"/>
  <c r="AR158" i="4" s="1"/>
  <c r="AC73" i="4"/>
  <c r="AR73" i="4" s="1"/>
  <c r="AO161" i="4"/>
  <c r="AQ161" i="4" s="1"/>
  <c r="AU161" i="4" s="1"/>
  <c r="AO209" i="4"/>
  <c r="AQ209" i="4" s="1"/>
  <c r="AU209" i="4" s="1"/>
  <c r="B308" i="2" s="1"/>
  <c r="AO79" i="4"/>
  <c r="AQ79" i="4" s="1"/>
  <c r="AU79" i="4" s="1"/>
  <c r="AO162" i="4"/>
  <c r="AQ162" i="4" s="1"/>
  <c r="AU162" i="4" s="1"/>
  <c r="AR148" i="4"/>
  <c r="AO148" i="4"/>
  <c r="AQ148" i="4" s="1"/>
  <c r="AU148" i="4" s="1"/>
  <c r="AO150" i="4"/>
  <c r="AQ150" i="4" s="1"/>
  <c r="AU150" i="4" s="1"/>
  <c r="AO82" i="4"/>
  <c r="AQ82" i="4" s="1"/>
  <c r="AU82" i="4" s="1"/>
  <c r="AR133" i="4"/>
  <c r="AR161" i="4"/>
  <c r="AO39" i="4"/>
  <c r="AQ39" i="4" s="1"/>
  <c r="AU39" i="4" s="1"/>
  <c r="AR20" i="4"/>
  <c r="AC191" i="4"/>
  <c r="AO105" i="4"/>
  <c r="AQ105" i="4" s="1"/>
  <c r="AU105" i="4" s="1"/>
  <c r="AR105" i="4"/>
  <c r="AO31" i="4"/>
  <c r="AQ31" i="4" s="1"/>
  <c r="AU31" i="4" s="1"/>
  <c r="AO152" i="4"/>
  <c r="AQ152" i="4" s="1"/>
  <c r="AU152" i="4" s="1"/>
  <c r="AC199" i="4"/>
  <c r="AC165" i="4"/>
  <c r="AC125" i="4"/>
  <c r="AR143" i="4"/>
  <c r="AR145" i="4"/>
  <c r="AO96" i="4"/>
  <c r="AQ96" i="4" s="1"/>
  <c r="AU96" i="4" s="1"/>
  <c r="AO126" i="4"/>
  <c r="AQ126" i="4" s="1"/>
  <c r="AU126" i="4" s="1"/>
  <c r="AF58" i="4"/>
  <c r="AG58" i="4" s="1"/>
  <c r="AS58" i="4" s="1"/>
  <c r="AC129" i="4"/>
  <c r="AO103" i="4"/>
  <c r="AQ103" i="4" s="1"/>
  <c r="AU103" i="4" s="1"/>
  <c r="AC153" i="4"/>
  <c r="AR153" i="4" s="1"/>
  <c r="AO117" i="4"/>
  <c r="AQ117" i="4" s="1"/>
  <c r="AU117" i="4" s="1"/>
  <c r="AR44" i="4"/>
  <c r="AR57" i="4"/>
  <c r="AO158" i="4"/>
  <c r="AQ158" i="4" s="1"/>
  <c r="AU158" i="4" s="1"/>
  <c r="AO168" i="4"/>
  <c r="AQ168" i="4" s="1"/>
  <c r="AU168" i="4" s="1"/>
  <c r="AO141" i="4"/>
  <c r="AQ141" i="4" s="1"/>
  <c r="AU141" i="4" s="1"/>
  <c r="M58" i="4"/>
  <c r="AA58" i="4" s="1"/>
  <c r="AB58" i="4"/>
  <c r="Z58" i="4"/>
  <c r="AF64" i="4"/>
  <c r="AG64" i="4" s="1"/>
  <c r="AS64" i="4" s="1"/>
  <c r="AC166" i="4"/>
  <c r="AB107" i="4"/>
  <c r="Z107" i="4"/>
  <c r="AF107" i="4"/>
  <c r="AG107" i="4" s="1"/>
  <c r="AS107" i="4" s="1"/>
  <c r="M107" i="4"/>
  <c r="AA107" i="4" s="1"/>
  <c r="AR51" i="4"/>
  <c r="AO80" i="4"/>
  <c r="AQ80" i="4" s="1"/>
  <c r="AU80" i="4" s="1"/>
  <c r="Z140" i="4"/>
  <c r="AF140" i="4"/>
  <c r="AG140" i="4" s="1"/>
  <c r="AS140" i="4" s="1"/>
  <c r="M140" i="4"/>
  <c r="AA140" i="4" s="1"/>
  <c r="AB140" i="4"/>
  <c r="AF88" i="4"/>
  <c r="AG88" i="4" s="1"/>
  <c r="AS88" i="4" s="1"/>
  <c r="AB88" i="4"/>
  <c r="M88" i="4"/>
  <c r="AA88" i="4" s="1"/>
  <c r="Z88" i="4"/>
  <c r="AC186" i="4"/>
  <c r="AB64" i="4"/>
  <c r="Z64" i="4"/>
  <c r="M64" i="4"/>
  <c r="AA64" i="4" s="1"/>
  <c r="AF33" i="4"/>
  <c r="AG33" i="4" s="1"/>
  <c r="AS33" i="4" s="1"/>
  <c r="Z33" i="4"/>
  <c r="AB33" i="4"/>
  <c r="M33" i="4"/>
  <c r="AA33" i="4" s="1"/>
  <c r="Z85" i="4"/>
  <c r="AB85" i="4"/>
  <c r="AF85" i="4"/>
  <c r="AG85" i="4" s="1"/>
  <c r="AS85" i="4" s="1"/>
  <c r="M85" i="4"/>
  <c r="AA85" i="4" s="1"/>
  <c r="AO195" i="4"/>
  <c r="AQ195" i="4" s="1"/>
  <c r="AU195" i="4" s="1"/>
  <c r="AC147" i="4"/>
  <c r="AO194" i="4"/>
  <c r="AQ194" i="4" s="1"/>
  <c r="AU194" i="4" s="1"/>
  <c r="AR65" i="4"/>
  <c r="A115" i="8"/>
  <c r="AQ39" i="3"/>
  <c r="AR39" i="3"/>
  <c r="B39" i="3"/>
  <c r="A40" i="3"/>
  <c r="C39" i="3"/>
  <c r="D39" i="3"/>
  <c r="F39" i="3"/>
  <c r="G39" i="3"/>
  <c r="H39" i="3" s="1"/>
  <c r="A140" i="8"/>
  <c r="A144" i="8"/>
  <c r="A150" i="8"/>
  <c r="AR202" i="4"/>
  <c r="AO180" i="4"/>
  <c r="AQ180" i="4" s="1"/>
  <c r="AU180" i="4" s="1"/>
  <c r="A121" i="8"/>
  <c r="A123" i="8"/>
  <c r="AO178" i="4"/>
  <c r="AQ178" i="4" s="1"/>
  <c r="AU178" i="4" s="1"/>
  <c r="A153" i="8"/>
  <c r="A137" i="8"/>
  <c r="A155" i="8"/>
  <c r="AC132" i="4"/>
  <c r="AO164" i="4"/>
  <c r="AQ164" i="4" s="1"/>
  <c r="AU164" i="4" s="1"/>
  <c r="AR173" i="4"/>
  <c r="AR135" i="4"/>
  <c r="AC127" i="4"/>
  <c r="AO22" i="4"/>
  <c r="AQ22" i="4" s="1"/>
  <c r="AU22" i="4" s="1"/>
  <c r="AO157" i="4"/>
  <c r="AQ157" i="4" s="1"/>
  <c r="AU157" i="4" s="1"/>
  <c r="AR93" i="4"/>
  <c r="AO10" i="4"/>
  <c r="AQ10" i="4" s="1"/>
  <c r="AU10" i="4" s="1"/>
  <c r="AO71" i="4"/>
  <c r="AQ71" i="4" s="1"/>
  <c r="AU71" i="4" s="1"/>
  <c r="AC61" i="4"/>
  <c r="AR77" i="4"/>
  <c r="AR47" i="4"/>
  <c r="AO205" i="4"/>
  <c r="AQ205" i="4" s="1"/>
  <c r="AU205" i="4" s="1"/>
  <c r="AR60" i="4"/>
  <c r="AO60" i="4"/>
  <c r="AQ60" i="4" s="1"/>
  <c r="AU60" i="4" s="1"/>
  <c r="AO98" i="4"/>
  <c r="AQ98" i="4" s="1"/>
  <c r="AU98" i="4" s="1"/>
  <c r="AO182" i="4"/>
  <c r="AQ182" i="4" s="1"/>
  <c r="AU182" i="4" s="1"/>
  <c r="AO17" i="4"/>
  <c r="AQ17" i="4" s="1"/>
  <c r="AU17" i="4" s="1"/>
  <c r="AR11" i="4"/>
  <c r="AR83" i="4"/>
  <c r="AO108" i="4"/>
  <c r="AQ108" i="4" s="1"/>
  <c r="AU108" i="4" s="1"/>
  <c r="AR59" i="4"/>
  <c r="AR84" i="4"/>
  <c r="AO74" i="4"/>
  <c r="AQ74" i="4" s="1"/>
  <c r="AU74" i="4" s="1"/>
  <c r="AO124" i="4"/>
  <c r="AQ124" i="4" s="1"/>
  <c r="AU124" i="4" s="1"/>
  <c r="AO97" i="4"/>
  <c r="AQ97" i="4" s="1"/>
  <c r="AU97" i="4" s="1"/>
  <c r="AR137" i="4"/>
  <c r="AO87" i="4"/>
  <c r="AQ87" i="4" s="1"/>
  <c r="AU87" i="4" s="1"/>
  <c r="AO207" i="4"/>
  <c r="AQ207" i="4" s="1"/>
  <c r="AU207" i="4" s="1"/>
  <c r="AO128" i="4"/>
  <c r="AQ128" i="4" s="1"/>
  <c r="AU128" i="4" s="1"/>
  <c r="AC111" i="4"/>
  <c r="AR111" i="4" s="1"/>
  <c r="AR102" i="4"/>
  <c r="AO102" i="4"/>
  <c r="AQ102" i="4" s="1"/>
  <c r="AU102" i="4" s="1"/>
  <c r="AR18" i="4"/>
  <c r="AO18" i="4"/>
  <c r="AQ18" i="4" s="1"/>
  <c r="AU18" i="4" s="1"/>
  <c r="AR62" i="4"/>
  <c r="AO62" i="4"/>
  <c r="AQ62" i="4" s="1"/>
  <c r="AU62" i="4" s="1"/>
  <c r="AR13" i="4"/>
  <c r="AO13" i="4"/>
  <c r="AQ13" i="4" s="1"/>
  <c r="AU13" i="4" s="1"/>
  <c r="AR21" i="4"/>
  <c r="AO21" i="4"/>
  <c r="AQ21" i="4" s="1"/>
  <c r="AU21" i="4" s="1"/>
  <c r="AR15" i="4"/>
  <c r="AO15" i="4"/>
  <c r="AQ15" i="4" s="1"/>
  <c r="AU15" i="4" s="1"/>
  <c r="AR12" i="4"/>
  <c r="AO12" i="4"/>
  <c r="AQ12" i="4" s="1"/>
  <c r="AU12" i="4" s="1"/>
  <c r="AC106" i="4"/>
  <c r="AO92" i="4"/>
  <c r="AQ92" i="4" s="1"/>
  <c r="AU92" i="4" s="1"/>
  <c r="AR92" i="4"/>
  <c r="AR23" i="4"/>
  <c r="AO23" i="4"/>
  <c r="AQ23" i="4" s="1"/>
  <c r="AU23" i="4" s="1"/>
  <c r="AR16" i="4"/>
  <c r="AO16" i="4"/>
  <c r="AQ16" i="4" s="1"/>
  <c r="AU16" i="4" s="1"/>
  <c r="AR29" i="4"/>
  <c r="AO29" i="4"/>
  <c r="AQ29" i="4" s="1"/>
  <c r="AU29" i="4" s="1"/>
  <c r="A264" i="2"/>
  <c r="B264" i="2"/>
  <c r="B268" i="2" s="1"/>
  <c r="C264" i="2"/>
  <c r="C268" i="2" s="1"/>
  <c r="E26" i="1"/>
  <c r="C54" i="16" s="1"/>
  <c r="D54" i="16" s="1"/>
  <c r="AC109" i="4"/>
  <c r="R23" i="8"/>
  <c r="R13" i="8"/>
  <c r="H3" i="8"/>
  <c r="AO43" i="4"/>
  <c r="AQ43" i="4" s="1"/>
  <c r="AU43" i="4" s="1"/>
  <c r="AR43" i="4"/>
  <c r="AR75" i="4"/>
  <c r="AO75" i="4"/>
  <c r="AQ75" i="4" s="1"/>
  <c r="AU75" i="4" s="1"/>
  <c r="AR14" i="4"/>
  <c r="AO14" i="4"/>
  <c r="AQ14" i="4" s="1"/>
  <c r="AU14" i="4" s="1"/>
  <c r="AC53" i="4"/>
  <c r="AC45" i="4"/>
  <c r="AC113" i="4"/>
  <c r="AC24" i="4"/>
  <c r="AC49" i="4"/>
  <c r="AC46" i="4"/>
  <c r="AC9" i="4"/>
  <c r="AC41" i="4"/>
  <c r="AC115" i="4"/>
  <c r="AC40" i="4"/>
  <c r="AR52" i="4"/>
  <c r="AR36" i="4"/>
  <c r="AO36" i="4"/>
  <c r="AQ36" i="4" s="1"/>
  <c r="AU36" i="4" s="1"/>
  <c r="AR203" i="4"/>
  <c r="AO203" i="4"/>
  <c r="AQ203" i="4" s="1"/>
  <c r="AU203" i="4" s="1"/>
  <c r="AR27" i="4"/>
  <c r="AO27" i="4"/>
  <c r="AQ27" i="4" s="1"/>
  <c r="AU27" i="4" s="1"/>
  <c r="AR99" i="4"/>
  <c r="AO99" i="4"/>
  <c r="AQ99" i="4" s="1"/>
  <c r="AU99" i="4" s="1"/>
  <c r="AR86" i="4"/>
  <c r="AO86" i="4"/>
  <c r="AQ86" i="4" s="1"/>
  <c r="AU86" i="4" s="1"/>
  <c r="AR200" i="4"/>
  <c r="AO200" i="4"/>
  <c r="AQ200" i="4" s="1"/>
  <c r="AU200" i="4" s="1"/>
  <c r="AR90" i="4"/>
  <c r="AO90" i="4"/>
  <c r="AQ90" i="4" s="1"/>
  <c r="AU90" i="4" s="1"/>
  <c r="AO54" i="4"/>
  <c r="AQ54" i="4" s="1"/>
  <c r="AU54" i="4" s="1"/>
  <c r="AR54" i="4"/>
  <c r="AR190" i="4"/>
  <c r="AO190" i="4"/>
  <c r="AQ190" i="4" s="1"/>
  <c r="AU190" i="4" s="1"/>
  <c r="D3" i="8"/>
  <c r="B76" i="1"/>
  <c r="B256" i="2"/>
  <c r="A256" i="2"/>
  <c r="A237" i="2"/>
  <c r="B237" i="2"/>
  <c r="C52" i="16"/>
  <c r="D52" i="16" s="1"/>
  <c r="B139" i="2"/>
  <c r="BM39" i="3" l="1"/>
  <c r="AO167" i="4"/>
  <c r="AQ167" i="4" s="1"/>
  <c r="AU167" i="4" s="1"/>
  <c r="AR167" i="4"/>
  <c r="AO73" i="4"/>
  <c r="AQ73" i="4" s="1"/>
  <c r="AU73" i="4" s="1"/>
  <c r="AR191" i="4"/>
  <c r="AO191" i="4"/>
  <c r="AQ191" i="4" s="1"/>
  <c r="AU191" i="4" s="1"/>
  <c r="AO153" i="4"/>
  <c r="AQ153" i="4" s="1"/>
  <c r="AU153" i="4" s="1"/>
  <c r="AR125" i="4"/>
  <c r="AO125" i="4"/>
  <c r="AQ125" i="4" s="1"/>
  <c r="AU125" i="4" s="1"/>
  <c r="AC88" i="4"/>
  <c r="AR88" i="4" s="1"/>
  <c r="AR165" i="4"/>
  <c r="AO165" i="4"/>
  <c r="AQ165" i="4" s="1"/>
  <c r="AU165" i="4" s="1"/>
  <c r="AR129" i="4"/>
  <c r="AO129" i="4"/>
  <c r="AQ129" i="4" s="1"/>
  <c r="AU129" i="4" s="1"/>
  <c r="AR199" i="4"/>
  <c r="AO199" i="4"/>
  <c r="AQ199" i="4" s="1"/>
  <c r="AU199" i="4" s="1"/>
  <c r="AC107" i="4"/>
  <c r="AR107" i="4" s="1"/>
  <c r="AC85" i="4"/>
  <c r="AR85" i="4" s="1"/>
  <c r="AR166" i="4"/>
  <c r="AO166" i="4"/>
  <c r="AQ166" i="4" s="1"/>
  <c r="AU166" i="4" s="1"/>
  <c r="AR186" i="4"/>
  <c r="AO186" i="4"/>
  <c r="AQ186" i="4" s="1"/>
  <c r="AU186" i="4" s="1"/>
  <c r="AR147" i="4"/>
  <c r="AO147" i="4"/>
  <c r="AQ147" i="4" s="1"/>
  <c r="AU147" i="4" s="1"/>
  <c r="AC33" i="4"/>
  <c r="AC58" i="4"/>
  <c r="AC64" i="4"/>
  <c r="AC140" i="4"/>
  <c r="A133" i="8"/>
  <c r="A156" i="8"/>
  <c r="A152" i="8"/>
  <c r="BN39" i="3"/>
  <c r="A135" i="8"/>
  <c r="A127" i="8"/>
  <c r="A149" i="8"/>
  <c r="A41" i="3"/>
  <c r="AQ40" i="3"/>
  <c r="AR40" i="3"/>
  <c r="B40" i="3"/>
  <c r="D40" i="3"/>
  <c r="C40" i="3"/>
  <c r="F40" i="3"/>
  <c r="BM40" i="3" s="1"/>
  <c r="G40" i="3"/>
  <c r="H40" i="3" s="1"/>
  <c r="AO127" i="4"/>
  <c r="AQ127" i="4" s="1"/>
  <c r="AU127" i="4" s="1"/>
  <c r="AR127" i="4"/>
  <c r="AR132" i="4"/>
  <c r="AO132" i="4"/>
  <c r="AQ132" i="4" s="1"/>
  <c r="AU132" i="4" s="1"/>
  <c r="AR61" i="4"/>
  <c r="AO61" i="4"/>
  <c r="AQ61" i="4" s="1"/>
  <c r="AU61" i="4" s="1"/>
  <c r="AO111" i="4"/>
  <c r="AQ111" i="4" s="1"/>
  <c r="AU111" i="4" s="1"/>
  <c r="AR106" i="4"/>
  <c r="AO106" i="4"/>
  <c r="AQ106" i="4" s="1"/>
  <c r="AU106" i="4" s="1"/>
  <c r="AR109" i="4"/>
  <c r="AO109" i="4"/>
  <c r="AQ109" i="4" s="1"/>
  <c r="AU109" i="4" s="1"/>
  <c r="B309" i="2" s="1"/>
  <c r="AR9" i="4"/>
  <c r="AO9" i="4"/>
  <c r="AQ9" i="4" s="1"/>
  <c r="AU9" i="4" s="1"/>
  <c r="AR113" i="4"/>
  <c r="AO113" i="4"/>
  <c r="AQ113" i="4" s="1"/>
  <c r="AU113" i="4" s="1"/>
  <c r="AO115" i="4"/>
  <c r="AQ115" i="4" s="1"/>
  <c r="AU115" i="4" s="1"/>
  <c r="AR115" i="4"/>
  <c r="AO45" i="4"/>
  <c r="AQ45" i="4" s="1"/>
  <c r="AU45" i="4" s="1"/>
  <c r="AR45" i="4"/>
  <c r="AR40" i="4"/>
  <c r="AO40" i="4"/>
  <c r="AQ40" i="4" s="1"/>
  <c r="AU40" i="4" s="1"/>
  <c r="AO41" i="4"/>
  <c r="AQ41" i="4" s="1"/>
  <c r="AU41" i="4" s="1"/>
  <c r="AR41" i="4"/>
  <c r="AR46" i="4"/>
  <c r="AO46" i="4"/>
  <c r="AQ46" i="4" s="1"/>
  <c r="AU46" i="4" s="1"/>
  <c r="AR49" i="4"/>
  <c r="AO49" i="4"/>
  <c r="AQ49" i="4" s="1"/>
  <c r="AU49" i="4" s="1"/>
  <c r="AR24" i="4"/>
  <c r="AO24" i="4"/>
  <c r="AQ24" i="4" s="1"/>
  <c r="AU24" i="4" s="1"/>
  <c r="AO53" i="4"/>
  <c r="AQ53" i="4" s="1"/>
  <c r="AU53" i="4" s="1"/>
  <c r="AR53" i="4"/>
  <c r="B253" i="2"/>
  <c r="A253" i="2"/>
  <c r="AO88" i="4" l="1"/>
  <c r="AQ88" i="4" s="1"/>
  <c r="AU88" i="4" s="1"/>
  <c r="AO85" i="4"/>
  <c r="AQ85" i="4" s="1"/>
  <c r="AU85" i="4" s="1"/>
  <c r="AO107" i="4"/>
  <c r="AQ107" i="4" s="1"/>
  <c r="AU107" i="4" s="1"/>
  <c r="AR58" i="4"/>
  <c r="AO58" i="4"/>
  <c r="AQ58" i="4" s="1"/>
  <c r="AU58" i="4" s="1"/>
  <c r="AR140" i="4"/>
  <c r="AO140" i="4"/>
  <c r="AQ140" i="4" s="1"/>
  <c r="AU140" i="4" s="1"/>
  <c r="AR64" i="4"/>
  <c r="AO64" i="4"/>
  <c r="AQ64" i="4" s="1"/>
  <c r="AU64" i="4" s="1"/>
  <c r="AR33" i="4"/>
  <c r="AO33" i="4"/>
  <c r="AQ33" i="4" s="1"/>
  <c r="AU33" i="4" s="1"/>
  <c r="A139" i="8"/>
  <c r="AQ41" i="3"/>
  <c r="AR41" i="3"/>
  <c r="A42" i="3"/>
  <c r="B41" i="3"/>
  <c r="D41" i="3"/>
  <c r="C41" i="3"/>
  <c r="F41" i="3"/>
  <c r="G41" i="3"/>
  <c r="H41" i="3" s="1"/>
  <c r="BN40" i="3"/>
  <c r="A145" i="8"/>
  <c r="A147" i="8"/>
  <c r="A157" i="8" l="1"/>
  <c r="A43" i="3"/>
  <c r="B42" i="3"/>
  <c r="AR42" i="3"/>
  <c r="AQ42" i="3"/>
  <c r="D42" i="3"/>
  <c r="C42" i="3"/>
  <c r="F42" i="3"/>
  <c r="BM42" i="3" s="1"/>
  <c r="G42" i="3"/>
  <c r="H42" i="3" s="1"/>
  <c r="A159" i="8"/>
  <c r="BN41" i="3"/>
  <c r="BM41" i="3"/>
  <c r="A151" i="8"/>
  <c r="BN42" i="3" l="1"/>
  <c r="L159" i="8"/>
  <c r="L158" i="8"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K158" i="8"/>
  <c r="M159" i="8"/>
  <c r="M158" i="8" s="1"/>
  <c r="I159" i="8"/>
  <c r="I158" i="8" s="1"/>
  <c r="K159" i="8"/>
  <c r="N159" i="8"/>
  <c r="N158" i="8"/>
  <c r="B159" i="8"/>
  <c r="B158" i="8"/>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F159" i="8"/>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G159" i="8"/>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G4" i="8" s="1"/>
  <c r="E159" i="8"/>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C159" i="8"/>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D159" i="8"/>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H159" i="8"/>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3" i="8" s="1"/>
  <c r="B65" i="2" s="1"/>
  <c r="AQ43" i="3"/>
  <c r="AR43" i="3"/>
  <c r="A44" i="3"/>
  <c r="B43" i="3"/>
  <c r="D43" i="3"/>
  <c r="C43" i="3"/>
  <c r="G43" i="3"/>
  <c r="H43" i="3" s="1"/>
  <c r="BN43" i="3" s="1"/>
  <c r="F43" i="3"/>
  <c r="M156" i="8"/>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I156" i="8"/>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M157" i="8"/>
  <c r="L157" i="8"/>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N157" i="8"/>
  <c r="N156" i="8" s="1"/>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K157" i="8"/>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I157" i="8"/>
  <c r="R28" i="8" l="1"/>
  <c r="S28" i="8"/>
  <c r="C75" i="1" s="1"/>
  <c r="BM43" i="3"/>
  <c r="B270" i="2"/>
  <c r="C266" i="2"/>
  <c r="R12" i="8"/>
  <c r="C270" i="2"/>
  <c r="B266" i="2"/>
  <c r="S29" i="8"/>
  <c r="C76" i="1" s="1"/>
  <c r="R29" i="8"/>
  <c r="S31" i="8"/>
  <c r="C78" i="1" s="1"/>
  <c r="R31" i="8"/>
  <c r="AQ44" i="3"/>
  <c r="B44" i="3"/>
  <c r="AR44" i="3"/>
  <c r="A45" i="3"/>
  <c r="D44" i="3"/>
  <c r="C44" i="3"/>
  <c r="G44" i="3"/>
  <c r="H44" i="3" s="1"/>
  <c r="F44" i="3"/>
  <c r="B91" i="2"/>
  <c r="E50" i="1" s="1"/>
  <c r="C45" i="16" s="1"/>
  <c r="D45" i="16" s="1"/>
  <c r="B276" i="2"/>
  <c r="BM44" i="3" l="1"/>
  <c r="A46" i="3"/>
  <c r="B45" i="3"/>
  <c r="C45" i="3"/>
  <c r="AR45" i="3"/>
  <c r="AQ45" i="3"/>
  <c r="D45" i="3"/>
  <c r="G45" i="3"/>
  <c r="H45" i="3" s="1"/>
  <c r="BN45" i="3" s="1"/>
  <c r="F45" i="3"/>
  <c r="C42" i="16"/>
  <c r="D42" i="16"/>
  <c r="BN44" i="3"/>
  <c r="C41" i="16"/>
  <c r="D41" i="16" s="1"/>
  <c r="B143" i="2"/>
  <c r="B140" i="2"/>
  <c r="C39" i="16"/>
  <c r="D39" i="16" s="1"/>
  <c r="C40" i="16"/>
  <c r="D40" i="16" s="1"/>
  <c r="B141" i="2"/>
  <c r="BM45" i="3" l="1"/>
  <c r="AK30" i="3"/>
  <c r="AK40" i="3"/>
  <c r="AK21" i="3"/>
  <c r="AM9" i="3"/>
  <c r="AM13" i="3"/>
  <c r="AK27" i="3"/>
  <c r="AK24" i="3"/>
  <c r="AM17" i="3"/>
  <c r="AM11" i="3"/>
  <c r="AM42" i="3"/>
  <c r="AK33" i="3"/>
  <c r="AM41" i="3"/>
  <c r="AM19" i="3"/>
  <c r="AM38" i="3"/>
  <c r="AM43" i="3"/>
  <c r="AM46" i="3"/>
  <c r="AK9" i="3"/>
  <c r="AK683" i="3"/>
  <c r="AM23" i="3"/>
  <c r="AM34" i="3"/>
  <c r="AM36" i="3"/>
  <c r="AM44" i="3"/>
  <c r="AK36" i="3"/>
  <c r="AM33" i="3"/>
  <c r="AM35" i="3"/>
  <c r="AM18" i="3"/>
  <c r="AM14" i="3"/>
  <c r="AK16" i="3"/>
  <c r="AK42" i="3"/>
  <c r="AM30" i="3"/>
  <c r="AN30" i="3" s="1"/>
  <c r="AM31" i="3"/>
  <c r="AK44" i="3"/>
  <c r="AK10" i="3"/>
  <c r="AM45" i="3"/>
  <c r="AK37" i="3"/>
  <c r="AK39" i="3"/>
  <c r="A257" i="2"/>
  <c r="B257" i="2"/>
  <c r="B150" i="2"/>
  <c r="Q46" i="3" s="1"/>
  <c r="AK38" i="3"/>
  <c r="AK19" i="3"/>
  <c r="AK25" i="3"/>
  <c r="AM29" i="3"/>
  <c r="AM16" i="3"/>
  <c r="AK35" i="3"/>
  <c r="AO35" i="3" s="1"/>
  <c r="B151" i="2"/>
  <c r="S46" i="3" s="1"/>
  <c r="AK28" i="3"/>
  <c r="AK17" i="3"/>
  <c r="AO17" i="3" s="1"/>
  <c r="AM20" i="3"/>
  <c r="AM15" i="3"/>
  <c r="AM10" i="3"/>
  <c r="AN10" i="3" s="1"/>
  <c r="AK13" i="3"/>
  <c r="AM26" i="3"/>
  <c r="AK14" i="3"/>
  <c r="AO14" i="3" s="1"/>
  <c r="AM21" i="3"/>
  <c r="AK15" i="3"/>
  <c r="AM40" i="3"/>
  <c r="AN40" i="3" s="1"/>
  <c r="AK682" i="3"/>
  <c r="AK29" i="3"/>
  <c r="AO29" i="3" s="1"/>
  <c r="AK22" i="3"/>
  <c r="AM27" i="3"/>
  <c r="AM682" i="3"/>
  <c r="AN682" i="3" s="1"/>
  <c r="AM22" i="3"/>
  <c r="AK43" i="3"/>
  <c r="AM25" i="3"/>
  <c r="AK20" i="3"/>
  <c r="AK31" i="3"/>
  <c r="AK45" i="3"/>
  <c r="AO45" i="3" s="1"/>
  <c r="AK11" i="3"/>
  <c r="AO11" i="3" s="1"/>
  <c r="AK12" i="3"/>
  <c r="AM28" i="3"/>
  <c r="AN28" i="3" s="1"/>
  <c r="AK34" i="3"/>
  <c r="AM683" i="3"/>
  <c r="AM37" i="3"/>
  <c r="AM39" i="3"/>
  <c r="AK18" i="3"/>
  <c r="AK23" i="3"/>
  <c r="AO23" i="3" s="1"/>
  <c r="AK41" i="3"/>
  <c r="AO41" i="3" s="1"/>
  <c r="AM32" i="3"/>
  <c r="AK32" i="3"/>
  <c r="AK46" i="3"/>
  <c r="AM12" i="3"/>
  <c r="AK26" i="3"/>
  <c r="AM24" i="3"/>
  <c r="M11" i="3"/>
  <c r="AF11" i="3"/>
  <c r="AF20" i="3"/>
  <c r="AF14" i="3"/>
  <c r="AF28" i="3"/>
  <c r="AF31" i="3"/>
  <c r="AF10" i="3"/>
  <c r="AF17" i="3"/>
  <c r="AF25" i="3"/>
  <c r="AF16" i="3"/>
  <c r="AF27" i="3"/>
  <c r="AF42" i="3"/>
  <c r="AF15" i="3"/>
  <c r="AF35" i="3"/>
  <c r="AF21" i="3"/>
  <c r="AF39" i="3"/>
  <c r="AF37" i="3"/>
  <c r="AF22" i="3"/>
  <c r="AF34" i="3"/>
  <c r="AF45" i="3"/>
  <c r="AF32" i="3"/>
  <c r="AF40" i="3"/>
  <c r="AF24" i="3"/>
  <c r="AF18" i="3"/>
  <c r="AF38" i="3"/>
  <c r="AF12" i="3"/>
  <c r="AF43" i="3"/>
  <c r="AF13" i="3"/>
  <c r="AF23" i="3"/>
  <c r="AF41" i="3"/>
  <c r="AF683" i="3"/>
  <c r="AF19" i="3"/>
  <c r="AF9" i="3"/>
  <c r="AF29" i="3"/>
  <c r="B255" i="2"/>
  <c r="AF44" i="3"/>
  <c r="AF46" i="3"/>
  <c r="AF33" i="3"/>
  <c r="AF30" i="3"/>
  <c r="AF26" i="3"/>
  <c r="AF36" i="3"/>
  <c r="A255" i="2"/>
  <c r="AF682" i="3"/>
  <c r="AD45" i="3"/>
  <c r="AD16" i="3"/>
  <c r="AD39" i="3"/>
  <c r="AD15" i="3"/>
  <c r="AD44" i="3"/>
  <c r="AD34" i="3"/>
  <c r="AD22" i="3"/>
  <c r="AD30" i="3"/>
  <c r="AD23" i="3"/>
  <c r="AD12" i="3"/>
  <c r="AD31" i="3"/>
  <c r="AD11" i="3"/>
  <c r="AD9" i="3"/>
  <c r="AD10" i="3"/>
  <c r="AD24" i="3"/>
  <c r="AD21" i="3"/>
  <c r="AD26" i="3"/>
  <c r="AD43" i="3"/>
  <c r="AD27" i="3"/>
  <c r="AD32" i="3"/>
  <c r="AD41" i="3"/>
  <c r="AD40" i="3"/>
  <c r="AD20" i="3"/>
  <c r="AD29" i="3"/>
  <c r="AD683" i="3"/>
  <c r="AD19" i="3"/>
  <c r="B149" i="2"/>
  <c r="AD13" i="3"/>
  <c r="B254" i="2"/>
  <c r="AD17" i="3"/>
  <c r="AD37" i="3"/>
  <c r="AD38" i="3"/>
  <c r="AD33" i="3"/>
  <c r="AD25" i="3"/>
  <c r="AD18" i="3"/>
  <c r="AD28" i="3"/>
  <c r="AD35" i="3"/>
  <c r="A254" i="2"/>
  <c r="AD46" i="3"/>
  <c r="AD36" i="3"/>
  <c r="AD42" i="3"/>
  <c r="AD682" i="3"/>
  <c r="AD14" i="3"/>
  <c r="M16" i="3"/>
  <c r="AE23" i="3"/>
  <c r="M15" i="3"/>
  <c r="AE22" i="3"/>
  <c r="AE24" i="3"/>
  <c r="AE16" i="3"/>
  <c r="AE44" i="3"/>
  <c r="B152" i="2"/>
  <c r="U46" i="3" s="1"/>
  <c r="M12" i="3"/>
  <c r="AE27" i="3"/>
  <c r="M30" i="3"/>
  <c r="AE46" i="3"/>
  <c r="M46" i="3"/>
  <c r="AE29" i="3"/>
  <c r="AE39" i="3"/>
  <c r="M40" i="3"/>
  <c r="AE42" i="3"/>
  <c r="M26" i="3"/>
  <c r="M37" i="3"/>
  <c r="M43" i="3"/>
  <c r="M19" i="3"/>
  <c r="AE31" i="3"/>
  <c r="AG31" i="3" s="1"/>
  <c r="M9" i="3"/>
  <c r="AE12" i="3"/>
  <c r="AE45" i="3"/>
  <c r="M33" i="3"/>
  <c r="M13" i="3"/>
  <c r="M29" i="3"/>
  <c r="M39" i="3"/>
  <c r="M683" i="3"/>
  <c r="M25" i="3"/>
  <c r="AE41" i="3"/>
  <c r="M32" i="3"/>
  <c r="AE682" i="3"/>
  <c r="M44" i="3"/>
  <c r="AE21" i="3"/>
  <c r="AE10" i="3"/>
  <c r="AE683" i="3"/>
  <c r="M682" i="3"/>
  <c r="AE26" i="3"/>
  <c r="AE13" i="3"/>
  <c r="M17" i="3"/>
  <c r="M31" i="3"/>
  <c r="M35" i="3"/>
  <c r="AE34" i="3"/>
  <c r="AE32" i="3"/>
  <c r="AE37" i="3"/>
  <c r="AE17" i="3"/>
  <c r="AE20" i="3"/>
  <c r="AE18" i="3"/>
  <c r="AE28" i="3"/>
  <c r="M41" i="3"/>
  <c r="M18" i="3"/>
  <c r="M23" i="3"/>
  <c r="AE36" i="3"/>
  <c r="AE9" i="3"/>
  <c r="M10" i="3"/>
  <c r="AE14" i="3"/>
  <c r="M21" i="3"/>
  <c r="AE38" i="3"/>
  <c r="AE43" i="3"/>
  <c r="AE30" i="3"/>
  <c r="AE35" i="3"/>
  <c r="AE15" i="3"/>
  <c r="M14" i="3"/>
  <c r="AE19" i="3"/>
  <c r="M22" i="3"/>
  <c r="M42" i="3"/>
  <c r="M36" i="3"/>
  <c r="M45" i="3"/>
  <c r="M20" i="3"/>
  <c r="M27" i="3"/>
  <c r="M24" i="3"/>
  <c r="M34" i="3"/>
  <c r="AE33" i="3"/>
  <c r="AE11" i="3"/>
  <c r="AG11" i="3" s="1"/>
  <c r="M28" i="3"/>
  <c r="AE25" i="3"/>
  <c r="AE40" i="3"/>
  <c r="M38" i="3"/>
  <c r="B46" i="3"/>
  <c r="AQ46" i="3"/>
  <c r="A47" i="3"/>
  <c r="AF47" i="3" s="1"/>
  <c r="AR46" i="3"/>
  <c r="D46" i="3"/>
  <c r="C46" i="3"/>
  <c r="F46" i="3"/>
  <c r="G46" i="3"/>
  <c r="H46" i="3" s="1"/>
  <c r="O46" i="3"/>
  <c r="AO43" i="3" l="1"/>
  <c r="AO15" i="3"/>
  <c r="AG15" i="3"/>
  <c r="AO13" i="3"/>
  <c r="AG683" i="3"/>
  <c r="AO34" i="3"/>
  <c r="AN33" i="3"/>
  <c r="BN46" i="3"/>
  <c r="BM46" i="3"/>
  <c r="AG46" i="3"/>
  <c r="AG10" i="3"/>
  <c r="AH37" i="3"/>
  <c r="AG25" i="3"/>
  <c r="AG30" i="3"/>
  <c r="AG29" i="3"/>
  <c r="AH22" i="3"/>
  <c r="AN39" i="3"/>
  <c r="AH39" i="3"/>
  <c r="AG40" i="3"/>
  <c r="AG35" i="3"/>
  <c r="AO19" i="3"/>
  <c r="AN44" i="3"/>
  <c r="AN38" i="3"/>
  <c r="AH17" i="3"/>
  <c r="AN27" i="3"/>
  <c r="AN26" i="3"/>
  <c r="AO42" i="3"/>
  <c r="AN36" i="3"/>
  <c r="AN32" i="3"/>
  <c r="AH24" i="3"/>
  <c r="AG14" i="3"/>
  <c r="AG27" i="3"/>
  <c r="AH18" i="3"/>
  <c r="AN24" i="3"/>
  <c r="AO22" i="3"/>
  <c r="AO16" i="3"/>
  <c r="AG20" i="3"/>
  <c r="AG45" i="3"/>
  <c r="AG42" i="3"/>
  <c r="AH28" i="3"/>
  <c r="AH32" i="3"/>
  <c r="AO31" i="3"/>
  <c r="AO37" i="3"/>
  <c r="AO21" i="3"/>
  <c r="AG26" i="3"/>
  <c r="AN12" i="3"/>
  <c r="AN18" i="3"/>
  <c r="AO683" i="3"/>
  <c r="AG44" i="3"/>
  <c r="AH19" i="3"/>
  <c r="AH43" i="3"/>
  <c r="AH16" i="3"/>
  <c r="AH23" i="3"/>
  <c r="AO46" i="3"/>
  <c r="AN25" i="3"/>
  <c r="AN20" i="3"/>
  <c r="AO9" i="3"/>
  <c r="AG33" i="3"/>
  <c r="AG36" i="3"/>
  <c r="AD47" i="3"/>
  <c r="B47" i="3"/>
  <c r="AR47" i="3"/>
  <c r="A48" i="3"/>
  <c r="AQ47" i="3"/>
  <c r="C47" i="3"/>
  <c r="D47" i="3"/>
  <c r="F47" i="3"/>
  <c r="G47" i="3"/>
  <c r="H47" i="3" s="1"/>
  <c r="Q47" i="3"/>
  <c r="S47" i="3"/>
  <c r="O47" i="3"/>
  <c r="U47" i="3"/>
  <c r="M47" i="3"/>
  <c r="AM47" i="3"/>
  <c r="AK47" i="3"/>
  <c r="AH40" i="3"/>
  <c r="AH42" i="3"/>
  <c r="AH44" i="3"/>
  <c r="V29" i="3"/>
  <c r="V41" i="3"/>
  <c r="V28" i="3"/>
  <c r="A687" i="3"/>
  <c r="V34" i="3"/>
  <c r="U30" i="3"/>
  <c r="U34" i="3"/>
  <c r="U41" i="3"/>
  <c r="U15" i="3"/>
  <c r="F77" i="1"/>
  <c r="V18" i="3"/>
  <c r="U682" i="3"/>
  <c r="U35" i="3"/>
  <c r="U19" i="3"/>
  <c r="V23" i="3"/>
  <c r="V37" i="3"/>
  <c r="V22" i="3"/>
  <c r="U28" i="3"/>
  <c r="V38" i="3"/>
  <c r="V45" i="3"/>
  <c r="U40" i="3"/>
  <c r="V26" i="3"/>
  <c r="V14" i="3"/>
  <c r="V19" i="3"/>
  <c r="V12" i="3"/>
  <c r="U39" i="3"/>
  <c r="V10" i="3"/>
  <c r="V13" i="3"/>
  <c r="U22" i="3"/>
  <c r="U16" i="3"/>
  <c r="V20" i="3"/>
  <c r="U29" i="3"/>
  <c r="U11" i="3"/>
  <c r="V32" i="3"/>
  <c r="U24" i="3"/>
  <c r="U18" i="3"/>
  <c r="V33" i="3"/>
  <c r="V39" i="3"/>
  <c r="V43" i="3"/>
  <c r="U44" i="3"/>
  <c r="V17" i="3"/>
  <c r="V40" i="3"/>
  <c r="U14" i="3"/>
  <c r="V48" i="3"/>
  <c r="U683" i="3"/>
  <c r="V35" i="3"/>
  <c r="U9" i="3"/>
  <c r="U27" i="3"/>
  <c r="U38" i="3"/>
  <c r="U32" i="3"/>
  <c r="V16" i="3"/>
  <c r="U10" i="3"/>
  <c r="V44" i="3"/>
  <c r="U43" i="3"/>
  <c r="U37" i="3"/>
  <c r="U23" i="3"/>
  <c r="V46" i="3"/>
  <c r="U12" i="3"/>
  <c r="V25" i="3"/>
  <c r="V15" i="3"/>
  <c r="U25" i="3"/>
  <c r="V31" i="3"/>
  <c r="V682" i="3"/>
  <c r="V11" i="3"/>
  <c r="U20" i="3"/>
  <c r="V683" i="3"/>
  <c r="U42" i="3"/>
  <c r="U26" i="3"/>
  <c r="V47" i="3"/>
  <c r="U33" i="3"/>
  <c r="U31" i="3"/>
  <c r="U21" i="3"/>
  <c r="V24" i="3"/>
  <c r="U13" i="3"/>
  <c r="U17" i="3"/>
  <c r="V27" i="3"/>
  <c r="V42" i="3"/>
  <c r="V9" i="3"/>
  <c r="V30" i="3"/>
  <c r="U45" i="3"/>
  <c r="U36" i="3"/>
  <c r="V21" i="3"/>
  <c r="V36" i="3"/>
  <c r="AH30" i="3"/>
  <c r="AG19" i="3"/>
  <c r="AH25" i="3"/>
  <c r="X46" i="3"/>
  <c r="AE47" i="3"/>
  <c r="AH14" i="3"/>
  <c r="AH41" i="3"/>
  <c r="AG22" i="3"/>
  <c r="AH36" i="3"/>
  <c r="O15" i="3"/>
  <c r="P33" i="3"/>
  <c r="O17" i="3"/>
  <c r="O27" i="3"/>
  <c r="P41" i="3"/>
  <c r="P18" i="3"/>
  <c r="P38" i="3"/>
  <c r="P31" i="3"/>
  <c r="O34" i="3"/>
  <c r="P10" i="3"/>
  <c r="O21" i="3"/>
  <c r="O29" i="3"/>
  <c r="O12" i="3"/>
  <c r="O32" i="3"/>
  <c r="O13" i="3"/>
  <c r="A684" i="3"/>
  <c r="P46" i="3"/>
  <c r="O39" i="3"/>
  <c r="P47" i="3"/>
  <c r="O40" i="3"/>
  <c r="P40" i="3"/>
  <c r="O22" i="3"/>
  <c r="O14" i="3"/>
  <c r="O9" i="3"/>
  <c r="O42" i="3"/>
  <c r="O43" i="3"/>
  <c r="O31" i="3"/>
  <c r="P20" i="3"/>
  <c r="P48" i="3"/>
  <c r="O37" i="3"/>
  <c r="P15" i="3"/>
  <c r="P19" i="3"/>
  <c r="P11" i="3"/>
  <c r="P32" i="3"/>
  <c r="P25" i="3"/>
  <c r="O38" i="3"/>
  <c r="O33" i="3"/>
  <c r="P45" i="3"/>
  <c r="P39" i="3"/>
  <c r="P22" i="3"/>
  <c r="P36" i="3"/>
  <c r="P34" i="3"/>
  <c r="P17" i="3"/>
  <c r="P682" i="3"/>
  <c r="O682" i="3"/>
  <c r="P29" i="3"/>
  <c r="P26" i="3"/>
  <c r="P9" i="3"/>
  <c r="O10" i="3"/>
  <c r="P30" i="3"/>
  <c r="O20" i="3"/>
  <c r="P28" i="3"/>
  <c r="O41" i="3"/>
  <c r="P42" i="3"/>
  <c r="P12" i="3"/>
  <c r="O16" i="3"/>
  <c r="P43" i="3"/>
  <c r="P23" i="3"/>
  <c r="O26" i="3"/>
  <c r="P16" i="3"/>
  <c r="O11" i="3"/>
  <c r="P35" i="3"/>
  <c r="F74" i="1"/>
  <c r="O36" i="3"/>
  <c r="P44" i="3"/>
  <c r="O23" i="3"/>
  <c r="P24" i="3"/>
  <c r="O44" i="3"/>
  <c r="O18" i="3"/>
  <c r="P13" i="3"/>
  <c r="P37" i="3"/>
  <c r="P14" i="3"/>
  <c r="P27" i="3"/>
  <c r="P21" i="3"/>
  <c r="O24" i="3"/>
  <c r="O683" i="3"/>
  <c r="O30" i="3"/>
  <c r="O28" i="3"/>
  <c r="O35" i="3"/>
  <c r="O25" i="3"/>
  <c r="O19" i="3"/>
  <c r="P683" i="3"/>
  <c r="O45" i="3"/>
  <c r="AG43" i="3"/>
  <c r="AG17" i="3"/>
  <c r="AG34" i="3"/>
  <c r="AG21" i="3"/>
  <c r="AG24" i="3"/>
  <c r="AH35" i="3"/>
  <c r="AH33" i="3"/>
  <c r="AH38" i="3"/>
  <c r="AH13" i="3"/>
  <c r="AH29" i="3"/>
  <c r="AH10" i="3"/>
  <c r="AH11" i="3"/>
  <c r="AH12" i="3"/>
  <c r="AO18" i="3"/>
  <c r="AO20" i="3"/>
  <c r="AO10" i="3"/>
  <c r="AN31" i="3"/>
  <c r="AN14" i="3"/>
  <c r="AN23" i="3"/>
  <c r="AN19" i="3"/>
  <c r="AN29" i="3"/>
  <c r="R10" i="3"/>
  <c r="Q36" i="3"/>
  <c r="R27" i="3"/>
  <c r="R682" i="3"/>
  <c r="R17" i="3"/>
  <c r="Q39" i="3"/>
  <c r="Q20" i="3"/>
  <c r="Q13" i="3"/>
  <c r="Q9" i="3"/>
  <c r="R26" i="3"/>
  <c r="R19" i="3"/>
  <c r="Q18" i="3"/>
  <c r="R43" i="3"/>
  <c r="Q11" i="3"/>
  <c r="Q15" i="3"/>
  <c r="R25" i="3"/>
  <c r="R15" i="3"/>
  <c r="Q16" i="3"/>
  <c r="R11" i="3"/>
  <c r="Q682" i="3"/>
  <c r="Q29" i="3"/>
  <c r="R30" i="3"/>
  <c r="Q25" i="3"/>
  <c r="R12" i="3"/>
  <c r="R42" i="3"/>
  <c r="R32" i="3"/>
  <c r="R45" i="3"/>
  <c r="Q23" i="3"/>
  <c r="R34" i="3"/>
  <c r="Q40" i="3"/>
  <c r="Q35" i="3"/>
  <c r="Q30" i="3"/>
  <c r="R20" i="3"/>
  <c r="Q10" i="3"/>
  <c r="A685" i="3"/>
  <c r="Q17" i="3"/>
  <c r="Q21" i="3"/>
  <c r="Q38" i="3"/>
  <c r="R37" i="3"/>
  <c r="R48" i="3"/>
  <c r="Q28" i="3"/>
  <c r="R33" i="3"/>
  <c r="R31" i="3"/>
  <c r="Q26" i="3"/>
  <c r="R46" i="3"/>
  <c r="R47" i="3"/>
  <c r="Q12" i="3"/>
  <c r="Q33" i="3"/>
  <c r="R14" i="3"/>
  <c r="Q41" i="3"/>
  <c r="R9" i="3"/>
  <c r="R23" i="3"/>
  <c r="R16" i="3"/>
  <c r="Q683" i="3"/>
  <c r="Q37" i="3"/>
  <c r="R13" i="3"/>
  <c r="R21" i="3"/>
  <c r="Q42" i="3"/>
  <c r="Q22" i="3"/>
  <c r="Q24" i="3"/>
  <c r="Q31" i="3"/>
  <c r="Q19" i="3"/>
  <c r="Q32" i="3"/>
  <c r="R44" i="3"/>
  <c r="Q27" i="3"/>
  <c r="F75" i="1"/>
  <c r="R24" i="3"/>
  <c r="R41" i="3"/>
  <c r="R22" i="3"/>
  <c r="Q43" i="3"/>
  <c r="R40" i="3"/>
  <c r="R29" i="3"/>
  <c r="R35" i="3"/>
  <c r="Q34" i="3"/>
  <c r="R36" i="3"/>
  <c r="R28" i="3"/>
  <c r="R38" i="3"/>
  <c r="R18" i="3"/>
  <c r="R39" i="3"/>
  <c r="Q14" i="3"/>
  <c r="R683" i="3"/>
  <c r="Q44" i="3"/>
  <c r="Q45" i="3"/>
  <c r="AN43" i="3"/>
  <c r="AO24" i="3"/>
  <c r="AN13" i="3"/>
  <c r="AO682" i="3"/>
  <c r="AN41" i="3"/>
  <c r="AO33" i="3"/>
  <c r="T10" i="3"/>
  <c r="S14" i="3"/>
  <c r="T39" i="3"/>
  <c r="S43" i="3"/>
  <c r="T40" i="3"/>
  <c r="S29" i="3"/>
  <c r="T35" i="3"/>
  <c r="S24" i="3"/>
  <c r="S28" i="3"/>
  <c r="T47" i="3"/>
  <c r="T28" i="3"/>
  <c r="S11" i="3"/>
  <c r="T27" i="3"/>
  <c r="T21" i="3"/>
  <c r="S32" i="3"/>
  <c r="S37" i="3"/>
  <c r="T682" i="3"/>
  <c r="T34" i="3"/>
  <c r="T32" i="3"/>
  <c r="T23" i="3"/>
  <c r="S10" i="3"/>
  <c r="S25" i="3"/>
  <c r="T22" i="3"/>
  <c r="T14" i="3"/>
  <c r="T13" i="3"/>
  <c r="S13" i="3"/>
  <c r="T25" i="3"/>
  <c r="T17" i="3"/>
  <c r="T11" i="3"/>
  <c r="T16" i="3"/>
  <c r="T24" i="3"/>
  <c r="S23" i="3"/>
  <c r="A686" i="3"/>
  <c r="S682" i="3"/>
  <c r="S33" i="3"/>
  <c r="T20" i="3"/>
  <c r="T43" i="3"/>
  <c r="S38" i="3"/>
  <c r="S12" i="3"/>
  <c r="S27" i="3"/>
  <c r="T29" i="3"/>
  <c r="T12" i="3"/>
  <c r="S41" i="3"/>
  <c r="T41" i="3"/>
  <c r="S683" i="3"/>
  <c r="S36" i="3"/>
  <c r="T19" i="3"/>
  <c r="S30" i="3"/>
  <c r="T18" i="3"/>
  <c r="S15" i="3"/>
  <c r="S20" i="3"/>
  <c r="S16" i="3"/>
  <c r="T31" i="3"/>
  <c r="S42" i="3"/>
  <c r="S31" i="3"/>
  <c r="T9" i="3"/>
  <c r="S40" i="3"/>
  <c r="S9" i="3"/>
  <c r="S22" i="3"/>
  <c r="S34" i="3"/>
  <c r="S35" i="3"/>
  <c r="T33" i="3"/>
  <c r="S26" i="3"/>
  <c r="T46" i="3"/>
  <c r="S39" i="3"/>
  <c r="F76" i="1"/>
  <c r="S19" i="3"/>
  <c r="S17" i="3"/>
  <c r="S21" i="3"/>
  <c r="T45" i="3"/>
  <c r="S18" i="3"/>
  <c r="T36" i="3"/>
  <c r="T38" i="3"/>
  <c r="T48" i="3"/>
  <c r="T42" i="3"/>
  <c r="T15" i="3"/>
  <c r="T37" i="3"/>
  <c r="T683" i="3"/>
  <c r="T30" i="3"/>
  <c r="T26" i="3"/>
  <c r="T44" i="3"/>
  <c r="S44" i="3"/>
  <c r="S45" i="3"/>
  <c r="AN11" i="3"/>
  <c r="AG13" i="3"/>
  <c r="AG682" i="3"/>
  <c r="AG39" i="3"/>
  <c r="AH46" i="3"/>
  <c r="AH27" i="3"/>
  <c r="AH9" i="3"/>
  <c r="AH45" i="3"/>
  <c r="AO26" i="3"/>
  <c r="AO32" i="3"/>
  <c r="AO12" i="3"/>
  <c r="AN45" i="3"/>
  <c r="AO44" i="3"/>
  <c r="AN35" i="3"/>
  <c r="AG9" i="3"/>
  <c r="AG28" i="3"/>
  <c r="AG37" i="3"/>
  <c r="AG12" i="3"/>
  <c r="AG16" i="3"/>
  <c r="AG23" i="3"/>
  <c r="AH683" i="3"/>
  <c r="AH20" i="3"/>
  <c r="AH26" i="3"/>
  <c r="AH31" i="3"/>
  <c r="AH34" i="3"/>
  <c r="AN683" i="3"/>
  <c r="AN22" i="3"/>
  <c r="AO25" i="3"/>
  <c r="AO39" i="3"/>
  <c r="AO36" i="3"/>
  <c r="AN34" i="3"/>
  <c r="AN46" i="3"/>
  <c r="AN9" i="3"/>
  <c r="AO30" i="3"/>
  <c r="AG38" i="3"/>
  <c r="AG18" i="3"/>
  <c r="AG32" i="3"/>
  <c r="AG41" i="3"/>
  <c r="AH682" i="3"/>
  <c r="AH15" i="3"/>
  <c r="AH21" i="3"/>
  <c r="AN37" i="3"/>
  <c r="AN21" i="3"/>
  <c r="AN15" i="3"/>
  <c r="AO28" i="3"/>
  <c r="AN16" i="3"/>
  <c r="AO38" i="3"/>
  <c r="AN42" i="3"/>
  <c r="AN17" i="3"/>
  <c r="AO27" i="3"/>
  <c r="AO40" i="3"/>
  <c r="AT22" i="3" l="1"/>
  <c r="BN47" i="3"/>
  <c r="AO47" i="3"/>
  <c r="BM47" i="3"/>
  <c r="AW23" i="3"/>
  <c r="AW30" i="3"/>
  <c r="AW682" i="3"/>
  <c r="AW44" i="3"/>
  <c r="AT19" i="3"/>
  <c r="AX37" i="3"/>
  <c r="AX39" i="3"/>
  <c r="AT17" i="3"/>
  <c r="AP9" i="3"/>
  <c r="AX22" i="3"/>
  <c r="AX17" i="3"/>
  <c r="AW31" i="3"/>
  <c r="Y23" i="3"/>
  <c r="Z23" i="3" s="1"/>
  <c r="AX19" i="3"/>
  <c r="AW29" i="3"/>
  <c r="AT39" i="3"/>
  <c r="Y28" i="3"/>
  <c r="Z28" i="3" s="1"/>
  <c r="AG47" i="3"/>
  <c r="AX23" i="3"/>
  <c r="AY23" i="3" s="1"/>
  <c r="Y29" i="3"/>
  <c r="Z29" i="3" s="1"/>
  <c r="AW45" i="3"/>
  <c r="AX43" i="3"/>
  <c r="X12" i="3"/>
  <c r="X39" i="3"/>
  <c r="AW37" i="3"/>
  <c r="AX16" i="3"/>
  <c r="AW20" i="3"/>
  <c r="Y34" i="3"/>
  <c r="Z34" i="3" s="1"/>
  <c r="Y17" i="3"/>
  <c r="Z17" i="3" s="1"/>
  <c r="X11" i="3"/>
  <c r="AW25" i="3"/>
  <c r="AX21" i="3"/>
  <c r="AU21" i="3"/>
  <c r="AT21" i="3"/>
  <c r="Y682" i="3"/>
  <c r="Z682" i="3" s="1"/>
  <c r="O686" i="3"/>
  <c r="B686" i="3"/>
  <c r="T686" i="3"/>
  <c r="C686" i="3"/>
  <c r="AR686" i="3"/>
  <c r="D686" i="3"/>
  <c r="P686" i="3"/>
  <c r="F686" i="3"/>
  <c r="R686" i="3"/>
  <c r="S686" i="3"/>
  <c r="Q686" i="3"/>
  <c r="G686" i="3"/>
  <c r="H686" i="3" s="1"/>
  <c r="AQ686" i="3"/>
  <c r="V686" i="3"/>
  <c r="U686" i="3"/>
  <c r="AF686" i="3"/>
  <c r="AK686" i="3"/>
  <c r="AM686" i="3"/>
  <c r="M686" i="3"/>
  <c r="AE686" i="3"/>
  <c r="AD686" i="3"/>
  <c r="AX13" i="3"/>
  <c r="AT13" i="3"/>
  <c r="AU13" i="3"/>
  <c r="X25" i="3"/>
  <c r="Y31" i="3"/>
  <c r="Z31" i="3" s="1"/>
  <c r="AU36" i="3"/>
  <c r="AT36" i="3"/>
  <c r="AX36" i="3"/>
  <c r="X21" i="3"/>
  <c r="AX28" i="3"/>
  <c r="AX38" i="3"/>
  <c r="AU38" i="3"/>
  <c r="AT38" i="3"/>
  <c r="AW43" i="3"/>
  <c r="AY43" i="3" s="1"/>
  <c r="AT43" i="3"/>
  <c r="AU43" i="3"/>
  <c r="X37" i="3"/>
  <c r="AT26" i="3"/>
  <c r="AX26" i="3"/>
  <c r="AU26" i="3"/>
  <c r="AW26" i="3"/>
  <c r="AI9" i="3"/>
  <c r="AW9" i="3"/>
  <c r="AU9" i="3"/>
  <c r="AU3" i="3" s="1"/>
  <c r="AU4" i="3" s="1"/>
  <c r="AX9" i="3"/>
  <c r="AT9" i="3"/>
  <c r="AX33" i="3"/>
  <c r="AU33" i="3"/>
  <c r="AT33" i="3"/>
  <c r="X44" i="3"/>
  <c r="AT41" i="3"/>
  <c r="AX41" i="3"/>
  <c r="AU41" i="3"/>
  <c r="AW32" i="3"/>
  <c r="AU32" i="3"/>
  <c r="AX32" i="3"/>
  <c r="AT32" i="3"/>
  <c r="AT20" i="3"/>
  <c r="AU20" i="3"/>
  <c r="AX20" i="3"/>
  <c r="AX27" i="3"/>
  <c r="AU27" i="3"/>
  <c r="AT27" i="3"/>
  <c r="AW27" i="3"/>
  <c r="AW18" i="3"/>
  <c r="AU18" i="3"/>
  <c r="AX18" i="3"/>
  <c r="AT18" i="3"/>
  <c r="AX683" i="3"/>
  <c r="AU683" i="3"/>
  <c r="AT683" i="3"/>
  <c r="AW683" i="3"/>
  <c r="AX46" i="3"/>
  <c r="AW46" i="3"/>
  <c r="AT46" i="3"/>
  <c r="AX12" i="3"/>
  <c r="AT12" i="3"/>
  <c r="AU12" i="3"/>
  <c r="AW24" i="3"/>
  <c r="AT24" i="3"/>
  <c r="AU24" i="3"/>
  <c r="AX24" i="3"/>
  <c r="AW38" i="3"/>
  <c r="AW39" i="3"/>
  <c r="Y11" i="3"/>
  <c r="Z11" i="3" s="1"/>
  <c r="AU46" i="3"/>
  <c r="AW16" i="3"/>
  <c r="AU16" i="3"/>
  <c r="AT16" i="3"/>
  <c r="Y39" i="3"/>
  <c r="Z39" i="3" s="1"/>
  <c r="X27" i="3"/>
  <c r="AX15" i="3"/>
  <c r="AU15" i="3"/>
  <c r="AT15" i="3"/>
  <c r="AW12" i="3"/>
  <c r="AD685" i="3"/>
  <c r="F685" i="3"/>
  <c r="O685" i="3"/>
  <c r="AR685" i="3"/>
  <c r="R685" i="3"/>
  <c r="C685" i="3"/>
  <c r="T685" i="3"/>
  <c r="B685" i="3"/>
  <c r="P685" i="3"/>
  <c r="S685" i="3"/>
  <c r="D685" i="3"/>
  <c r="Q685" i="3"/>
  <c r="AQ685" i="3"/>
  <c r="G685" i="3"/>
  <c r="H685" i="3" s="1"/>
  <c r="V685" i="3"/>
  <c r="AK685" i="3"/>
  <c r="AM685" i="3"/>
  <c r="AF685" i="3"/>
  <c r="M685" i="3"/>
  <c r="AE685" i="3"/>
  <c r="AX11" i="3"/>
  <c r="AU11" i="3"/>
  <c r="AT11" i="3"/>
  <c r="AW21" i="3"/>
  <c r="Y36" i="3"/>
  <c r="Z36" i="3" s="1"/>
  <c r="AW11" i="3"/>
  <c r="AU28" i="3"/>
  <c r="Y30" i="3"/>
  <c r="Z30" i="3" s="1"/>
  <c r="Y27" i="3"/>
  <c r="Z27" i="3" s="1"/>
  <c r="Y33" i="3"/>
  <c r="Z33" i="3" s="1"/>
  <c r="X16" i="3"/>
  <c r="Y38" i="3"/>
  <c r="Z38" i="3" s="1"/>
  <c r="X15" i="3"/>
  <c r="Y41" i="3"/>
  <c r="Z41" i="3" s="1"/>
  <c r="AU37" i="3"/>
  <c r="AT682" i="3"/>
  <c r="AU682" i="3"/>
  <c r="AX682" i="3"/>
  <c r="AU34" i="3"/>
  <c r="AT34" i="3"/>
  <c r="AX34" i="3"/>
  <c r="AW13" i="3"/>
  <c r="AT10" i="3"/>
  <c r="AX10" i="3"/>
  <c r="AU10" i="3"/>
  <c r="AW34" i="3"/>
  <c r="AU23" i="3"/>
  <c r="Y9" i="3"/>
  <c r="Z9" i="3" s="1"/>
  <c r="X17" i="3"/>
  <c r="X26" i="3"/>
  <c r="Y16" i="3"/>
  <c r="Z16" i="3" s="1"/>
  <c r="X22" i="3"/>
  <c r="X28" i="3"/>
  <c r="AW10" i="3"/>
  <c r="AW41" i="3"/>
  <c r="AX31" i="3"/>
  <c r="AU31" i="3"/>
  <c r="AT31" i="3"/>
  <c r="AW28" i="3"/>
  <c r="AT45" i="3"/>
  <c r="AX45" i="3"/>
  <c r="AU45" i="3"/>
  <c r="AU29" i="3"/>
  <c r="AX29" i="3"/>
  <c r="AT29" i="3"/>
  <c r="AW17" i="3"/>
  <c r="X18" i="3"/>
  <c r="Y25" i="3"/>
  <c r="Z25" i="3" s="1"/>
  <c r="AF684" i="3"/>
  <c r="D684" i="3"/>
  <c r="U684" i="3"/>
  <c r="G684" i="3"/>
  <c r="H684" i="3" s="1"/>
  <c r="AQ684" i="3"/>
  <c r="B684" i="3"/>
  <c r="V684" i="3"/>
  <c r="F684" i="3"/>
  <c r="AR684" i="3"/>
  <c r="Q684" i="3"/>
  <c r="C684" i="3"/>
  <c r="S684" i="3"/>
  <c r="P684" i="3"/>
  <c r="R684" i="3"/>
  <c r="T684" i="3"/>
  <c r="O684" i="3"/>
  <c r="AK684" i="3"/>
  <c r="AM684" i="3"/>
  <c r="AE684" i="3"/>
  <c r="M684" i="3"/>
  <c r="AD684" i="3"/>
  <c r="X34" i="3"/>
  <c r="AW19" i="3"/>
  <c r="AY19" i="3" s="1"/>
  <c r="AT28" i="3"/>
  <c r="Y42" i="3"/>
  <c r="Z42" i="3" s="1"/>
  <c r="X13" i="3"/>
  <c r="X42" i="3"/>
  <c r="Y46" i="3"/>
  <c r="Z46" i="3" s="1"/>
  <c r="X32" i="3"/>
  <c r="X24" i="3"/>
  <c r="Y13" i="3"/>
  <c r="Z13" i="3" s="1"/>
  <c r="Y22" i="3"/>
  <c r="Z22" i="3" s="1"/>
  <c r="X41" i="3"/>
  <c r="U685" i="3"/>
  <c r="AX42" i="3"/>
  <c r="AT42" i="3"/>
  <c r="AU42" i="3"/>
  <c r="Y32" i="3"/>
  <c r="Z32" i="3" s="1"/>
  <c r="AT23" i="3"/>
  <c r="AX30" i="3"/>
  <c r="AU30" i="3"/>
  <c r="AT30" i="3"/>
  <c r="Y21" i="3"/>
  <c r="Z21" i="3" s="1"/>
  <c r="Y24" i="3"/>
  <c r="Z24" i="3" s="1"/>
  <c r="X23" i="3"/>
  <c r="X38" i="3"/>
  <c r="Y40" i="3"/>
  <c r="Z40" i="3" s="1"/>
  <c r="Y10" i="3"/>
  <c r="Z10" i="3" s="1"/>
  <c r="Y37" i="3"/>
  <c r="Z37" i="3" s="1"/>
  <c r="AW36" i="3"/>
  <c r="Y26" i="3"/>
  <c r="Z26" i="3" s="1"/>
  <c r="X30" i="3"/>
  <c r="AW42" i="3"/>
  <c r="AN47" i="3"/>
  <c r="AW33" i="3"/>
  <c r="AW22" i="3"/>
  <c r="AT14" i="3"/>
  <c r="AX14" i="3"/>
  <c r="AU14" i="3"/>
  <c r="X36" i="3"/>
  <c r="X31" i="3"/>
  <c r="X43" i="3"/>
  <c r="X9" i="3"/>
  <c r="X29" i="3"/>
  <c r="Y12" i="3"/>
  <c r="Z12" i="3" s="1"/>
  <c r="X40" i="3"/>
  <c r="X19" i="3"/>
  <c r="AW14" i="3"/>
  <c r="AX40" i="3"/>
  <c r="AU40" i="3"/>
  <c r="AT40" i="3"/>
  <c r="AH47" i="3"/>
  <c r="AW15" i="3"/>
  <c r="AX35" i="3"/>
  <c r="AT35" i="3"/>
  <c r="AU35" i="3"/>
  <c r="Y44" i="3"/>
  <c r="Z44" i="3" s="1"/>
  <c r="Y15" i="3"/>
  <c r="Z15" i="3" s="1"/>
  <c r="X14" i="3"/>
  <c r="Y18" i="3"/>
  <c r="Z18" i="3" s="1"/>
  <c r="AU17" i="3"/>
  <c r="AU39" i="3"/>
  <c r="X33" i="3"/>
  <c r="Y47" i="3"/>
  <c r="Z47" i="3" s="1"/>
  <c r="Y683" i="3"/>
  <c r="Z683" i="3" s="1"/>
  <c r="X20" i="3"/>
  <c r="X10" i="3"/>
  <c r="Y35" i="3"/>
  <c r="Z35" i="3" s="1"/>
  <c r="Y43" i="3"/>
  <c r="Z43" i="3" s="1"/>
  <c r="Y19" i="3"/>
  <c r="Z19" i="3" s="1"/>
  <c r="Y45" i="3"/>
  <c r="Z45" i="3" s="1"/>
  <c r="X35" i="3"/>
  <c r="P687" i="3"/>
  <c r="O687" i="3"/>
  <c r="M687" i="3"/>
  <c r="C687" i="3"/>
  <c r="R687" i="3"/>
  <c r="AF687" i="3"/>
  <c r="T687" i="3"/>
  <c r="S687" i="3"/>
  <c r="V687" i="3"/>
  <c r="AQ687" i="3"/>
  <c r="AE687" i="3"/>
  <c r="G687" i="3"/>
  <c r="H687" i="3" s="1"/>
  <c r="U687" i="3"/>
  <c r="B687" i="3"/>
  <c r="AM687" i="3"/>
  <c r="Q687" i="3"/>
  <c r="AR687" i="3"/>
  <c r="AK687" i="3"/>
  <c r="D687" i="3"/>
  <c r="F687" i="3"/>
  <c r="AD687" i="3"/>
  <c r="AU44" i="3"/>
  <c r="AT44" i="3"/>
  <c r="AX44" i="3"/>
  <c r="AW35" i="3"/>
  <c r="AU19" i="3"/>
  <c r="AV19" i="3" s="1"/>
  <c r="X47" i="3"/>
  <c r="AT25" i="3"/>
  <c r="AX25" i="3"/>
  <c r="AU25" i="3"/>
  <c r="X45" i="3"/>
  <c r="X683" i="3"/>
  <c r="Y20" i="3"/>
  <c r="Z20" i="3" s="1"/>
  <c r="Y14" i="3"/>
  <c r="Z14" i="3" s="1"/>
  <c r="X682" i="3"/>
  <c r="AU22" i="3"/>
  <c r="AV22" i="3" s="1"/>
  <c r="B48" i="3"/>
  <c r="AR48" i="3"/>
  <c r="AQ48" i="3"/>
  <c r="A49" i="3"/>
  <c r="C48" i="3"/>
  <c r="D48" i="3"/>
  <c r="G48" i="3"/>
  <c r="H48" i="3" s="1"/>
  <c r="F48" i="3"/>
  <c r="S48" i="3"/>
  <c r="Q48" i="3"/>
  <c r="O48" i="3"/>
  <c r="U48" i="3"/>
  <c r="AE48" i="3"/>
  <c r="AF48" i="3"/>
  <c r="AM48" i="3"/>
  <c r="AK48" i="3"/>
  <c r="M48" i="3"/>
  <c r="AD48" i="3"/>
  <c r="AT37" i="3"/>
  <c r="AW40" i="3"/>
  <c r="AY26" i="3" l="1"/>
  <c r="AY682" i="3"/>
  <c r="AY20" i="3"/>
  <c r="AY30" i="3"/>
  <c r="BN48" i="3"/>
  <c r="AO684" i="3"/>
  <c r="AY29" i="3"/>
  <c r="AY44" i="3"/>
  <c r="AY25" i="3"/>
  <c r="AY45" i="3"/>
  <c r="AY11" i="3"/>
  <c r="AY39" i="3"/>
  <c r="AY37" i="3"/>
  <c r="AX47" i="3"/>
  <c r="AY22" i="3"/>
  <c r="BC22" i="3" s="1"/>
  <c r="AY40" i="3"/>
  <c r="AY31" i="3"/>
  <c r="AV27" i="3"/>
  <c r="AY13" i="3"/>
  <c r="AN48" i="3"/>
  <c r="AY17" i="3"/>
  <c r="BC19" i="3"/>
  <c r="BD19" i="3" s="1"/>
  <c r="AU47" i="3"/>
  <c r="AW47" i="3"/>
  <c r="AY28" i="3"/>
  <c r="AY9" i="3"/>
  <c r="AN687" i="3"/>
  <c r="AH685" i="3"/>
  <c r="AY41" i="3"/>
  <c r="AO685" i="3"/>
  <c r="AY12" i="3"/>
  <c r="AY16" i="3"/>
  <c r="AY27" i="3"/>
  <c r="AY683" i="3"/>
  <c r="BA39" i="3"/>
  <c r="BB39" i="3" s="1"/>
  <c r="BA17" i="3"/>
  <c r="BF17" i="3" s="1"/>
  <c r="AY36" i="3"/>
  <c r="AY10" i="3"/>
  <c r="AY34" i="3"/>
  <c r="AN686" i="3"/>
  <c r="AG48" i="3"/>
  <c r="AO687" i="3"/>
  <c r="AV40" i="3"/>
  <c r="BA40" i="3"/>
  <c r="AG684" i="3"/>
  <c r="X684" i="3"/>
  <c r="BA34" i="3"/>
  <c r="AV34" i="3"/>
  <c r="AN685" i="3"/>
  <c r="AV16" i="3"/>
  <c r="BA16" i="3"/>
  <c r="AY24" i="3"/>
  <c r="AY46" i="3"/>
  <c r="AY18" i="3"/>
  <c r="X48" i="3"/>
  <c r="A50" i="3"/>
  <c r="B49" i="3"/>
  <c r="AR49" i="3"/>
  <c r="AQ49" i="3"/>
  <c r="D49" i="3"/>
  <c r="C49" i="3"/>
  <c r="F49" i="3"/>
  <c r="G49" i="3"/>
  <c r="H49" i="3" s="1"/>
  <c r="Q49" i="3"/>
  <c r="S49" i="3"/>
  <c r="O49" i="3"/>
  <c r="U49" i="3"/>
  <c r="AK49" i="3"/>
  <c r="AM49" i="3"/>
  <c r="AF49" i="3"/>
  <c r="AD49" i="3"/>
  <c r="AE49" i="3"/>
  <c r="M49" i="3"/>
  <c r="V49" i="3"/>
  <c r="P49" i="3"/>
  <c r="R49" i="3"/>
  <c r="T49" i="3"/>
  <c r="AY14" i="3"/>
  <c r="AV30" i="3"/>
  <c r="BA30" i="3"/>
  <c r="AN684" i="3"/>
  <c r="Y684" i="3"/>
  <c r="Z684" i="3" s="1"/>
  <c r="BA41" i="3"/>
  <c r="AV41" i="3"/>
  <c r="BA19" i="3"/>
  <c r="AV37" i="3"/>
  <c r="BA37" i="3"/>
  <c r="AV14" i="3"/>
  <c r="BA14" i="3"/>
  <c r="BA11" i="3"/>
  <c r="AV11" i="3"/>
  <c r="BC11" i="3" s="1"/>
  <c r="Y685" i="3"/>
  <c r="Z685" i="3" s="1"/>
  <c r="BA15" i="3"/>
  <c r="AV15" i="3"/>
  <c r="BA24" i="3"/>
  <c r="AV24" i="3"/>
  <c r="AV20" i="3"/>
  <c r="BA20" i="3"/>
  <c r="BA22" i="3"/>
  <c r="AO686" i="3"/>
  <c r="BA44" i="3"/>
  <c r="AV44" i="3"/>
  <c r="AV28" i="3"/>
  <c r="BA28" i="3"/>
  <c r="AV45" i="3"/>
  <c r="BA45" i="3"/>
  <c r="X685" i="3"/>
  <c r="AV32" i="3"/>
  <c r="BA32" i="3"/>
  <c r="BA33" i="3"/>
  <c r="AV33" i="3"/>
  <c r="BA35" i="3"/>
  <c r="AV35" i="3"/>
  <c r="AV10" i="3"/>
  <c r="BA10" i="3"/>
  <c r="AV682" i="3"/>
  <c r="BC682" i="3" s="1"/>
  <c r="BA682" i="3"/>
  <c r="BA683" i="3"/>
  <c r="AV683" i="3"/>
  <c r="AV13" i="3"/>
  <c r="BA13" i="3"/>
  <c r="X686" i="3"/>
  <c r="BA23" i="3"/>
  <c r="AV23" i="3"/>
  <c r="BC23" i="3" s="1"/>
  <c r="AO48" i="3"/>
  <c r="BM48" i="3"/>
  <c r="BA25" i="3"/>
  <c r="AV25" i="3"/>
  <c r="AH687" i="3"/>
  <c r="AY35" i="3"/>
  <c r="AV39" i="3"/>
  <c r="AV31" i="3"/>
  <c r="BA31" i="3"/>
  <c r="AG685" i="3"/>
  <c r="BA12" i="3"/>
  <c r="AV12" i="3"/>
  <c r="BA27" i="3"/>
  <c r="AY33" i="3"/>
  <c r="BA43" i="3"/>
  <c r="AV43" i="3"/>
  <c r="BC43" i="3" s="1"/>
  <c r="Y686" i="3"/>
  <c r="Z686" i="3" s="1"/>
  <c r="BA21" i="3"/>
  <c r="AV21" i="3"/>
  <c r="X687" i="3"/>
  <c r="AY15" i="3"/>
  <c r="AV17" i="3"/>
  <c r="AY42" i="3"/>
  <c r="AH684" i="3"/>
  <c r="AV29" i="3"/>
  <c r="BA29" i="3"/>
  <c r="AT47" i="3"/>
  <c r="AY32" i="3"/>
  <c r="AT3" i="3"/>
  <c r="AT4" i="3" s="1"/>
  <c r="BA9" i="3"/>
  <c r="AV9" i="3"/>
  <c r="AV26" i="3"/>
  <c r="BC26" i="3" s="1"/>
  <c r="BA26" i="3"/>
  <c r="AH686" i="3"/>
  <c r="AH48" i="3"/>
  <c r="Y48" i="3"/>
  <c r="Z48" i="3" s="1"/>
  <c r="Y687" i="3"/>
  <c r="Z687" i="3" s="1"/>
  <c r="AG687" i="3"/>
  <c r="BA42" i="3"/>
  <c r="AV42" i="3"/>
  <c r="AY38" i="3"/>
  <c r="BA46" i="3"/>
  <c r="AV46" i="3"/>
  <c r="AV18" i="3"/>
  <c r="BA18" i="3"/>
  <c r="AV38" i="3"/>
  <c r="BA38" i="3"/>
  <c r="AV36" i="3"/>
  <c r="BA36" i="3"/>
  <c r="AG686" i="3"/>
  <c r="AY21" i="3"/>
  <c r="BC44" i="3" l="1"/>
  <c r="BC30" i="3"/>
  <c r="BC20" i="3"/>
  <c r="BC12" i="3"/>
  <c r="BD12" i="3" s="1"/>
  <c r="BC14" i="3"/>
  <c r="BD14" i="3" s="1"/>
  <c r="AY47" i="3"/>
  <c r="BC40" i="3"/>
  <c r="BG40" i="3" s="1"/>
  <c r="BH40" i="3" s="1"/>
  <c r="BI40" i="3" s="1"/>
  <c r="BC29" i="3"/>
  <c r="BG29" i="3" s="1"/>
  <c r="BH29" i="3" s="1"/>
  <c r="BI29" i="3" s="1"/>
  <c r="AU684" i="3"/>
  <c r="BC17" i="3"/>
  <c r="BD17" i="3" s="1"/>
  <c r="BM49" i="3"/>
  <c r="BC25" i="3"/>
  <c r="BD25" i="3" s="1"/>
  <c r="BC39" i="3"/>
  <c r="BD39" i="3" s="1"/>
  <c r="BC45" i="3"/>
  <c r="BG45" i="3" s="1"/>
  <c r="BH45" i="3" s="1"/>
  <c r="BI45" i="3" s="1"/>
  <c r="BC13" i="3"/>
  <c r="BD13" i="3" s="1"/>
  <c r="BC27" i="3"/>
  <c r="BC683" i="3"/>
  <c r="BC37" i="3"/>
  <c r="BD37" i="3" s="1"/>
  <c r="BQ17" i="3"/>
  <c r="AT685" i="3"/>
  <c r="BC36" i="3"/>
  <c r="BD36" i="3" s="1"/>
  <c r="BC9" i="3"/>
  <c r="BG9" i="3" s="1"/>
  <c r="BH9" i="3" s="1"/>
  <c r="BI9" i="3" s="1"/>
  <c r="BC31" i="3"/>
  <c r="BG31" i="3" s="1"/>
  <c r="BH31" i="3" s="1"/>
  <c r="BI31" i="3" s="1"/>
  <c r="BC16" i="3"/>
  <c r="BG16" i="3" s="1"/>
  <c r="BH16" i="3" s="1"/>
  <c r="BI16" i="3" s="1"/>
  <c r="BC34" i="3"/>
  <c r="BD34" i="3" s="1"/>
  <c r="BG19" i="3"/>
  <c r="BH19" i="3" s="1"/>
  <c r="BI19" i="3" s="1"/>
  <c r="AT687" i="3"/>
  <c r="AV687" i="3" s="1"/>
  <c r="BB17" i="3"/>
  <c r="BC41" i="3"/>
  <c r="BG41" i="3" s="1"/>
  <c r="BH41" i="3" s="1"/>
  <c r="BI41" i="3" s="1"/>
  <c r="BF39" i="3"/>
  <c r="AH49" i="3"/>
  <c r="AX48" i="3"/>
  <c r="AU687" i="3"/>
  <c r="AN49" i="3"/>
  <c r="AU686" i="3"/>
  <c r="BC10" i="3"/>
  <c r="BG10" i="3" s="1"/>
  <c r="BH10" i="3" s="1"/>
  <c r="BI10" i="3" s="1"/>
  <c r="BQ39" i="3"/>
  <c r="BC32" i="3"/>
  <c r="BD32" i="3" s="1"/>
  <c r="BC35" i="3"/>
  <c r="BD35" i="3" s="1"/>
  <c r="AX684" i="3"/>
  <c r="AW687" i="3"/>
  <c r="AW685" i="3"/>
  <c r="BC28" i="3"/>
  <c r="BG28" i="3" s="1"/>
  <c r="BH28" i="3" s="1"/>
  <c r="BI28" i="3" s="1"/>
  <c r="BD26" i="3"/>
  <c r="BG26" i="3"/>
  <c r="BH26" i="3" s="1"/>
  <c r="BI26" i="3" s="1"/>
  <c r="BB22" i="3"/>
  <c r="BF22" i="3"/>
  <c r="BQ22" i="3"/>
  <c r="BC46" i="3"/>
  <c r="BB9" i="3"/>
  <c r="BF9" i="3"/>
  <c r="BQ9" i="3"/>
  <c r="BQ20" i="3"/>
  <c r="BB20" i="3"/>
  <c r="BF20" i="3"/>
  <c r="AW686" i="3"/>
  <c r="BG17" i="3"/>
  <c r="BH17" i="3" s="1"/>
  <c r="BI17" i="3" s="1"/>
  <c r="BF31" i="3"/>
  <c r="BB31" i="3"/>
  <c r="BQ31" i="3"/>
  <c r="BF35" i="3"/>
  <c r="BB35" i="3"/>
  <c r="BQ35" i="3"/>
  <c r="BQ14" i="3"/>
  <c r="BF14" i="3"/>
  <c r="BB14" i="3"/>
  <c r="BQ16" i="3"/>
  <c r="BF16" i="3"/>
  <c r="BB16" i="3"/>
  <c r="BF43" i="3"/>
  <c r="BB43" i="3"/>
  <c r="BQ43" i="3"/>
  <c r="BB28" i="3"/>
  <c r="BF28" i="3"/>
  <c r="BQ28" i="3"/>
  <c r="BQ45" i="3"/>
  <c r="BB45" i="3"/>
  <c r="BF45" i="3"/>
  <c r="BF11" i="3"/>
  <c r="BQ11" i="3"/>
  <c r="BB11" i="3"/>
  <c r="Y49" i="3"/>
  <c r="Z49" i="3" s="1"/>
  <c r="BD20" i="3"/>
  <c r="BG20" i="3"/>
  <c r="BH20" i="3" s="1"/>
  <c r="BI20" i="3" s="1"/>
  <c r="X49" i="3"/>
  <c r="BQ40" i="3"/>
  <c r="BF40" i="3"/>
  <c r="BB40" i="3"/>
  <c r="BB36" i="3"/>
  <c r="BQ36" i="3"/>
  <c r="BF36" i="3"/>
  <c r="BD23" i="3"/>
  <c r="BG23" i="3"/>
  <c r="BH23" i="3" s="1"/>
  <c r="BI23" i="3" s="1"/>
  <c r="BC24" i="3"/>
  <c r="BC42" i="3"/>
  <c r="AV47" i="3"/>
  <c r="BA47" i="3"/>
  <c r="BB23" i="3"/>
  <c r="BQ23" i="3"/>
  <c r="BF23" i="3"/>
  <c r="AU685" i="3"/>
  <c r="BC33" i="3"/>
  <c r="BB24" i="3"/>
  <c r="BQ24" i="3"/>
  <c r="BF24" i="3"/>
  <c r="AU48" i="3"/>
  <c r="BQ30" i="3"/>
  <c r="BF30" i="3"/>
  <c r="BB30" i="3"/>
  <c r="AX685" i="3"/>
  <c r="BF18" i="3"/>
  <c r="BJ17" i="3" s="1"/>
  <c r="BK17" i="3" s="1"/>
  <c r="BB18" i="3"/>
  <c r="BQ18" i="3"/>
  <c r="BF21" i="3"/>
  <c r="BQ21" i="3"/>
  <c r="BB21" i="3"/>
  <c r="BQ10" i="3"/>
  <c r="BB10" i="3"/>
  <c r="BF10" i="3"/>
  <c r="BF41" i="3"/>
  <c r="BQ41" i="3"/>
  <c r="BB41" i="3"/>
  <c r="BG683" i="3"/>
  <c r="BH683" i="3" s="1"/>
  <c r="BI683" i="3" s="1"/>
  <c r="BD683" i="3"/>
  <c r="BF683" i="3"/>
  <c r="BB683" i="3"/>
  <c r="BF38" i="3"/>
  <c r="BQ38" i="3"/>
  <c r="BB38" i="3"/>
  <c r="BB42" i="3"/>
  <c r="BQ42" i="3"/>
  <c r="BF42" i="3"/>
  <c r="AX686" i="3"/>
  <c r="BF29" i="3"/>
  <c r="BB29" i="3"/>
  <c r="BQ29" i="3"/>
  <c r="AT48" i="3"/>
  <c r="BF27" i="3"/>
  <c r="BB27" i="3"/>
  <c r="BQ27" i="3"/>
  <c r="BB682" i="3"/>
  <c r="BF682" i="3"/>
  <c r="BB33" i="3"/>
  <c r="BF33" i="3"/>
  <c r="BQ33" i="3"/>
  <c r="BD44" i="3"/>
  <c r="BG44" i="3"/>
  <c r="BH44" i="3" s="1"/>
  <c r="BI44" i="3" s="1"/>
  <c r="BC15" i="3"/>
  <c r="BB37" i="3"/>
  <c r="BF37" i="3"/>
  <c r="BQ37" i="3"/>
  <c r="BG30" i="3"/>
  <c r="BH30" i="3" s="1"/>
  <c r="BI30" i="3" s="1"/>
  <c r="BD30" i="3"/>
  <c r="AG49" i="3"/>
  <c r="B50" i="3"/>
  <c r="AQ50" i="3"/>
  <c r="AR50" i="3"/>
  <c r="A51" i="3"/>
  <c r="D50" i="3"/>
  <c r="C50" i="3"/>
  <c r="F50" i="3"/>
  <c r="G50" i="3"/>
  <c r="H50" i="3" s="1"/>
  <c r="Q50" i="3"/>
  <c r="S50" i="3"/>
  <c r="O50" i="3"/>
  <c r="U50" i="3"/>
  <c r="AK50" i="3"/>
  <c r="AE50" i="3"/>
  <c r="AM50" i="3"/>
  <c r="AD50" i="3"/>
  <c r="M50" i="3"/>
  <c r="AF50" i="3"/>
  <c r="V50" i="3"/>
  <c r="P50" i="3"/>
  <c r="R50" i="3"/>
  <c r="T50" i="3"/>
  <c r="BQ12" i="3"/>
  <c r="BF12" i="3"/>
  <c r="BB12" i="3"/>
  <c r="BQ19" i="3"/>
  <c r="BB19" i="3"/>
  <c r="BF19" i="3"/>
  <c r="BF34" i="3"/>
  <c r="BB34" i="3"/>
  <c r="BQ34" i="3"/>
  <c r="BC18" i="3"/>
  <c r="BB25" i="3"/>
  <c r="BF25" i="3"/>
  <c r="BQ25" i="3"/>
  <c r="BD11" i="3"/>
  <c r="BG11" i="3"/>
  <c r="BH11" i="3" s="1"/>
  <c r="BI11" i="3" s="1"/>
  <c r="AO49" i="3"/>
  <c r="AT684" i="3"/>
  <c r="AV684" i="3" s="1"/>
  <c r="AW684" i="3"/>
  <c r="BB46" i="3"/>
  <c r="BQ46" i="3"/>
  <c r="BF46" i="3"/>
  <c r="BD43" i="3"/>
  <c r="BG43" i="3"/>
  <c r="BH43" i="3" s="1"/>
  <c r="BI43" i="3" s="1"/>
  <c r="AT686" i="3"/>
  <c r="BD22" i="3"/>
  <c r="BG22" i="3"/>
  <c r="BH22" i="3" s="1"/>
  <c r="BI22" i="3" s="1"/>
  <c r="BC38" i="3"/>
  <c r="BF26" i="3"/>
  <c r="BQ26" i="3"/>
  <c r="BB26" i="3"/>
  <c r="BC21" i="3"/>
  <c r="AX687" i="3"/>
  <c r="BB13" i="3"/>
  <c r="BQ13" i="3"/>
  <c r="BF13" i="3"/>
  <c r="BD682" i="3"/>
  <c r="BG682" i="3"/>
  <c r="BH682" i="3" s="1"/>
  <c r="BI682" i="3" s="1"/>
  <c r="BB32" i="3"/>
  <c r="BQ32" i="3"/>
  <c r="BF32" i="3"/>
  <c r="BQ44" i="3"/>
  <c r="BB44" i="3"/>
  <c r="BF44" i="3"/>
  <c r="BF15" i="3"/>
  <c r="BQ15" i="3"/>
  <c r="BB15" i="3"/>
  <c r="BN49" i="3"/>
  <c r="BG34" i="3"/>
  <c r="BH34" i="3" s="1"/>
  <c r="BI34" i="3" s="1"/>
  <c r="AW48" i="3"/>
  <c r="BD9" i="3" l="1"/>
  <c r="BG12" i="3"/>
  <c r="BH12" i="3" s="1"/>
  <c r="BI12" i="3" s="1"/>
  <c r="BD31" i="3"/>
  <c r="AT49" i="3"/>
  <c r="BJ11" i="3"/>
  <c r="BK11" i="3" s="1"/>
  <c r="BD45" i="3"/>
  <c r="BC47" i="3"/>
  <c r="BD47" i="3" s="1"/>
  <c r="BD40" i="3"/>
  <c r="BG14" i="3"/>
  <c r="BH14" i="3" s="1"/>
  <c r="BI14" i="3" s="1"/>
  <c r="BD29" i="3"/>
  <c r="BG37" i="3"/>
  <c r="BH37" i="3" s="1"/>
  <c r="BI37" i="3" s="1"/>
  <c r="AY687" i="3"/>
  <c r="BD16" i="3"/>
  <c r="BG13" i="3"/>
  <c r="BH13" i="3" s="1"/>
  <c r="BI13" i="3" s="1"/>
  <c r="BD28" i="3"/>
  <c r="BN50" i="3"/>
  <c r="BG39" i="3"/>
  <c r="BH39" i="3" s="1"/>
  <c r="BI39" i="3" s="1"/>
  <c r="BG25" i="3"/>
  <c r="BH25" i="3" s="1"/>
  <c r="BI25" i="3" s="1"/>
  <c r="AY48" i="3"/>
  <c r="AY684" i="3"/>
  <c r="BJ45" i="3"/>
  <c r="BK45" i="3" s="1"/>
  <c r="BJ20" i="3"/>
  <c r="BK20" i="3" s="1"/>
  <c r="BJ43" i="3"/>
  <c r="BK43" i="3" s="1"/>
  <c r="BG36" i="3"/>
  <c r="BH36" i="3" s="1"/>
  <c r="BI36" i="3" s="1"/>
  <c r="BD27" i="3"/>
  <c r="BG27" i="3"/>
  <c r="BH27" i="3" s="1"/>
  <c r="BI27" i="3" s="1"/>
  <c r="AV685" i="3"/>
  <c r="BJ18" i="3"/>
  <c r="BK18" i="3" s="1"/>
  <c r="AU49" i="3"/>
  <c r="AV49" i="3" s="1"/>
  <c r="BJ38" i="3"/>
  <c r="BK38" i="3" s="1"/>
  <c r="BD41" i="3"/>
  <c r="BJ40" i="3"/>
  <c r="BK40" i="3" s="1"/>
  <c r="BG35" i="3"/>
  <c r="BH35" i="3" s="1"/>
  <c r="BI35" i="3" s="1"/>
  <c r="BJ39" i="3"/>
  <c r="BK39" i="3" s="1"/>
  <c r="BJ31" i="3"/>
  <c r="BK31" i="3" s="1"/>
  <c r="BJ24" i="3"/>
  <c r="BK24" i="3" s="1"/>
  <c r="AY685" i="3"/>
  <c r="BJ15" i="3"/>
  <c r="BK15" i="3" s="1"/>
  <c r="BJ21" i="3"/>
  <c r="BK21" i="3" s="1"/>
  <c r="BD10" i="3"/>
  <c r="AN50" i="3"/>
  <c r="BJ35" i="3"/>
  <c r="BK35" i="3" s="1"/>
  <c r="BJ29" i="3"/>
  <c r="BK29" i="3" s="1"/>
  <c r="BJ27" i="3"/>
  <c r="BK27" i="3" s="1"/>
  <c r="AX49" i="3"/>
  <c r="BA685" i="3"/>
  <c r="BF685" i="3" s="1"/>
  <c r="BG32" i="3"/>
  <c r="BH32" i="3" s="1"/>
  <c r="BI32" i="3" s="1"/>
  <c r="AH50" i="3"/>
  <c r="Y50" i="3"/>
  <c r="Z50" i="3" s="1"/>
  <c r="BJ33" i="3"/>
  <c r="BK33" i="3" s="1"/>
  <c r="BJ41" i="3"/>
  <c r="BK41" i="3" s="1"/>
  <c r="BJ36" i="3"/>
  <c r="BK36" i="3" s="1"/>
  <c r="BD33" i="3"/>
  <c r="BG33" i="3"/>
  <c r="BH33" i="3" s="1"/>
  <c r="BI33" i="3" s="1"/>
  <c r="BD15" i="3"/>
  <c r="BG15" i="3"/>
  <c r="BH15" i="3" s="1"/>
  <c r="BI15" i="3" s="1"/>
  <c r="BD42" i="3"/>
  <c r="BG42" i="3"/>
  <c r="BH42" i="3" s="1"/>
  <c r="BI42" i="3" s="1"/>
  <c r="BD38" i="3"/>
  <c r="BG38" i="3"/>
  <c r="BH38" i="3" s="1"/>
  <c r="BI38" i="3" s="1"/>
  <c r="X50" i="3"/>
  <c r="AQ51" i="3"/>
  <c r="AR51" i="3"/>
  <c r="B51" i="3"/>
  <c r="A52" i="3"/>
  <c r="C51" i="3"/>
  <c r="D51" i="3"/>
  <c r="F51" i="3"/>
  <c r="G51" i="3"/>
  <c r="H51" i="3" s="1"/>
  <c r="BN51" i="3" s="1"/>
  <c r="Q51" i="3"/>
  <c r="S51" i="3"/>
  <c r="O51" i="3"/>
  <c r="U51" i="3"/>
  <c r="AK51" i="3"/>
  <c r="AM51" i="3"/>
  <c r="AF51" i="3"/>
  <c r="AD51" i="3"/>
  <c r="M51" i="3"/>
  <c r="AE51" i="3"/>
  <c r="P51" i="3"/>
  <c r="R51" i="3"/>
  <c r="V51" i="3"/>
  <c r="T51" i="3"/>
  <c r="BJ28" i="3"/>
  <c r="BK28" i="3" s="1"/>
  <c r="BB47" i="3"/>
  <c r="BQ47" i="3"/>
  <c r="BF47" i="3"/>
  <c r="BJ46" i="3" s="1"/>
  <c r="BK46" i="3" s="1"/>
  <c r="BJ34" i="3"/>
  <c r="BK34" i="3" s="1"/>
  <c r="BJ26" i="3"/>
  <c r="BK26" i="3" s="1"/>
  <c r="BJ25" i="3"/>
  <c r="BK25" i="3" s="1"/>
  <c r="AV686" i="3"/>
  <c r="BA686" i="3"/>
  <c r="BJ30" i="3"/>
  <c r="BK30" i="3" s="1"/>
  <c r="BA687" i="3"/>
  <c r="AW49" i="3"/>
  <c r="BG21" i="3"/>
  <c r="BH21" i="3" s="1"/>
  <c r="BI21" i="3" s="1"/>
  <c r="BD21" i="3"/>
  <c r="BM50" i="3"/>
  <c r="AV48" i="3"/>
  <c r="BC48" i="3" s="1"/>
  <c r="BA48" i="3"/>
  <c r="BJ9" i="3"/>
  <c r="BG24" i="3"/>
  <c r="BH24" i="3" s="1"/>
  <c r="BI24" i="3" s="1"/>
  <c r="BD24" i="3"/>
  <c r="BJ10" i="3"/>
  <c r="BK10" i="3" s="1"/>
  <c r="BG46" i="3"/>
  <c r="BH46" i="3" s="1"/>
  <c r="BI46" i="3" s="1"/>
  <c r="BD46" i="3"/>
  <c r="BA684" i="3"/>
  <c r="BC687" i="3"/>
  <c r="BJ22" i="3"/>
  <c r="BK22" i="3" s="1"/>
  <c r="BJ23" i="3"/>
  <c r="BK23" i="3" s="1"/>
  <c r="AG50" i="3"/>
  <c r="BJ32" i="3"/>
  <c r="BK32" i="3" s="1"/>
  <c r="BJ44" i="3"/>
  <c r="BK44" i="3" s="1"/>
  <c r="AY686" i="3"/>
  <c r="BC684" i="3"/>
  <c r="BJ16" i="3"/>
  <c r="BK16" i="3" s="1"/>
  <c r="BJ14" i="3"/>
  <c r="BK14" i="3" s="1"/>
  <c r="BJ13" i="3"/>
  <c r="BK13" i="3" s="1"/>
  <c r="BJ12" i="3"/>
  <c r="BK12" i="3" s="1"/>
  <c r="BD18" i="3"/>
  <c r="BG18" i="3"/>
  <c r="BH18" i="3" s="1"/>
  <c r="BI18" i="3" s="1"/>
  <c r="AO50" i="3"/>
  <c r="BJ37" i="3"/>
  <c r="BK37" i="3" s="1"/>
  <c r="BJ42" i="3"/>
  <c r="BK42" i="3" s="1"/>
  <c r="BJ19" i="3"/>
  <c r="BK19" i="3" s="1"/>
  <c r="BG47" i="3" l="1"/>
  <c r="BH47" i="3" s="1"/>
  <c r="BI47" i="3" s="1"/>
  <c r="BM51" i="3"/>
  <c r="AN51" i="3"/>
  <c r="BC685" i="3"/>
  <c r="BG685" i="3" s="1"/>
  <c r="BH685" i="3" s="1"/>
  <c r="BI685" i="3" s="1"/>
  <c r="BB685" i="3"/>
  <c r="AY49" i="3"/>
  <c r="AX50" i="3"/>
  <c r="AH51" i="3"/>
  <c r="AW50" i="3"/>
  <c r="BA49" i="3"/>
  <c r="BQ49" i="3" s="1"/>
  <c r="BF684" i="3"/>
  <c r="BB684" i="3"/>
  <c r="BD48" i="3"/>
  <c r="BG48" i="3"/>
  <c r="BH48" i="3" s="1"/>
  <c r="BI48" i="3" s="1"/>
  <c r="AG51" i="3"/>
  <c r="BB687" i="3"/>
  <c r="BF687" i="3"/>
  <c r="Y51" i="3"/>
  <c r="Z51" i="3" s="1"/>
  <c r="AO51" i="3"/>
  <c r="AT50" i="3"/>
  <c r="AU50" i="3"/>
  <c r="BD684" i="3"/>
  <c r="BG684" i="3"/>
  <c r="BH684" i="3" s="1"/>
  <c r="BI684" i="3" s="1"/>
  <c r="BK9" i="3"/>
  <c r="X51" i="3"/>
  <c r="B52" i="3"/>
  <c r="AR52" i="3"/>
  <c r="A53" i="3"/>
  <c r="AQ52" i="3"/>
  <c r="C52" i="3"/>
  <c r="D52" i="3"/>
  <c r="G52" i="3"/>
  <c r="H52" i="3" s="1"/>
  <c r="BN52" i="3" s="1"/>
  <c r="F52" i="3"/>
  <c r="S52" i="3"/>
  <c r="Q52" i="3"/>
  <c r="O52" i="3"/>
  <c r="U52" i="3"/>
  <c r="M52" i="3"/>
  <c r="AK52" i="3"/>
  <c r="AM52" i="3"/>
  <c r="AF52" i="3"/>
  <c r="AD52" i="3"/>
  <c r="AE52" i="3"/>
  <c r="V52" i="3"/>
  <c r="P52" i="3"/>
  <c r="R52" i="3"/>
  <c r="T52" i="3"/>
  <c r="BB686" i="3"/>
  <c r="BF686" i="3"/>
  <c r="BC686" i="3"/>
  <c r="BD687" i="3"/>
  <c r="BG687" i="3"/>
  <c r="BH687" i="3" s="1"/>
  <c r="BI687" i="3" s="1"/>
  <c r="BQ48" i="3"/>
  <c r="BB48" i="3"/>
  <c r="BF48" i="3"/>
  <c r="BJ47" i="3" s="1"/>
  <c r="BK47" i="3" s="1"/>
  <c r="BC49" i="3"/>
  <c r="AY50" i="3" l="1"/>
  <c r="AU51" i="3"/>
  <c r="BM52" i="3"/>
  <c r="BD685" i="3"/>
  <c r="AH52" i="3"/>
  <c r="AT52" i="3" s="1"/>
  <c r="AN52" i="3"/>
  <c r="BF49" i="3"/>
  <c r="BJ48" i="3" s="1"/>
  <c r="BK48" i="3" s="1"/>
  <c r="BB49" i="3"/>
  <c r="BD686" i="3"/>
  <c r="BG686" i="3"/>
  <c r="BH686" i="3" s="1"/>
  <c r="BI686" i="3" s="1"/>
  <c r="AG52" i="3"/>
  <c r="AW51" i="3"/>
  <c r="BD49" i="3"/>
  <c r="BG49" i="3"/>
  <c r="BH49" i="3" s="1"/>
  <c r="BI49" i="3" s="1"/>
  <c r="AV50" i="3"/>
  <c r="BC50" i="3" s="1"/>
  <c r="BA50" i="3"/>
  <c r="AO52" i="3"/>
  <c r="AX51" i="3"/>
  <c r="X52" i="3"/>
  <c r="Y52" i="3"/>
  <c r="Z52" i="3" s="1"/>
  <c r="D53" i="3"/>
  <c r="AR53" i="3"/>
  <c r="A54" i="3"/>
  <c r="B53" i="3"/>
  <c r="AQ53" i="3"/>
  <c r="C53" i="3"/>
  <c r="G53" i="3"/>
  <c r="H53" i="3" s="1"/>
  <c r="F53" i="3"/>
  <c r="S53" i="3"/>
  <c r="Q53" i="3"/>
  <c r="O53" i="3"/>
  <c r="U53" i="3"/>
  <c r="AM53" i="3"/>
  <c r="AK53" i="3"/>
  <c r="AD53" i="3"/>
  <c r="AE53" i="3"/>
  <c r="AF53" i="3"/>
  <c r="M53" i="3"/>
  <c r="V53" i="3"/>
  <c r="T53" i="3"/>
  <c r="R53" i="3"/>
  <c r="P53" i="3"/>
  <c r="AT51" i="3"/>
  <c r="AU52" i="3" l="1"/>
  <c r="AX52" i="3"/>
  <c r="AO53" i="3"/>
  <c r="AY51" i="3"/>
  <c r="AQ54" i="3"/>
  <c r="B54" i="3"/>
  <c r="A55" i="3"/>
  <c r="AR54" i="3"/>
  <c r="D54" i="3"/>
  <c r="C54" i="3"/>
  <c r="F54" i="3"/>
  <c r="BM54" i="3" s="1"/>
  <c r="G54" i="3"/>
  <c r="H54" i="3" s="1"/>
  <c r="Q54" i="3"/>
  <c r="S54" i="3"/>
  <c r="O54" i="3"/>
  <c r="U54" i="3"/>
  <c r="AK54" i="3"/>
  <c r="M54" i="3"/>
  <c r="AM54" i="3"/>
  <c r="AF54" i="3"/>
  <c r="AD54" i="3"/>
  <c r="AE54" i="3"/>
  <c r="AG54" i="3" s="1"/>
  <c r="V54" i="3"/>
  <c r="T54" i="3"/>
  <c r="P54" i="3"/>
  <c r="R54" i="3"/>
  <c r="AV52" i="3"/>
  <c r="AW52" i="3"/>
  <c r="BA52" i="3" s="1"/>
  <c r="AG53" i="3"/>
  <c r="BM53" i="3"/>
  <c r="BF50" i="3"/>
  <c r="BJ49" i="3" s="1"/>
  <c r="BB50" i="3"/>
  <c r="BQ50" i="3"/>
  <c r="AN53" i="3"/>
  <c r="X53" i="3"/>
  <c r="Y53" i="3"/>
  <c r="Z53" i="3" s="1"/>
  <c r="AV51" i="3"/>
  <c r="BC51" i="3" s="1"/>
  <c r="BA51" i="3"/>
  <c r="AH53" i="3"/>
  <c r="BN53" i="3"/>
  <c r="BD50" i="3"/>
  <c r="BG50" i="3"/>
  <c r="BH50" i="3" s="1"/>
  <c r="BI50" i="3" s="1"/>
  <c r="AY52" i="3" l="1"/>
  <c r="AX53" i="3"/>
  <c r="AN54" i="3"/>
  <c r="BK49" i="3"/>
  <c r="AW53" i="3"/>
  <c r="AY53" i="3" s="1"/>
  <c r="AT53" i="3"/>
  <c r="BQ52" i="3"/>
  <c r="BB52" i="3"/>
  <c r="BF52" i="3"/>
  <c r="AO54" i="3"/>
  <c r="X54" i="3"/>
  <c r="AH54" i="3"/>
  <c r="AU54" i="3"/>
  <c r="BF51" i="3"/>
  <c r="BJ50" i="3" s="1"/>
  <c r="BK50" i="3" s="1"/>
  <c r="BB51" i="3"/>
  <c r="BQ51" i="3"/>
  <c r="BD51" i="3"/>
  <c r="BG51" i="3"/>
  <c r="BH51" i="3" s="1"/>
  <c r="BI51" i="3" s="1"/>
  <c r="Y54" i="3"/>
  <c r="Z54" i="3" s="1"/>
  <c r="B55" i="3"/>
  <c r="A56" i="3"/>
  <c r="AR55" i="3"/>
  <c r="AQ55" i="3"/>
  <c r="C55" i="3"/>
  <c r="D55" i="3"/>
  <c r="G55" i="3"/>
  <c r="H55" i="3" s="1"/>
  <c r="BN55" i="3" s="1"/>
  <c r="F55" i="3"/>
  <c r="Q55" i="3"/>
  <c r="S55" i="3"/>
  <c r="O55" i="3"/>
  <c r="U55" i="3"/>
  <c r="AE55" i="3"/>
  <c r="M55" i="3"/>
  <c r="AM55" i="3"/>
  <c r="AF55" i="3"/>
  <c r="AK55" i="3"/>
  <c r="AD55" i="3"/>
  <c r="P55" i="3"/>
  <c r="V55" i="3"/>
  <c r="R55" i="3"/>
  <c r="T55" i="3"/>
  <c r="BC52" i="3"/>
  <c r="BN54" i="3"/>
  <c r="AU53" i="3"/>
  <c r="BM55" i="3" l="1"/>
  <c r="AW54" i="3"/>
  <c r="Y55" i="3"/>
  <c r="Z55" i="3" s="1"/>
  <c r="AX54" i="3"/>
  <c r="AY54" i="3" s="1"/>
  <c r="AO55" i="3"/>
  <c r="X55" i="3"/>
  <c r="AT54" i="3"/>
  <c r="AR56" i="3"/>
  <c r="B56" i="3"/>
  <c r="AQ56" i="3"/>
  <c r="A57" i="3"/>
  <c r="C56" i="3"/>
  <c r="D56" i="3"/>
  <c r="G56" i="3"/>
  <c r="H56" i="3" s="1"/>
  <c r="BN56" i="3" s="1"/>
  <c r="F56" i="3"/>
  <c r="Q56" i="3"/>
  <c r="S56" i="3"/>
  <c r="O56" i="3"/>
  <c r="U56" i="3"/>
  <c r="AF56" i="3"/>
  <c r="M56" i="3"/>
  <c r="AD56" i="3"/>
  <c r="AM56" i="3"/>
  <c r="AK56" i="3"/>
  <c r="AO56" i="3" s="1"/>
  <c r="AE56" i="3"/>
  <c r="V56" i="3"/>
  <c r="P56" i="3"/>
  <c r="R56" i="3"/>
  <c r="T56" i="3"/>
  <c r="AV53" i="3"/>
  <c r="BC53" i="3" s="1"/>
  <c r="BA53" i="3"/>
  <c r="AH55" i="3"/>
  <c r="AN55" i="3"/>
  <c r="BD52" i="3"/>
  <c r="BG52" i="3"/>
  <c r="BH52" i="3" s="1"/>
  <c r="BI52" i="3" s="1"/>
  <c r="AG55" i="3"/>
  <c r="BJ51" i="3"/>
  <c r="BK51" i="3" s="1"/>
  <c r="AH56" i="3" l="1"/>
  <c r="X56" i="3"/>
  <c r="B57" i="3"/>
  <c r="A58" i="3"/>
  <c r="AR57" i="3"/>
  <c r="AQ57" i="3"/>
  <c r="C57" i="3"/>
  <c r="D57" i="3"/>
  <c r="G57" i="3"/>
  <c r="H57" i="3" s="1"/>
  <c r="F57" i="3"/>
  <c r="Q57" i="3"/>
  <c r="S57" i="3"/>
  <c r="O57" i="3"/>
  <c r="U57" i="3"/>
  <c r="AK57" i="3"/>
  <c r="AM57" i="3"/>
  <c r="AN57" i="3" s="1"/>
  <c r="M57" i="3"/>
  <c r="AD57" i="3"/>
  <c r="AE57" i="3"/>
  <c r="AF57" i="3"/>
  <c r="AH57" i="3" s="1"/>
  <c r="P57" i="3"/>
  <c r="T57" i="3"/>
  <c r="V57" i="3"/>
  <c r="R57" i="3"/>
  <c r="AX55" i="3"/>
  <c r="BB53" i="3"/>
  <c r="BQ53" i="3"/>
  <c r="BF53" i="3"/>
  <c r="BJ52" i="3" s="1"/>
  <c r="BM56" i="3"/>
  <c r="BA54" i="3"/>
  <c r="AV54" i="3"/>
  <c r="BC54" i="3" s="1"/>
  <c r="Y56" i="3"/>
  <c r="Z56" i="3" s="1"/>
  <c r="AG56" i="3"/>
  <c r="AT55" i="3"/>
  <c r="AW55" i="3"/>
  <c r="AU55" i="3"/>
  <c r="AV55" i="3" s="1"/>
  <c r="AN56" i="3"/>
  <c r="AX56" i="3" s="1"/>
  <c r="BD53" i="3"/>
  <c r="BG53" i="3"/>
  <c r="BH53" i="3" s="1"/>
  <c r="BI53" i="3" s="1"/>
  <c r="BN57" i="3" l="1"/>
  <c r="AW56" i="3"/>
  <c r="BD54" i="3"/>
  <c r="BG54" i="3"/>
  <c r="BH54" i="3" s="1"/>
  <c r="BI54" i="3" s="1"/>
  <c r="X57" i="3"/>
  <c r="BF54" i="3"/>
  <c r="BQ54" i="3"/>
  <c r="BB54" i="3"/>
  <c r="AQ58" i="3"/>
  <c r="A59" i="3"/>
  <c r="AR58" i="3"/>
  <c r="B58" i="3"/>
  <c r="D58" i="3"/>
  <c r="C58" i="3"/>
  <c r="G58" i="3"/>
  <c r="H58" i="3" s="1"/>
  <c r="BN58" i="3" s="1"/>
  <c r="F58" i="3"/>
  <c r="Q58" i="3"/>
  <c r="S58" i="3"/>
  <c r="O58" i="3"/>
  <c r="U58" i="3"/>
  <c r="AE58" i="3"/>
  <c r="AK58" i="3"/>
  <c r="AM58" i="3"/>
  <c r="M58" i="3"/>
  <c r="AF58" i="3"/>
  <c r="AD58" i="3"/>
  <c r="V58" i="3"/>
  <c r="R58" i="3"/>
  <c r="P58" i="3"/>
  <c r="T58" i="3"/>
  <c r="Y57" i="3"/>
  <c r="Z57" i="3" s="1"/>
  <c r="AU56" i="3"/>
  <c r="BK52" i="3"/>
  <c r="AG57" i="3"/>
  <c r="AT57" i="3" s="1"/>
  <c r="AY56" i="3"/>
  <c r="AO57" i="3"/>
  <c r="AU57" i="3"/>
  <c r="AY55" i="3"/>
  <c r="BC55" i="3" s="1"/>
  <c r="BA55" i="3"/>
  <c r="AT56" i="3"/>
  <c r="BM57" i="3"/>
  <c r="BM58" i="3" l="1"/>
  <c r="AX57" i="3"/>
  <c r="AN58" i="3"/>
  <c r="BD55" i="3"/>
  <c r="BG55" i="3"/>
  <c r="BH55" i="3" s="1"/>
  <c r="BI55" i="3" s="1"/>
  <c r="AV57" i="3"/>
  <c r="AG58" i="3"/>
  <c r="BJ53" i="3"/>
  <c r="BK53" i="3" s="1"/>
  <c r="X58" i="3"/>
  <c r="Y58" i="3"/>
  <c r="Z58" i="3" s="1"/>
  <c r="AW57" i="3"/>
  <c r="AY57" i="3" s="1"/>
  <c r="BA56" i="3"/>
  <c r="AV56" i="3"/>
  <c r="BC56" i="3" s="1"/>
  <c r="AO58" i="3"/>
  <c r="BF55" i="3"/>
  <c r="BJ54" i="3" s="1"/>
  <c r="BK54" i="3" s="1"/>
  <c r="BB55" i="3"/>
  <c r="BQ55" i="3"/>
  <c r="AH58" i="3"/>
  <c r="B59" i="3"/>
  <c r="AQ59" i="3"/>
  <c r="AR59" i="3"/>
  <c r="A60" i="3"/>
  <c r="C59" i="3"/>
  <c r="D59" i="3"/>
  <c r="G59" i="3"/>
  <c r="H59" i="3" s="1"/>
  <c r="F59" i="3"/>
  <c r="Q59" i="3"/>
  <c r="S59" i="3"/>
  <c r="O59" i="3"/>
  <c r="U59" i="3"/>
  <c r="AD59" i="3"/>
  <c r="AK59" i="3"/>
  <c r="M59" i="3"/>
  <c r="AM59" i="3"/>
  <c r="AF59" i="3"/>
  <c r="AE59" i="3"/>
  <c r="P59" i="3"/>
  <c r="T59" i="3"/>
  <c r="V59" i="3"/>
  <c r="R59" i="3"/>
  <c r="BM59" i="3" l="1"/>
  <c r="AN59" i="3"/>
  <c r="BN59" i="3"/>
  <c r="AT58" i="3"/>
  <c r="AW58" i="3"/>
  <c r="AG59" i="3"/>
  <c r="BQ56" i="3"/>
  <c r="BF56" i="3"/>
  <c r="BJ55" i="3" s="1"/>
  <c r="BK55" i="3" s="1"/>
  <c r="BB56" i="3"/>
  <c r="BA57" i="3"/>
  <c r="Y59" i="3"/>
  <c r="Z59" i="3" s="1"/>
  <c r="AX58" i="3"/>
  <c r="BC57" i="3"/>
  <c r="AH59" i="3"/>
  <c r="BD56" i="3"/>
  <c r="BG56" i="3"/>
  <c r="BH56" i="3" s="1"/>
  <c r="BI56" i="3" s="1"/>
  <c r="AO59" i="3"/>
  <c r="X59" i="3"/>
  <c r="AR60" i="3"/>
  <c r="B60" i="3"/>
  <c r="AQ60" i="3"/>
  <c r="A61" i="3"/>
  <c r="D60" i="3"/>
  <c r="C60" i="3"/>
  <c r="F60" i="3"/>
  <c r="G60" i="3"/>
  <c r="H60" i="3" s="1"/>
  <c r="Q60" i="3"/>
  <c r="S60" i="3"/>
  <c r="O60" i="3"/>
  <c r="U60" i="3"/>
  <c r="AF60" i="3"/>
  <c r="M60" i="3"/>
  <c r="AE60" i="3"/>
  <c r="AM60" i="3"/>
  <c r="AK60" i="3"/>
  <c r="AO60" i="3" s="1"/>
  <c r="AD60" i="3"/>
  <c r="V60" i="3"/>
  <c r="T60" i="3"/>
  <c r="P60" i="3"/>
  <c r="R60" i="3"/>
  <c r="AU58" i="3"/>
  <c r="BM60" i="3" l="1"/>
  <c r="AW59" i="3"/>
  <c r="AY58" i="3"/>
  <c r="BA58" i="3"/>
  <c r="BQ58" i="3" s="1"/>
  <c r="X60" i="3"/>
  <c r="AX59" i="3"/>
  <c r="AY59" i="3" s="1"/>
  <c r="BF57" i="3"/>
  <c r="BJ56" i="3" s="1"/>
  <c r="BK56" i="3" s="1"/>
  <c r="BQ57" i="3"/>
  <c r="BB57" i="3"/>
  <c r="Y60" i="3"/>
  <c r="Z60" i="3" s="1"/>
  <c r="AH60" i="3"/>
  <c r="BN60" i="3"/>
  <c r="AT59" i="3"/>
  <c r="BD57" i="3"/>
  <c r="BG57" i="3"/>
  <c r="BH57" i="3" s="1"/>
  <c r="BI57" i="3" s="1"/>
  <c r="AG60" i="3"/>
  <c r="AU59" i="3"/>
  <c r="AV58" i="3"/>
  <c r="D61" i="3"/>
  <c r="B61" i="3"/>
  <c r="AQ61" i="3"/>
  <c r="AR61" i="3"/>
  <c r="A62" i="3"/>
  <c r="C61" i="3"/>
  <c r="F61" i="3"/>
  <c r="G61" i="3"/>
  <c r="H61" i="3" s="1"/>
  <c r="Q61" i="3"/>
  <c r="S61" i="3"/>
  <c r="O61" i="3"/>
  <c r="U61" i="3"/>
  <c r="AM61" i="3"/>
  <c r="M61" i="3"/>
  <c r="AK61" i="3"/>
  <c r="AD61" i="3"/>
  <c r="AE61" i="3"/>
  <c r="AF61" i="3"/>
  <c r="V61" i="3"/>
  <c r="P61" i="3"/>
  <c r="R61" i="3"/>
  <c r="T61" i="3"/>
  <c r="AN60" i="3"/>
  <c r="BC58" i="3" l="1"/>
  <c r="BF58" i="3"/>
  <c r="AN61" i="3"/>
  <c r="BB58" i="3"/>
  <c r="AX60" i="3"/>
  <c r="AW60" i="3"/>
  <c r="AY60" i="3" s="1"/>
  <c r="X61" i="3"/>
  <c r="AG61" i="3"/>
  <c r="B62" i="3"/>
  <c r="A63" i="3"/>
  <c r="AR62" i="3"/>
  <c r="AQ62" i="3"/>
  <c r="D62" i="3"/>
  <c r="C62" i="3"/>
  <c r="G62" i="3"/>
  <c r="H62" i="3" s="1"/>
  <c r="BN62" i="3" s="1"/>
  <c r="F62" i="3"/>
  <c r="BM62" i="3" s="1"/>
  <c r="Q62" i="3"/>
  <c r="S62" i="3"/>
  <c r="O62" i="3"/>
  <c r="U62" i="3"/>
  <c r="AK62" i="3"/>
  <c r="AM62" i="3"/>
  <c r="AN62" i="3" s="1"/>
  <c r="AD62" i="3"/>
  <c r="AE62" i="3"/>
  <c r="AF62" i="3"/>
  <c r="M62" i="3"/>
  <c r="V62" i="3"/>
  <c r="P62" i="3"/>
  <c r="R62" i="3"/>
  <c r="T62" i="3"/>
  <c r="Y61" i="3"/>
  <c r="Z61" i="3" s="1"/>
  <c r="AH61" i="3"/>
  <c r="AX61" i="3" s="1"/>
  <c r="BN61" i="3"/>
  <c r="AV59" i="3"/>
  <c r="BC59" i="3" s="1"/>
  <c r="BA59" i="3"/>
  <c r="AT60" i="3"/>
  <c r="AU60" i="3"/>
  <c r="AO61" i="3"/>
  <c r="BM61" i="3"/>
  <c r="BD58" i="3"/>
  <c r="BG58" i="3"/>
  <c r="BH58" i="3" s="1"/>
  <c r="BI58" i="3" s="1"/>
  <c r="BJ57" i="3"/>
  <c r="BK57" i="3" s="1"/>
  <c r="X62" i="3" l="1"/>
  <c r="BQ59" i="3"/>
  <c r="BB59" i="3"/>
  <c r="BF59" i="3"/>
  <c r="BJ58" i="3" s="1"/>
  <c r="BK58" i="3" s="1"/>
  <c r="BD59" i="3"/>
  <c r="BG59" i="3"/>
  <c r="BH59" i="3" s="1"/>
  <c r="BI59" i="3" s="1"/>
  <c r="B63" i="3"/>
  <c r="A64" i="3"/>
  <c r="AR63" i="3"/>
  <c r="AQ63" i="3"/>
  <c r="D63" i="3"/>
  <c r="C63" i="3"/>
  <c r="F63" i="3"/>
  <c r="G63" i="3"/>
  <c r="H63" i="3" s="1"/>
  <c r="BN63" i="3" s="1"/>
  <c r="S63" i="3"/>
  <c r="Q63" i="3"/>
  <c r="O63" i="3"/>
  <c r="U63" i="3"/>
  <c r="AK63" i="3"/>
  <c r="AM63" i="3"/>
  <c r="AN63" i="3" s="1"/>
  <c r="AE63" i="3"/>
  <c r="AF63" i="3"/>
  <c r="M63" i="3"/>
  <c r="AD63" i="3"/>
  <c r="AH63" i="3" s="1"/>
  <c r="V63" i="3"/>
  <c r="P63" i="3"/>
  <c r="R63" i="3"/>
  <c r="T63" i="3"/>
  <c r="AW61" i="3"/>
  <c r="AY61" i="3" s="1"/>
  <c r="Y62" i="3"/>
  <c r="Z62" i="3" s="1"/>
  <c r="AT61" i="3"/>
  <c r="AG62" i="3"/>
  <c r="AH62" i="3"/>
  <c r="BA60" i="3"/>
  <c r="AV60" i="3"/>
  <c r="BC60" i="3" s="1"/>
  <c r="AU61" i="3"/>
  <c r="AO62" i="3"/>
  <c r="BM63" i="3" l="1"/>
  <c r="AT62" i="3"/>
  <c r="AQ64" i="3"/>
  <c r="B64" i="3"/>
  <c r="A65" i="3"/>
  <c r="AR64" i="3"/>
  <c r="D64" i="3"/>
  <c r="C64" i="3"/>
  <c r="F64" i="3"/>
  <c r="G64" i="3"/>
  <c r="H64" i="3" s="1"/>
  <c r="Q64" i="3"/>
  <c r="S64" i="3"/>
  <c r="O64" i="3"/>
  <c r="U64" i="3"/>
  <c r="AK64" i="3"/>
  <c r="AM64" i="3"/>
  <c r="AN64" i="3" s="1"/>
  <c r="AF64" i="3"/>
  <c r="AD64" i="3"/>
  <c r="AE64" i="3"/>
  <c r="M64" i="3"/>
  <c r="R64" i="3"/>
  <c r="V64" i="3"/>
  <c r="T64" i="3"/>
  <c r="P64" i="3"/>
  <c r="AO63" i="3"/>
  <c r="X63" i="3"/>
  <c r="AV61" i="3"/>
  <c r="BC61" i="3" s="1"/>
  <c r="BA61" i="3"/>
  <c r="AG63" i="3"/>
  <c r="BD60" i="3"/>
  <c r="BG60" i="3"/>
  <c r="BH60" i="3" s="1"/>
  <c r="BI60" i="3" s="1"/>
  <c r="BQ60" i="3"/>
  <c r="BF60" i="3"/>
  <c r="BJ59" i="3" s="1"/>
  <c r="BK59" i="3" s="1"/>
  <c r="BB60" i="3"/>
  <c r="AX62" i="3"/>
  <c r="AW62" i="3"/>
  <c r="Y63" i="3"/>
  <c r="Z63" i="3" s="1"/>
  <c r="AU62" i="3"/>
  <c r="AV62" i="3" s="1"/>
  <c r="BM64" i="3" l="1"/>
  <c r="AY62" i="3"/>
  <c r="AW63" i="3"/>
  <c r="BF61" i="3"/>
  <c r="BJ60" i="3" s="1"/>
  <c r="BK60" i="3" s="1"/>
  <c r="BQ61" i="3"/>
  <c r="BB61" i="3"/>
  <c r="AU63" i="3"/>
  <c r="BD61" i="3"/>
  <c r="BG61" i="3"/>
  <c r="BH61" i="3" s="1"/>
  <c r="BI61" i="3" s="1"/>
  <c r="BA62" i="3"/>
  <c r="Y64" i="3"/>
  <c r="Z64" i="3" s="1"/>
  <c r="X64" i="3"/>
  <c r="BC62" i="3"/>
  <c r="AG64" i="3"/>
  <c r="AO64" i="3"/>
  <c r="B65" i="3"/>
  <c r="A66" i="3"/>
  <c r="AR65" i="3"/>
  <c r="AQ65" i="3"/>
  <c r="D65" i="3"/>
  <c r="C65" i="3"/>
  <c r="F65" i="3"/>
  <c r="BM65" i="3" s="1"/>
  <c r="G65" i="3"/>
  <c r="H65" i="3" s="1"/>
  <c r="BN65" i="3" s="1"/>
  <c r="S65" i="3"/>
  <c r="Q65" i="3"/>
  <c r="O65" i="3"/>
  <c r="U65" i="3"/>
  <c r="AK65" i="3"/>
  <c r="AD65" i="3"/>
  <c r="AF65" i="3"/>
  <c r="AM65" i="3"/>
  <c r="AN65" i="3" s="1"/>
  <c r="AE65" i="3"/>
  <c r="AG65" i="3" s="1"/>
  <c r="M65" i="3"/>
  <c r="P65" i="3"/>
  <c r="V65" i="3"/>
  <c r="R65" i="3"/>
  <c r="T65" i="3"/>
  <c r="AT63" i="3"/>
  <c r="AH64" i="3"/>
  <c r="AX64" i="3" s="1"/>
  <c r="BN64" i="3"/>
  <c r="AX63" i="3"/>
  <c r="AY63" i="3" l="1"/>
  <c r="BQ62" i="3"/>
  <c r="BF62" i="3"/>
  <c r="BJ61" i="3" s="1"/>
  <c r="BK61" i="3" s="1"/>
  <c r="BB62" i="3"/>
  <c r="B66" i="3"/>
  <c r="A67" i="3"/>
  <c r="AR66" i="3"/>
  <c r="AQ66" i="3"/>
  <c r="C66" i="3"/>
  <c r="D66" i="3"/>
  <c r="F66" i="3"/>
  <c r="G66" i="3"/>
  <c r="H66" i="3" s="1"/>
  <c r="BN66" i="3" s="1"/>
  <c r="Q66" i="3"/>
  <c r="S66" i="3"/>
  <c r="O66" i="3"/>
  <c r="U66" i="3"/>
  <c r="AM66" i="3"/>
  <c r="AF66" i="3"/>
  <c r="AD66" i="3"/>
  <c r="AK66" i="3"/>
  <c r="AE66" i="3"/>
  <c r="AG66" i="3" s="1"/>
  <c r="M66" i="3"/>
  <c r="T66" i="3"/>
  <c r="V66" i="3"/>
  <c r="P66" i="3"/>
  <c r="R66" i="3"/>
  <c r="AH65" i="3"/>
  <c r="AT65" i="3" s="1"/>
  <c r="AW64" i="3"/>
  <c r="AY64" i="3" s="1"/>
  <c r="AV63" i="3"/>
  <c r="BC63" i="3" s="1"/>
  <c r="BA63" i="3"/>
  <c r="AO65" i="3"/>
  <c r="Y65" i="3"/>
  <c r="Z65" i="3" s="1"/>
  <c r="BD62" i="3"/>
  <c r="BG62" i="3"/>
  <c r="BH62" i="3" s="1"/>
  <c r="BI62" i="3" s="1"/>
  <c r="AT64" i="3"/>
  <c r="X65" i="3"/>
  <c r="AU64" i="3"/>
  <c r="AN66" i="3" l="1"/>
  <c r="AU65" i="3"/>
  <c r="AW65" i="3"/>
  <c r="Y66" i="3"/>
  <c r="Z66" i="3" s="1"/>
  <c r="AO66" i="3"/>
  <c r="AV65" i="3"/>
  <c r="X66" i="3"/>
  <c r="B67" i="3"/>
  <c r="A68" i="3"/>
  <c r="AQ67" i="3"/>
  <c r="AR67" i="3"/>
  <c r="C67" i="3"/>
  <c r="D67" i="3"/>
  <c r="F67" i="3"/>
  <c r="BM67" i="3" s="1"/>
  <c r="G67" i="3"/>
  <c r="H67" i="3" s="1"/>
  <c r="BN67" i="3" s="1"/>
  <c r="Q67" i="3"/>
  <c r="S67" i="3"/>
  <c r="O67" i="3"/>
  <c r="U67" i="3"/>
  <c r="AD67" i="3"/>
  <c r="AF67" i="3"/>
  <c r="AM67" i="3"/>
  <c r="AK67" i="3"/>
  <c r="AE67" i="3"/>
  <c r="M67" i="3"/>
  <c r="V67" i="3"/>
  <c r="R67" i="3"/>
  <c r="P67" i="3"/>
  <c r="T67" i="3"/>
  <c r="BD63" i="3"/>
  <c r="BG63" i="3"/>
  <c r="BH63" i="3" s="1"/>
  <c r="BI63" i="3" s="1"/>
  <c r="BM66" i="3"/>
  <c r="BQ63" i="3"/>
  <c r="BB63" i="3"/>
  <c r="BF63" i="3"/>
  <c r="BJ62" i="3" s="1"/>
  <c r="BK62" i="3" s="1"/>
  <c r="AV64" i="3"/>
  <c r="BC64" i="3" s="1"/>
  <c r="BA64" i="3"/>
  <c r="AX65" i="3"/>
  <c r="AY65" i="3" s="1"/>
  <c r="AH66" i="3"/>
  <c r="AU66" i="3" s="1"/>
  <c r="AT66" i="3" l="1"/>
  <c r="AO67" i="3"/>
  <c r="AH67" i="3"/>
  <c r="AW66" i="3"/>
  <c r="BQ64" i="3"/>
  <c r="BB64" i="3"/>
  <c r="BF64" i="3"/>
  <c r="BJ63" i="3" s="1"/>
  <c r="BK63" i="3" s="1"/>
  <c r="AN67" i="3"/>
  <c r="BG64" i="3"/>
  <c r="BH64" i="3" s="1"/>
  <c r="BI64" i="3" s="1"/>
  <c r="BD64" i="3"/>
  <c r="BA65" i="3"/>
  <c r="X67" i="3"/>
  <c r="AR68" i="3"/>
  <c r="B68" i="3"/>
  <c r="A69" i="3"/>
  <c r="AQ68" i="3"/>
  <c r="D68" i="3"/>
  <c r="C68" i="3"/>
  <c r="G68" i="3"/>
  <c r="H68" i="3" s="1"/>
  <c r="F68" i="3"/>
  <c r="Q68" i="3"/>
  <c r="S68" i="3"/>
  <c r="O68" i="3"/>
  <c r="U68" i="3"/>
  <c r="AK68" i="3"/>
  <c r="AM68" i="3"/>
  <c r="AD68" i="3"/>
  <c r="M68" i="3"/>
  <c r="AF68" i="3"/>
  <c r="AE68" i="3"/>
  <c r="V68" i="3"/>
  <c r="R68" i="3"/>
  <c r="P68" i="3"/>
  <c r="T68" i="3"/>
  <c r="BC65" i="3"/>
  <c r="Y67" i="3"/>
  <c r="Z67" i="3" s="1"/>
  <c r="AV66" i="3"/>
  <c r="AX66" i="3"/>
  <c r="AY66" i="3" s="1"/>
  <c r="AG67" i="3"/>
  <c r="AW67" i="3" s="1"/>
  <c r="AX67" i="3" l="1"/>
  <c r="AY67" i="3" s="1"/>
  <c r="AG68" i="3"/>
  <c r="AN68" i="3"/>
  <c r="BQ65" i="3"/>
  <c r="BF65" i="3"/>
  <c r="BB65" i="3"/>
  <c r="AO68" i="3"/>
  <c r="BA66" i="3"/>
  <c r="BC66" i="3"/>
  <c r="AU67" i="3"/>
  <c r="B69" i="3"/>
  <c r="A70" i="3"/>
  <c r="AQ69" i="3"/>
  <c r="AR69" i="3"/>
  <c r="C69" i="3"/>
  <c r="D69" i="3"/>
  <c r="G69" i="3"/>
  <c r="H69" i="3" s="1"/>
  <c r="F69" i="3"/>
  <c r="S69" i="3"/>
  <c r="Q69" i="3"/>
  <c r="O69" i="3"/>
  <c r="U69" i="3"/>
  <c r="AF69" i="3"/>
  <c r="AD69" i="3"/>
  <c r="M69" i="3"/>
  <c r="AK69" i="3"/>
  <c r="AM69" i="3"/>
  <c r="AE69" i="3"/>
  <c r="P69" i="3"/>
  <c r="V69" i="3"/>
  <c r="T69" i="3"/>
  <c r="R69" i="3"/>
  <c r="BG65" i="3"/>
  <c r="BH65" i="3" s="1"/>
  <c r="BI65" i="3" s="1"/>
  <c r="BD65" i="3"/>
  <c r="BM68" i="3"/>
  <c r="Y68" i="3"/>
  <c r="Z68" i="3" s="1"/>
  <c r="X68" i="3"/>
  <c r="AT67" i="3"/>
  <c r="AH68" i="3"/>
  <c r="AX68" i="3" s="1"/>
  <c r="BN68" i="3"/>
  <c r="AN69" i="3" l="1"/>
  <c r="AW68" i="3"/>
  <c r="AY68" i="3" s="1"/>
  <c r="AH69" i="3"/>
  <c r="X69" i="3"/>
  <c r="AU69" i="3"/>
  <c r="B70" i="3"/>
  <c r="A71" i="3"/>
  <c r="AR70" i="3"/>
  <c r="AQ70" i="3"/>
  <c r="D70" i="3"/>
  <c r="C70" i="3"/>
  <c r="G70" i="3"/>
  <c r="H70" i="3" s="1"/>
  <c r="BN70" i="3" s="1"/>
  <c r="F70" i="3"/>
  <c r="BM70" i="3" s="1"/>
  <c r="S70" i="3"/>
  <c r="Q70" i="3"/>
  <c r="O70" i="3"/>
  <c r="U70" i="3"/>
  <c r="AE70" i="3"/>
  <c r="AK70" i="3"/>
  <c r="AF70" i="3"/>
  <c r="AM70" i="3"/>
  <c r="AN70" i="3" s="1"/>
  <c r="AD70" i="3"/>
  <c r="AH70" i="3" s="1"/>
  <c r="M70" i="3"/>
  <c r="V70" i="3"/>
  <c r="Y70" i="3" s="1"/>
  <c r="Z70" i="3" s="1"/>
  <c r="T70" i="3"/>
  <c r="P70" i="3"/>
  <c r="R70" i="3"/>
  <c r="AV67" i="3"/>
  <c r="BC67" i="3" s="1"/>
  <c r="BA67" i="3"/>
  <c r="BD66" i="3"/>
  <c r="BG66" i="3"/>
  <c r="BH66" i="3" s="1"/>
  <c r="BI66" i="3" s="1"/>
  <c r="Y69" i="3"/>
  <c r="Z69" i="3" s="1"/>
  <c r="AU68" i="3"/>
  <c r="AG69" i="3"/>
  <c r="BM69" i="3"/>
  <c r="BJ64" i="3"/>
  <c r="BK64" i="3" s="1"/>
  <c r="AT69" i="3"/>
  <c r="BF66" i="3"/>
  <c r="BJ65" i="3" s="1"/>
  <c r="BK65" i="3" s="1"/>
  <c r="BB66" i="3"/>
  <c r="BQ66" i="3"/>
  <c r="AO69" i="3"/>
  <c r="BN69" i="3"/>
  <c r="AT68" i="3"/>
  <c r="AX69" i="3" l="1"/>
  <c r="AV69" i="3"/>
  <c r="BQ67" i="3"/>
  <c r="BF67" i="3"/>
  <c r="BJ66" i="3" s="1"/>
  <c r="BK66" i="3" s="1"/>
  <c r="BB67" i="3"/>
  <c r="BD67" i="3"/>
  <c r="BG67" i="3"/>
  <c r="BH67" i="3" s="1"/>
  <c r="BI67" i="3" s="1"/>
  <c r="AO70" i="3"/>
  <c r="X70" i="3"/>
  <c r="AW69" i="3"/>
  <c r="BA69" i="3" s="1"/>
  <c r="A72" i="3"/>
  <c r="AR71" i="3"/>
  <c r="AQ71" i="3"/>
  <c r="B71" i="3"/>
  <c r="D71" i="3"/>
  <c r="C71" i="3"/>
  <c r="F71" i="3"/>
  <c r="G71" i="3"/>
  <c r="H71" i="3" s="1"/>
  <c r="Q71" i="3"/>
  <c r="S71" i="3"/>
  <c r="O71" i="3"/>
  <c r="U71" i="3"/>
  <c r="AD71" i="3"/>
  <c r="AK71" i="3"/>
  <c r="AM71" i="3"/>
  <c r="M71" i="3"/>
  <c r="AE71" i="3"/>
  <c r="AF71" i="3"/>
  <c r="V71" i="3"/>
  <c r="T71" i="3"/>
  <c r="R71" i="3"/>
  <c r="P71" i="3"/>
  <c r="BA68" i="3"/>
  <c r="AV68" i="3"/>
  <c r="BC68" i="3" s="1"/>
  <c r="AY69" i="3"/>
  <c r="AG70" i="3"/>
  <c r="AU70" i="3" s="1"/>
  <c r="BN71" i="3" l="1"/>
  <c r="BM71" i="3"/>
  <c r="AN71" i="3"/>
  <c r="Y71" i="3"/>
  <c r="Z71" i="3" s="1"/>
  <c r="AW70" i="3"/>
  <c r="BB69" i="3"/>
  <c r="BF69" i="3"/>
  <c r="BQ69" i="3"/>
  <c r="AG71" i="3"/>
  <c r="BD68" i="3"/>
  <c r="BG68" i="3"/>
  <c r="BH68" i="3" s="1"/>
  <c r="BI68" i="3" s="1"/>
  <c r="AO71" i="3"/>
  <c r="AQ72" i="3"/>
  <c r="A73" i="3"/>
  <c r="AR72" i="3"/>
  <c r="B72" i="3"/>
  <c r="D72" i="3"/>
  <c r="C72" i="3"/>
  <c r="F72" i="3"/>
  <c r="G72" i="3"/>
  <c r="H72" i="3" s="1"/>
  <c r="Q72" i="3"/>
  <c r="S72" i="3"/>
  <c r="O72" i="3"/>
  <c r="U72" i="3"/>
  <c r="AM72" i="3"/>
  <c r="AF72" i="3"/>
  <c r="AE72" i="3"/>
  <c r="AK72" i="3"/>
  <c r="M72" i="3"/>
  <c r="AD72" i="3"/>
  <c r="V72" i="3"/>
  <c r="R72" i="3"/>
  <c r="P72" i="3"/>
  <c r="T72" i="3"/>
  <c r="BQ68" i="3"/>
  <c r="BB68" i="3"/>
  <c r="BF68" i="3"/>
  <c r="BJ67" i="3" s="1"/>
  <c r="BK67" i="3" s="1"/>
  <c r="AH71" i="3"/>
  <c r="BC69" i="3"/>
  <c r="AX70" i="3"/>
  <c r="X71" i="3"/>
  <c r="AT70" i="3"/>
  <c r="AY70" i="3" l="1"/>
  <c r="AN72" i="3"/>
  <c r="BD69" i="3"/>
  <c r="BG69" i="3"/>
  <c r="BH69" i="3" s="1"/>
  <c r="BI69" i="3" s="1"/>
  <c r="AW71" i="3"/>
  <c r="AX71" i="3"/>
  <c r="X72" i="3"/>
  <c r="AH72" i="3"/>
  <c r="A74" i="3"/>
  <c r="AR73" i="3"/>
  <c r="B73" i="3"/>
  <c r="AQ73" i="3"/>
  <c r="D73" i="3"/>
  <c r="C73" i="3"/>
  <c r="F73" i="3"/>
  <c r="G73" i="3"/>
  <c r="H73" i="3" s="1"/>
  <c r="BN73" i="3" s="1"/>
  <c r="S73" i="3"/>
  <c r="Q73" i="3"/>
  <c r="O73" i="3"/>
  <c r="U73" i="3"/>
  <c r="AM73" i="3"/>
  <c r="AF73" i="3"/>
  <c r="AK73" i="3"/>
  <c r="M73" i="3"/>
  <c r="AD73" i="3"/>
  <c r="AE73" i="3"/>
  <c r="P73" i="3"/>
  <c r="V73" i="3"/>
  <c r="R73" i="3"/>
  <c r="T73" i="3"/>
  <c r="AU71" i="3"/>
  <c r="AO72" i="3"/>
  <c r="BN72" i="3"/>
  <c r="AT71" i="3"/>
  <c r="BJ68" i="3"/>
  <c r="BK68" i="3" s="1"/>
  <c r="Y72" i="3"/>
  <c r="Z72" i="3" s="1"/>
  <c r="AV70" i="3"/>
  <c r="BC70" i="3" s="1"/>
  <c r="BA70" i="3"/>
  <c r="AG72" i="3"/>
  <c r="BM72" i="3"/>
  <c r="AO73" i="3" l="1"/>
  <c r="BM73" i="3"/>
  <c r="AH73" i="3"/>
  <c r="AY71" i="3"/>
  <c r="AW72" i="3"/>
  <c r="BB70" i="3"/>
  <c r="BF70" i="3"/>
  <c r="BJ69" i="3" s="1"/>
  <c r="BK69" i="3" s="1"/>
  <c r="BQ70" i="3"/>
  <c r="AX72" i="3"/>
  <c r="AU72" i="3"/>
  <c r="Y73" i="3"/>
  <c r="Z73" i="3" s="1"/>
  <c r="AT72" i="3"/>
  <c r="AN73" i="3"/>
  <c r="X73" i="3"/>
  <c r="AG73" i="3"/>
  <c r="AW73" i="3" s="1"/>
  <c r="BD70" i="3"/>
  <c r="BG70" i="3"/>
  <c r="BH70" i="3" s="1"/>
  <c r="BI70" i="3" s="1"/>
  <c r="AV71" i="3"/>
  <c r="BA71" i="3"/>
  <c r="AQ74" i="3"/>
  <c r="B74" i="3"/>
  <c r="A75" i="3"/>
  <c r="AR74" i="3"/>
  <c r="D74" i="3"/>
  <c r="C74" i="3"/>
  <c r="F74" i="3"/>
  <c r="G74" i="3"/>
  <c r="H74" i="3" s="1"/>
  <c r="S74" i="3"/>
  <c r="Q74" i="3"/>
  <c r="O74" i="3"/>
  <c r="U74" i="3"/>
  <c r="AD74" i="3"/>
  <c r="AK74" i="3"/>
  <c r="AM74" i="3"/>
  <c r="AF74" i="3"/>
  <c r="AE74" i="3"/>
  <c r="M74" i="3"/>
  <c r="P74" i="3"/>
  <c r="T74" i="3"/>
  <c r="V74" i="3"/>
  <c r="R74" i="3"/>
  <c r="AT73" i="3" l="1"/>
  <c r="BC71" i="3"/>
  <c r="AX73" i="3"/>
  <c r="AY73" i="3" s="1"/>
  <c r="AY72" i="3"/>
  <c r="AU73" i="3"/>
  <c r="AV73" i="3" s="1"/>
  <c r="AO74" i="3"/>
  <c r="X74" i="3"/>
  <c r="AH74" i="3"/>
  <c r="AV72" i="3"/>
  <c r="BA72" i="3"/>
  <c r="Y74" i="3"/>
  <c r="Z74" i="3" s="1"/>
  <c r="BN74" i="3"/>
  <c r="BQ71" i="3"/>
  <c r="BF71" i="3"/>
  <c r="BJ70" i="3" s="1"/>
  <c r="BK70" i="3" s="1"/>
  <c r="BB71" i="3"/>
  <c r="B75" i="3"/>
  <c r="AQ75" i="3"/>
  <c r="A76" i="3"/>
  <c r="AR75" i="3"/>
  <c r="C75" i="3"/>
  <c r="D75" i="3"/>
  <c r="F75" i="3"/>
  <c r="BM75" i="3" s="1"/>
  <c r="G75" i="3"/>
  <c r="H75" i="3" s="1"/>
  <c r="BN75" i="3" s="1"/>
  <c r="Q75" i="3"/>
  <c r="S75" i="3"/>
  <c r="O75" i="3"/>
  <c r="U75" i="3"/>
  <c r="AE75" i="3"/>
  <c r="AM75" i="3"/>
  <c r="AK75" i="3"/>
  <c r="AO75" i="3" s="1"/>
  <c r="AF75" i="3"/>
  <c r="AD75" i="3"/>
  <c r="M75" i="3"/>
  <c r="P75" i="3"/>
  <c r="T75" i="3"/>
  <c r="V75" i="3"/>
  <c r="R75" i="3"/>
  <c r="AG74" i="3"/>
  <c r="AN74" i="3"/>
  <c r="AX74" i="3" s="1"/>
  <c r="BM74" i="3"/>
  <c r="BD71" i="3"/>
  <c r="BG71" i="3"/>
  <c r="BH71" i="3" s="1"/>
  <c r="BI71" i="3" s="1"/>
  <c r="AH75" i="3" l="1"/>
  <c r="BC72" i="3"/>
  <c r="BA73" i="3"/>
  <c r="AU74" i="3"/>
  <c r="AW74" i="3"/>
  <c r="AY74" i="3" s="1"/>
  <c r="AR76" i="3"/>
  <c r="AQ76" i="3"/>
  <c r="B76" i="3"/>
  <c r="A77" i="3"/>
  <c r="C76" i="3"/>
  <c r="D76" i="3"/>
  <c r="G76" i="3"/>
  <c r="H76" i="3" s="1"/>
  <c r="F76" i="3"/>
  <c r="S76" i="3"/>
  <c r="Q76" i="3"/>
  <c r="O76" i="3"/>
  <c r="U76" i="3"/>
  <c r="AF76" i="3"/>
  <c r="AM76" i="3"/>
  <c r="AD76" i="3"/>
  <c r="AK76" i="3"/>
  <c r="M76" i="3"/>
  <c r="AE76" i="3"/>
  <c r="V76" i="3"/>
  <c r="P76" i="3"/>
  <c r="T76" i="3"/>
  <c r="R76" i="3"/>
  <c r="BF73" i="3"/>
  <c r="BQ73" i="3"/>
  <c r="BB73" i="3"/>
  <c r="AT74" i="3"/>
  <c r="AG75" i="3"/>
  <c r="AW75" i="3" s="1"/>
  <c r="X75" i="3"/>
  <c r="BF72" i="3"/>
  <c r="BQ72" i="3"/>
  <c r="BB72" i="3"/>
  <c r="BC73" i="3"/>
  <c r="AN75" i="3"/>
  <c r="Y75" i="3"/>
  <c r="Z75" i="3" s="1"/>
  <c r="BD72" i="3"/>
  <c r="BG72" i="3"/>
  <c r="BH72" i="3" s="1"/>
  <c r="BI72" i="3" s="1"/>
  <c r="AN76" i="3" l="1"/>
  <c r="AT75" i="3"/>
  <c r="AX75" i="3"/>
  <c r="AQ77" i="3"/>
  <c r="B77" i="3"/>
  <c r="AR77" i="3"/>
  <c r="A78" i="3"/>
  <c r="D77" i="3"/>
  <c r="C77" i="3"/>
  <c r="G77" i="3"/>
  <c r="H77" i="3" s="1"/>
  <c r="F77" i="3"/>
  <c r="BM77" i="3" s="1"/>
  <c r="S77" i="3"/>
  <c r="Q77" i="3"/>
  <c r="O77" i="3"/>
  <c r="U77" i="3"/>
  <c r="AK77" i="3"/>
  <c r="AM77" i="3"/>
  <c r="AF77" i="3"/>
  <c r="AD77" i="3"/>
  <c r="M77" i="3"/>
  <c r="AE77" i="3"/>
  <c r="AG77" i="3" s="1"/>
  <c r="R77" i="3"/>
  <c r="T77" i="3"/>
  <c r="V77" i="3"/>
  <c r="P77" i="3"/>
  <c r="AV74" i="3"/>
  <c r="BC74" i="3" s="1"/>
  <c r="BA74" i="3"/>
  <c r="BJ72" i="3"/>
  <c r="BK72" i="3" s="1"/>
  <c r="BJ71" i="3"/>
  <c r="BK71" i="3" s="1"/>
  <c r="X76" i="3"/>
  <c r="Y76" i="3"/>
  <c r="Z76" i="3" s="1"/>
  <c r="AG76" i="3"/>
  <c r="AU75" i="3"/>
  <c r="AO76" i="3"/>
  <c r="BM76" i="3"/>
  <c r="AY75" i="3"/>
  <c r="BG73" i="3"/>
  <c r="BH73" i="3" s="1"/>
  <c r="BI73" i="3" s="1"/>
  <c r="BD73" i="3"/>
  <c r="AH76" i="3"/>
  <c r="BN76" i="3"/>
  <c r="BA75" i="3" l="1"/>
  <c r="AU76" i="3"/>
  <c r="Y77" i="3"/>
  <c r="Z77" i="3" s="1"/>
  <c r="AO77" i="3"/>
  <c r="X77" i="3"/>
  <c r="AT76" i="3"/>
  <c r="AV76" i="3" s="1"/>
  <c r="BF75" i="3"/>
  <c r="BQ75" i="3"/>
  <c r="BB75" i="3"/>
  <c r="AV75" i="3"/>
  <c r="BC75" i="3" s="1"/>
  <c r="AR78" i="3"/>
  <c r="A79" i="3"/>
  <c r="AQ78" i="3"/>
  <c r="B78" i="3"/>
  <c r="C78" i="3"/>
  <c r="D78" i="3"/>
  <c r="F78" i="3"/>
  <c r="G78" i="3"/>
  <c r="H78" i="3" s="1"/>
  <c r="Q78" i="3"/>
  <c r="S78" i="3"/>
  <c r="O78" i="3"/>
  <c r="U78" i="3"/>
  <c r="AD78" i="3"/>
  <c r="M78" i="3"/>
  <c r="AM78" i="3"/>
  <c r="AK78" i="3"/>
  <c r="AO78" i="3" s="1"/>
  <c r="AF78" i="3"/>
  <c r="AE78" i="3"/>
  <c r="T78" i="3"/>
  <c r="V78" i="3"/>
  <c r="P78" i="3"/>
  <c r="R78" i="3"/>
  <c r="AH77" i="3"/>
  <c r="BG74" i="3"/>
  <c r="BH74" i="3" s="1"/>
  <c r="BI74" i="3" s="1"/>
  <c r="BD74" i="3"/>
  <c r="BN77" i="3"/>
  <c r="BQ74" i="3"/>
  <c r="BB74" i="3"/>
  <c r="BF74" i="3"/>
  <c r="BJ73" i="3" s="1"/>
  <c r="BK73" i="3" s="1"/>
  <c r="AW76" i="3"/>
  <c r="AX76" i="3"/>
  <c r="AN77" i="3"/>
  <c r="BN78" i="3" l="1"/>
  <c r="BM78" i="3"/>
  <c r="AX77" i="3"/>
  <c r="BA76" i="3"/>
  <c r="BQ76" i="3" s="1"/>
  <c r="AG78" i="3"/>
  <c r="BF76" i="3"/>
  <c r="BJ75" i="3" s="1"/>
  <c r="BK75" i="3" s="1"/>
  <c r="BB76" i="3"/>
  <c r="B79" i="3"/>
  <c r="AQ79" i="3"/>
  <c r="A80" i="3"/>
  <c r="AR79" i="3"/>
  <c r="D79" i="3"/>
  <c r="C79" i="3"/>
  <c r="G79" i="3"/>
  <c r="H79" i="3" s="1"/>
  <c r="BN79" i="3" s="1"/>
  <c r="F79" i="3"/>
  <c r="BM79" i="3" s="1"/>
  <c r="Q79" i="3"/>
  <c r="S79" i="3"/>
  <c r="O79" i="3"/>
  <c r="U79" i="3"/>
  <c r="M79" i="3"/>
  <c r="AE79" i="3"/>
  <c r="AK79" i="3"/>
  <c r="AM79" i="3"/>
  <c r="AD79" i="3"/>
  <c r="AF79" i="3"/>
  <c r="V79" i="3"/>
  <c r="P79" i="3"/>
  <c r="R79" i="3"/>
  <c r="T79" i="3"/>
  <c r="AT77" i="3"/>
  <c r="AH78" i="3"/>
  <c r="AX78" i="3" s="1"/>
  <c r="BD75" i="3"/>
  <c r="BG75" i="3"/>
  <c r="BH75" i="3" s="1"/>
  <c r="BI75" i="3" s="1"/>
  <c r="AN78" i="3"/>
  <c r="AW77" i="3"/>
  <c r="AY77" i="3" s="1"/>
  <c r="AU77" i="3"/>
  <c r="Y78" i="3"/>
  <c r="Z78" i="3" s="1"/>
  <c r="X78" i="3"/>
  <c r="AY76" i="3"/>
  <c r="BC76" i="3" s="1"/>
  <c r="BJ74" i="3"/>
  <c r="BK74" i="3" s="1"/>
  <c r="AT78" i="3" l="1"/>
  <c r="AW78" i="3"/>
  <c r="AY78" i="3" s="1"/>
  <c r="AN79" i="3"/>
  <c r="X79" i="3"/>
  <c r="BD76" i="3"/>
  <c r="BG76" i="3"/>
  <c r="BH76" i="3" s="1"/>
  <c r="BI76" i="3" s="1"/>
  <c r="A81" i="3"/>
  <c r="B80" i="3"/>
  <c r="AQ80" i="3"/>
  <c r="AR80" i="3"/>
  <c r="D80" i="3"/>
  <c r="C80" i="3"/>
  <c r="F80" i="3"/>
  <c r="BM80" i="3" s="1"/>
  <c r="G80" i="3"/>
  <c r="H80" i="3" s="1"/>
  <c r="BN80" i="3" s="1"/>
  <c r="Q80" i="3"/>
  <c r="S80" i="3"/>
  <c r="O80" i="3"/>
  <c r="U80" i="3"/>
  <c r="AM80" i="3"/>
  <c r="AF80" i="3"/>
  <c r="AE80" i="3"/>
  <c r="AK80" i="3"/>
  <c r="AO80" i="3" s="1"/>
  <c r="AD80" i="3"/>
  <c r="M80" i="3"/>
  <c r="V80" i="3"/>
  <c r="T80" i="3"/>
  <c r="P80" i="3"/>
  <c r="R80" i="3"/>
  <c r="AH79" i="3"/>
  <c r="AG79" i="3"/>
  <c r="AW79" i="3" s="1"/>
  <c r="BA78" i="3"/>
  <c r="AU79" i="3"/>
  <c r="BA77" i="3"/>
  <c r="AV77" i="3"/>
  <c r="BC77" i="3" s="1"/>
  <c r="AO79" i="3"/>
  <c r="AU78" i="3"/>
  <c r="AV78" i="3" s="1"/>
  <c r="BC78" i="3" s="1"/>
  <c r="Y79" i="3"/>
  <c r="Z79" i="3" s="1"/>
  <c r="AH80" i="3" l="1"/>
  <c r="AT79" i="3"/>
  <c r="X80" i="3"/>
  <c r="AV79" i="3"/>
  <c r="BF77" i="3"/>
  <c r="BJ76" i="3" s="1"/>
  <c r="BK76" i="3" s="1"/>
  <c r="BB77" i="3"/>
  <c r="BQ77" i="3"/>
  <c r="Y80" i="3"/>
  <c r="Z80" i="3" s="1"/>
  <c r="BD78" i="3"/>
  <c r="BG78" i="3"/>
  <c r="BH78" i="3" s="1"/>
  <c r="BI78" i="3" s="1"/>
  <c r="AQ81" i="3"/>
  <c r="B81" i="3"/>
  <c r="AR81" i="3"/>
  <c r="A82" i="3"/>
  <c r="D81" i="3"/>
  <c r="C81" i="3"/>
  <c r="F81" i="3"/>
  <c r="G81" i="3"/>
  <c r="H81" i="3" s="1"/>
  <c r="Q81" i="3"/>
  <c r="S81" i="3"/>
  <c r="O81" i="3"/>
  <c r="U81" i="3"/>
  <c r="AE81" i="3"/>
  <c r="AG81" i="3" s="1"/>
  <c r="AM81" i="3"/>
  <c r="AK81" i="3"/>
  <c r="AF81" i="3"/>
  <c r="M81" i="3"/>
  <c r="AD81" i="3"/>
  <c r="T81" i="3"/>
  <c r="V81" i="3"/>
  <c r="P81" i="3"/>
  <c r="R81" i="3"/>
  <c r="BQ78" i="3"/>
  <c r="BF78" i="3"/>
  <c r="BB78" i="3"/>
  <c r="AG80" i="3"/>
  <c r="AX79" i="3"/>
  <c r="AY79" i="3" s="1"/>
  <c r="BD77" i="3"/>
  <c r="BG77" i="3"/>
  <c r="BH77" i="3" s="1"/>
  <c r="BI77" i="3" s="1"/>
  <c r="AN80" i="3"/>
  <c r="AX80" i="3" s="1"/>
  <c r="AN81" i="3" l="1"/>
  <c r="AW80" i="3"/>
  <c r="AY80" i="3" s="1"/>
  <c r="Y81" i="3"/>
  <c r="Z81" i="3" s="1"/>
  <c r="AH81" i="3"/>
  <c r="AU81" i="3"/>
  <c r="AT80" i="3"/>
  <c r="X81" i="3"/>
  <c r="B82" i="3"/>
  <c r="AR82" i="3"/>
  <c r="A83" i="3"/>
  <c r="AQ82" i="3"/>
  <c r="D82" i="3"/>
  <c r="C82" i="3"/>
  <c r="G82" i="3"/>
  <c r="H82" i="3" s="1"/>
  <c r="BN82" i="3" s="1"/>
  <c r="F82" i="3"/>
  <c r="BM82" i="3" s="1"/>
  <c r="Q82" i="3"/>
  <c r="S82" i="3"/>
  <c r="O82" i="3"/>
  <c r="U82" i="3"/>
  <c r="AK82" i="3"/>
  <c r="AD82" i="3"/>
  <c r="AM82" i="3"/>
  <c r="AN82" i="3" s="1"/>
  <c r="AE82" i="3"/>
  <c r="M82" i="3"/>
  <c r="AF82" i="3"/>
  <c r="V82" i="3"/>
  <c r="R82" i="3"/>
  <c r="P82" i="3"/>
  <c r="T82" i="3"/>
  <c r="BJ77" i="3"/>
  <c r="BK77" i="3" s="1"/>
  <c r="BN81" i="3"/>
  <c r="BA79" i="3"/>
  <c r="AU80" i="3"/>
  <c r="AO81" i="3"/>
  <c r="BM81" i="3"/>
  <c r="BC79" i="3"/>
  <c r="BA80" i="3" l="1"/>
  <c r="AV80" i="3"/>
  <c r="BC80" i="3" s="1"/>
  <c r="AO82" i="3"/>
  <c r="AW81" i="3"/>
  <c r="AX81" i="3"/>
  <c r="BD79" i="3"/>
  <c r="BG79" i="3"/>
  <c r="BH79" i="3" s="1"/>
  <c r="BI79" i="3" s="1"/>
  <c r="AT81" i="3"/>
  <c r="BQ79" i="3"/>
  <c r="BB79" i="3"/>
  <c r="BF79" i="3"/>
  <c r="BJ78" i="3" s="1"/>
  <c r="BK78" i="3" s="1"/>
  <c r="AG82" i="3"/>
  <c r="AH82" i="3"/>
  <c r="X82" i="3"/>
  <c r="Y82" i="3"/>
  <c r="Z82" i="3" s="1"/>
  <c r="B83" i="3"/>
  <c r="AQ83" i="3"/>
  <c r="A84" i="3"/>
  <c r="AR83" i="3"/>
  <c r="C83" i="3"/>
  <c r="D83" i="3"/>
  <c r="F83" i="3"/>
  <c r="G83" i="3"/>
  <c r="H83" i="3" s="1"/>
  <c r="Q83" i="3"/>
  <c r="S83" i="3"/>
  <c r="O83" i="3"/>
  <c r="U83" i="3"/>
  <c r="AM83" i="3"/>
  <c r="AD83" i="3"/>
  <c r="AK83" i="3"/>
  <c r="AE83" i="3"/>
  <c r="AF83" i="3"/>
  <c r="M83" i="3"/>
  <c r="V83" i="3"/>
  <c r="P83" i="3"/>
  <c r="T83" i="3"/>
  <c r="R83" i="3"/>
  <c r="AX82" i="3" l="1"/>
  <c r="AY81" i="3"/>
  <c r="AH83" i="3"/>
  <c r="AN83" i="3"/>
  <c r="X83" i="3"/>
  <c r="AW82" i="3"/>
  <c r="AY82" i="3" s="1"/>
  <c r="BD80" i="3"/>
  <c r="BG80" i="3"/>
  <c r="BH80" i="3" s="1"/>
  <c r="BI80" i="3" s="1"/>
  <c r="AR84" i="3"/>
  <c r="B84" i="3"/>
  <c r="AQ84" i="3"/>
  <c r="A85" i="3"/>
  <c r="C84" i="3"/>
  <c r="D84" i="3"/>
  <c r="G84" i="3"/>
  <c r="H84" i="3" s="1"/>
  <c r="BN84" i="3" s="1"/>
  <c r="F84" i="3"/>
  <c r="BM84" i="3" s="1"/>
  <c r="Q84" i="3"/>
  <c r="S84" i="3"/>
  <c r="O84" i="3"/>
  <c r="U84" i="3"/>
  <c r="AK84" i="3"/>
  <c r="AM84" i="3"/>
  <c r="AN84" i="3" s="1"/>
  <c r="AD84" i="3"/>
  <c r="AF84" i="3"/>
  <c r="AE84" i="3"/>
  <c r="M84" i="3"/>
  <c r="V84" i="3"/>
  <c r="P84" i="3"/>
  <c r="R84" i="3"/>
  <c r="T84" i="3"/>
  <c r="BN83" i="3"/>
  <c r="AV81" i="3"/>
  <c r="BC81" i="3" s="1"/>
  <c r="BA81" i="3"/>
  <c r="BB80" i="3"/>
  <c r="BF80" i="3"/>
  <c r="BJ79" i="3" s="1"/>
  <c r="BK79" i="3" s="1"/>
  <c r="BQ80" i="3"/>
  <c r="Y83" i="3"/>
  <c r="Z83" i="3" s="1"/>
  <c r="AG83" i="3"/>
  <c r="AO83" i="3"/>
  <c r="BM83" i="3"/>
  <c r="AU82" i="3"/>
  <c r="AT82" i="3"/>
  <c r="AG84" i="3" l="1"/>
  <c r="BB81" i="3"/>
  <c r="BQ81" i="3"/>
  <c r="BF81" i="3"/>
  <c r="BJ80" i="3" s="1"/>
  <c r="BK80" i="3" s="1"/>
  <c r="AW83" i="3"/>
  <c r="AT83" i="3"/>
  <c r="AU83" i="3"/>
  <c r="AO84" i="3"/>
  <c r="X84" i="3"/>
  <c r="AH84" i="3"/>
  <c r="AT84" i="3" s="1"/>
  <c r="AQ85" i="3"/>
  <c r="B85" i="3"/>
  <c r="AR85" i="3"/>
  <c r="C85" i="3"/>
  <c r="A86" i="3"/>
  <c r="D85" i="3"/>
  <c r="G85" i="3"/>
  <c r="H85" i="3" s="1"/>
  <c r="F85" i="3"/>
  <c r="S85" i="3"/>
  <c r="Q85" i="3"/>
  <c r="O85" i="3"/>
  <c r="U85" i="3"/>
  <c r="AK85" i="3"/>
  <c r="AF85" i="3"/>
  <c r="AM85" i="3"/>
  <c r="M85" i="3"/>
  <c r="AD85" i="3"/>
  <c r="AE85" i="3"/>
  <c r="V85" i="3"/>
  <c r="P85" i="3"/>
  <c r="R85" i="3"/>
  <c r="T85" i="3"/>
  <c r="BD81" i="3"/>
  <c r="BG81" i="3"/>
  <c r="BH81" i="3" s="1"/>
  <c r="BI81" i="3" s="1"/>
  <c r="AX83" i="3"/>
  <c r="AV82" i="3"/>
  <c r="BC82" i="3" s="1"/>
  <c r="BA82" i="3"/>
  <c r="Y84" i="3"/>
  <c r="Z84" i="3" s="1"/>
  <c r="AU84" i="3"/>
  <c r="X85" i="3" l="1"/>
  <c r="AO85" i="3"/>
  <c r="AY83" i="3"/>
  <c r="BA83" i="3"/>
  <c r="AV83" i="3"/>
  <c r="BC83" i="3" s="1"/>
  <c r="AH85" i="3"/>
  <c r="A87" i="3"/>
  <c r="B86" i="3"/>
  <c r="AQ86" i="3"/>
  <c r="AR86" i="3"/>
  <c r="C86" i="3"/>
  <c r="D86" i="3"/>
  <c r="F86" i="3"/>
  <c r="BM86" i="3" s="1"/>
  <c r="G86" i="3"/>
  <c r="H86" i="3" s="1"/>
  <c r="Q86" i="3"/>
  <c r="S86" i="3"/>
  <c r="O86" i="3"/>
  <c r="U86" i="3"/>
  <c r="AM86" i="3"/>
  <c r="M86" i="3"/>
  <c r="AK86" i="3"/>
  <c r="AO86" i="3" s="1"/>
  <c r="AD86" i="3"/>
  <c r="AE86" i="3"/>
  <c r="AF86" i="3"/>
  <c r="P86" i="3"/>
  <c r="V86" i="3"/>
  <c r="T86" i="3"/>
  <c r="R86" i="3"/>
  <c r="BD82" i="3"/>
  <c r="BG82" i="3"/>
  <c r="BH82" i="3" s="1"/>
  <c r="BI82" i="3" s="1"/>
  <c r="AG85" i="3"/>
  <c r="BM85" i="3"/>
  <c r="AX84" i="3"/>
  <c r="BB82" i="3"/>
  <c r="BF82" i="3"/>
  <c r="BJ81" i="3" s="1"/>
  <c r="BK81" i="3" s="1"/>
  <c r="BQ82" i="3"/>
  <c r="Y85" i="3"/>
  <c r="Z85" i="3" s="1"/>
  <c r="AV84" i="3"/>
  <c r="AN85" i="3"/>
  <c r="BN85" i="3"/>
  <c r="AW84" i="3"/>
  <c r="BN86" i="3" l="1"/>
  <c r="BA84" i="3"/>
  <c r="BF84" i="3" s="1"/>
  <c r="AU85" i="3"/>
  <c r="AG86" i="3"/>
  <c r="AT85" i="3"/>
  <c r="AY84" i="3"/>
  <c r="BC84" i="3" s="1"/>
  <c r="B87" i="3"/>
  <c r="A88" i="3"/>
  <c r="AR87" i="3"/>
  <c r="AQ87" i="3"/>
  <c r="C87" i="3"/>
  <c r="D87" i="3"/>
  <c r="G87" i="3"/>
  <c r="H87" i="3" s="1"/>
  <c r="F87" i="3"/>
  <c r="Q87" i="3"/>
  <c r="S87" i="3"/>
  <c r="O87" i="3"/>
  <c r="U87" i="3"/>
  <c r="AK87" i="3"/>
  <c r="AF87" i="3"/>
  <c r="AD87" i="3"/>
  <c r="AM87" i="3"/>
  <c r="AE87" i="3"/>
  <c r="M87" i="3"/>
  <c r="P87" i="3"/>
  <c r="R87" i="3"/>
  <c r="V87" i="3"/>
  <c r="T87" i="3"/>
  <c r="AN86" i="3"/>
  <c r="BQ83" i="3"/>
  <c r="BB83" i="3"/>
  <c r="BF83" i="3"/>
  <c r="BJ82" i="3" s="1"/>
  <c r="BK82" i="3" s="1"/>
  <c r="BD83" i="3"/>
  <c r="BG83" i="3"/>
  <c r="BH83" i="3" s="1"/>
  <c r="BI83" i="3" s="1"/>
  <c r="X86" i="3"/>
  <c r="AW85" i="3"/>
  <c r="AH86" i="3"/>
  <c r="AX85" i="3"/>
  <c r="Y86" i="3"/>
  <c r="Z86" i="3" s="1"/>
  <c r="BB84" i="3" l="1"/>
  <c r="BQ84" i="3"/>
  <c r="AV85" i="3"/>
  <c r="BA85" i="3"/>
  <c r="BF85" i="3" s="1"/>
  <c r="BJ84" i="3" s="1"/>
  <c r="BK84" i="3" s="1"/>
  <c r="BD84" i="3"/>
  <c r="BG84" i="3"/>
  <c r="BH84" i="3" s="1"/>
  <c r="BI84" i="3" s="1"/>
  <c r="AH87" i="3"/>
  <c r="AY85" i="3"/>
  <c r="BC85" i="3" s="1"/>
  <c r="BJ83" i="3"/>
  <c r="BK83" i="3" s="1"/>
  <c r="AO87" i="3"/>
  <c r="AQ88" i="3"/>
  <c r="A89" i="3"/>
  <c r="AR88" i="3"/>
  <c r="B88" i="3"/>
  <c r="C88" i="3"/>
  <c r="D88" i="3"/>
  <c r="G88" i="3"/>
  <c r="H88" i="3" s="1"/>
  <c r="F88" i="3"/>
  <c r="Q88" i="3"/>
  <c r="S88" i="3"/>
  <c r="O88" i="3"/>
  <c r="U88" i="3"/>
  <c r="AK88" i="3"/>
  <c r="AD88" i="3"/>
  <c r="M88" i="3"/>
  <c r="AM88" i="3"/>
  <c r="AF88" i="3"/>
  <c r="AE88" i="3"/>
  <c r="V88" i="3"/>
  <c r="P88" i="3"/>
  <c r="R88" i="3"/>
  <c r="T88" i="3"/>
  <c r="AG87" i="3"/>
  <c r="X87" i="3"/>
  <c r="AN87" i="3"/>
  <c r="BM87" i="3"/>
  <c r="AW86" i="3"/>
  <c r="AX86" i="3"/>
  <c r="Y87" i="3"/>
  <c r="Z87" i="3" s="1"/>
  <c r="AU86" i="3"/>
  <c r="AT86" i="3"/>
  <c r="BN87" i="3"/>
  <c r="AU87" i="3" l="1"/>
  <c r="BM88" i="3"/>
  <c r="BQ85" i="3"/>
  <c r="BN88" i="3"/>
  <c r="BB85" i="3"/>
  <c r="AX87" i="3"/>
  <c r="AT87" i="3"/>
  <c r="AV87" i="3" s="1"/>
  <c r="AG88" i="3"/>
  <c r="AN88" i="3"/>
  <c r="AV86" i="3"/>
  <c r="BA86" i="3"/>
  <c r="AH88" i="3"/>
  <c r="AO88" i="3"/>
  <c r="AY86" i="3"/>
  <c r="X88" i="3"/>
  <c r="AR89" i="3"/>
  <c r="B89" i="3"/>
  <c r="AQ89" i="3"/>
  <c r="A90" i="3"/>
  <c r="C89" i="3"/>
  <c r="D89" i="3"/>
  <c r="F89" i="3"/>
  <c r="BM89" i="3" s="1"/>
  <c r="G89" i="3"/>
  <c r="H89" i="3" s="1"/>
  <c r="Q89" i="3"/>
  <c r="S89" i="3"/>
  <c r="O89" i="3"/>
  <c r="U89" i="3"/>
  <c r="AM89" i="3"/>
  <c r="AK89" i="3"/>
  <c r="AD89" i="3"/>
  <c r="M89" i="3"/>
  <c r="AE89" i="3"/>
  <c r="AF89" i="3"/>
  <c r="V89" i="3"/>
  <c r="P89" i="3"/>
  <c r="T89" i="3"/>
  <c r="R89" i="3"/>
  <c r="AW87" i="3"/>
  <c r="AY87" i="3" s="1"/>
  <c r="BD85" i="3"/>
  <c r="BG85" i="3"/>
  <c r="BH85" i="3" s="1"/>
  <c r="BI85" i="3" s="1"/>
  <c r="Y88" i="3"/>
  <c r="Z88" i="3" s="1"/>
  <c r="AT88" i="3" l="1"/>
  <c r="AO89" i="3"/>
  <c r="AH89" i="3"/>
  <c r="B90" i="3"/>
  <c r="AQ90" i="3"/>
  <c r="A91" i="3"/>
  <c r="AR90" i="3"/>
  <c r="D90" i="3"/>
  <c r="C90" i="3"/>
  <c r="G90" i="3"/>
  <c r="H90" i="3" s="1"/>
  <c r="F90" i="3"/>
  <c r="S90" i="3"/>
  <c r="Q90" i="3"/>
  <c r="O90" i="3"/>
  <c r="U90" i="3"/>
  <c r="AM90" i="3"/>
  <c r="AF90" i="3"/>
  <c r="AK90" i="3"/>
  <c r="AE90" i="3"/>
  <c r="AD90" i="3"/>
  <c r="M90" i="3"/>
  <c r="V90" i="3"/>
  <c r="P90" i="3"/>
  <c r="R90" i="3"/>
  <c r="T90" i="3"/>
  <c r="BC86" i="3"/>
  <c r="AX88" i="3"/>
  <c r="Y89" i="3"/>
  <c r="Z89" i="3" s="1"/>
  <c r="BQ86" i="3"/>
  <c r="BB86" i="3"/>
  <c r="BF86" i="3"/>
  <c r="BJ85" i="3" s="1"/>
  <c r="BK85" i="3" s="1"/>
  <c r="AW88" i="3"/>
  <c r="BC87" i="3"/>
  <c r="AN89" i="3"/>
  <c r="X89" i="3"/>
  <c r="AU88" i="3"/>
  <c r="AV88" i="3" s="1"/>
  <c r="AG89" i="3"/>
  <c r="BA87" i="3"/>
  <c r="BN89" i="3"/>
  <c r="BN90" i="3" l="1"/>
  <c r="AO90" i="3"/>
  <c r="AX89" i="3"/>
  <c r="AW89" i="3"/>
  <c r="AY89" i="3" s="1"/>
  <c r="BD86" i="3"/>
  <c r="BG86" i="3"/>
  <c r="BH86" i="3" s="1"/>
  <c r="BI86" i="3" s="1"/>
  <c r="AT89" i="3"/>
  <c r="Y90" i="3"/>
  <c r="Z90" i="3" s="1"/>
  <c r="BD87" i="3"/>
  <c r="BG87" i="3"/>
  <c r="BH87" i="3" s="1"/>
  <c r="BI87" i="3" s="1"/>
  <c r="AN90" i="3"/>
  <c r="B91" i="3"/>
  <c r="AR91" i="3"/>
  <c r="A92" i="3"/>
  <c r="AQ91" i="3"/>
  <c r="D91" i="3"/>
  <c r="C91" i="3"/>
  <c r="F91" i="3"/>
  <c r="BM91" i="3" s="1"/>
  <c r="G91" i="3"/>
  <c r="H91" i="3" s="1"/>
  <c r="Q91" i="3"/>
  <c r="S91" i="3"/>
  <c r="O91" i="3"/>
  <c r="U91" i="3"/>
  <c r="AE91" i="3"/>
  <c r="AM91" i="3"/>
  <c r="M91" i="3"/>
  <c r="AK91" i="3"/>
  <c r="AD91" i="3"/>
  <c r="AF91" i="3"/>
  <c r="T91" i="3"/>
  <c r="R91" i="3"/>
  <c r="P91" i="3"/>
  <c r="V91" i="3"/>
  <c r="AH90" i="3"/>
  <c r="AU89" i="3"/>
  <c r="X90" i="3"/>
  <c r="BA88" i="3"/>
  <c r="BQ87" i="3"/>
  <c r="BF87" i="3"/>
  <c r="BJ86" i="3" s="1"/>
  <c r="BK86" i="3" s="1"/>
  <c r="BB87" i="3"/>
  <c r="AY88" i="3"/>
  <c r="BC88" i="3" s="1"/>
  <c r="AG90" i="3"/>
  <c r="BM90" i="3"/>
  <c r="AU90" i="3" l="1"/>
  <c r="AW90" i="3"/>
  <c r="X91" i="3"/>
  <c r="AO91" i="3"/>
  <c r="BD88" i="3"/>
  <c r="BG88" i="3"/>
  <c r="BH88" i="3" s="1"/>
  <c r="BI88" i="3" s="1"/>
  <c r="AH91" i="3"/>
  <c r="AG91" i="3"/>
  <c r="AT90" i="3"/>
  <c r="AV89" i="3"/>
  <c r="BC89" i="3" s="1"/>
  <c r="BA89" i="3"/>
  <c r="BN91" i="3"/>
  <c r="AR92" i="3"/>
  <c r="B92" i="3"/>
  <c r="AQ92" i="3"/>
  <c r="A93" i="3"/>
  <c r="C92" i="3"/>
  <c r="D92" i="3"/>
  <c r="F92" i="3"/>
  <c r="G92" i="3"/>
  <c r="H92" i="3" s="1"/>
  <c r="BN92" i="3" s="1"/>
  <c r="Q92" i="3"/>
  <c r="S92" i="3"/>
  <c r="O92" i="3"/>
  <c r="U92" i="3"/>
  <c r="AK92" i="3"/>
  <c r="AE92" i="3"/>
  <c r="AF92" i="3"/>
  <c r="AM92" i="3"/>
  <c r="AD92" i="3"/>
  <c r="M92" i="3"/>
  <c r="R92" i="3"/>
  <c r="P92" i="3"/>
  <c r="V92" i="3"/>
  <c r="T92" i="3"/>
  <c r="BQ88" i="3"/>
  <c r="BF88" i="3"/>
  <c r="BJ87" i="3" s="1"/>
  <c r="BK87" i="3" s="1"/>
  <c r="BB88" i="3"/>
  <c r="AX90" i="3"/>
  <c r="AY90" i="3" s="1"/>
  <c r="Y91" i="3"/>
  <c r="Z91" i="3" s="1"/>
  <c r="AN91" i="3"/>
  <c r="X92" i="3" l="1"/>
  <c r="AT91" i="3"/>
  <c r="AO92" i="3"/>
  <c r="Y92" i="3"/>
  <c r="Z92" i="3" s="1"/>
  <c r="AU91" i="3"/>
  <c r="AV91" i="3" s="1"/>
  <c r="AH92" i="3"/>
  <c r="BD89" i="3"/>
  <c r="BG89" i="3"/>
  <c r="BH89" i="3" s="1"/>
  <c r="BI89" i="3" s="1"/>
  <c r="BA90" i="3"/>
  <c r="AV90" i="3"/>
  <c r="BC90" i="3" s="1"/>
  <c r="AW91" i="3"/>
  <c r="B93" i="3"/>
  <c r="C93" i="3"/>
  <c r="AQ93" i="3"/>
  <c r="A94" i="3"/>
  <c r="AR93" i="3"/>
  <c r="D93" i="3"/>
  <c r="G93" i="3"/>
  <c r="H93" i="3" s="1"/>
  <c r="BN93" i="3" s="1"/>
  <c r="F93" i="3"/>
  <c r="Q93" i="3"/>
  <c r="S93" i="3"/>
  <c r="O93" i="3"/>
  <c r="U93" i="3"/>
  <c r="AK93" i="3"/>
  <c r="AM93" i="3"/>
  <c r="AE93" i="3"/>
  <c r="M93" i="3"/>
  <c r="AF93" i="3"/>
  <c r="AD93" i="3"/>
  <c r="V93" i="3"/>
  <c r="P93" i="3"/>
  <c r="R93" i="3"/>
  <c r="T93" i="3"/>
  <c r="BM92" i="3"/>
  <c r="AX91" i="3"/>
  <c r="AN92" i="3"/>
  <c r="AG92" i="3"/>
  <c r="BQ89" i="3"/>
  <c r="BF89" i="3"/>
  <c r="BJ88" i="3" s="1"/>
  <c r="BK88" i="3" s="1"/>
  <c r="BB89" i="3"/>
  <c r="AT92" i="3" l="1"/>
  <c r="AN93" i="3"/>
  <c r="AW92" i="3"/>
  <c r="BA91" i="3"/>
  <c r="BB91" i="3" s="1"/>
  <c r="AX92" i="3"/>
  <c r="AY92" i="3" s="1"/>
  <c r="Y93" i="3"/>
  <c r="Z93" i="3" s="1"/>
  <c r="AH93" i="3"/>
  <c r="BQ91" i="3"/>
  <c r="AU92" i="3"/>
  <c r="AV92" i="3" s="1"/>
  <c r="BF90" i="3"/>
  <c r="BJ89" i="3" s="1"/>
  <c r="BK89" i="3" s="1"/>
  <c r="BQ90" i="3"/>
  <c r="BB90" i="3"/>
  <c r="BM93" i="3"/>
  <c r="AY91" i="3"/>
  <c r="BC91" i="3" s="1"/>
  <c r="AG93" i="3"/>
  <c r="BD90" i="3"/>
  <c r="BG90" i="3"/>
  <c r="BH90" i="3" s="1"/>
  <c r="BI90" i="3" s="1"/>
  <c r="AO93" i="3"/>
  <c r="X93" i="3"/>
  <c r="AQ94" i="3"/>
  <c r="A95" i="3"/>
  <c r="B94" i="3"/>
  <c r="AR94" i="3"/>
  <c r="C94" i="3"/>
  <c r="D94" i="3"/>
  <c r="F94" i="3"/>
  <c r="G94" i="3"/>
  <c r="H94" i="3" s="1"/>
  <c r="BN94" i="3" s="1"/>
  <c r="Q94" i="3"/>
  <c r="S94" i="3"/>
  <c r="O94" i="3"/>
  <c r="U94" i="3"/>
  <c r="M94" i="3"/>
  <c r="AM94" i="3"/>
  <c r="AK94" i="3"/>
  <c r="AO94" i="3" s="1"/>
  <c r="AE94" i="3"/>
  <c r="AF94" i="3"/>
  <c r="AD94" i="3"/>
  <c r="V94" i="3"/>
  <c r="P94" i="3"/>
  <c r="R94" i="3"/>
  <c r="T94" i="3"/>
  <c r="BM94" i="3" l="1"/>
  <c r="BF91" i="3"/>
  <c r="AT93" i="3"/>
  <c r="AX93" i="3"/>
  <c r="AH94" i="3"/>
  <c r="BC92" i="3"/>
  <c r="BG92" i="3" s="1"/>
  <c r="BH92" i="3" s="1"/>
  <c r="BI92" i="3" s="1"/>
  <c r="BA92" i="3"/>
  <c r="BF92" i="3" s="1"/>
  <c r="BJ91" i="3" s="1"/>
  <c r="BK91" i="3" s="1"/>
  <c r="BD91" i="3"/>
  <c r="BG91" i="3"/>
  <c r="BH91" i="3" s="1"/>
  <c r="BI91" i="3" s="1"/>
  <c r="A96" i="3"/>
  <c r="B95" i="3"/>
  <c r="AQ95" i="3"/>
  <c r="AR95" i="3"/>
  <c r="D95" i="3"/>
  <c r="C95" i="3"/>
  <c r="G95" i="3"/>
  <c r="H95" i="3" s="1"/>
  <c r="F95" i="3"/>
  <c r="S95" i="3"/>
  <c r="Q95" i="3"/>
  <c r="O95" i="3"/>
  <c r="U95" i="3"/>
  <c r="AD95" i="3"/>
  <c r="AM95" i="3"/>
  <c r="AK95" i="3"/>
  <c r="AE95" i="3"/>
  <c r="AF95" i="3"/>
  <c r="M95" i="3"/>
  <c r="R95" i="3"/>
  <c r="P95" i="3"/>
  <c r="T95" i="3"/>
  <c r="V95" i="3"/>
  <c r="AN94" i="3"/>
  <c r="BJ90" i="3"/>
  <c r="BK90" i="3" s="1"/>
  <c r="X94" i="3"/>
  <c r="AG94" i="3"/>
  <c r="AW93" i="3"/>
  <c r="AY93" i="3" s="1"/>
  <c r="Y94" i="3"/>
  <c r="Z94" i="3" s="1"/>
  <c r="AU93" i="3"/>
  <c r="BD92" i="3" l="1"/>
  <c r="BA93" i="3"/>
  <c r="BQ93" i="3" s="1"/>
  <c r="BB92" i="3"/>
  <c r="BQ92" i="3"/>
  <c r="AX94" i="3"/>
  <c r="Y95" i="3"/>
  <c r="Z95" i="3" s="1"/>
  <c r="AH95" i="3"/>
  <c r="AN95" i="3"/>
  <c r="AW94" i="3"/>
  <c r="BF93" i="3"/>
  <c r="BJ92" i="3" s="1"/>
  <c r="BK92" i="3" s="1"/>
  <c r="BB93" i="3"/>
  <c r="AT94" i="3"/>
  <c r="AU94" i="3"/>
  <c r="A97" i="3"/>
  <c r="B96" i="3"/>
  <c r="AQ96" i="3"/>
  <c r="AR96" i="3"/>
  <c r="D96" i="3"/>
  <c r="C96" i="3"/>
  <c r="F96" i="3"/>
  <c r="BM96" i="3" s="1"/>
  <c r="G96" i="3"/>
  <c r="H96" i="3" s="1"/>
  <c r="Q96" i="3"/>
  <c r="S96" i="3"/>
  <c r="O96" i="3"/>
  <c r="U96" i="3"/>
  <c r="AF96" i="3"/>
  <c r="AK96" i="3"/>
  <c r="AM96" i="3"/>
  <c r="AE96" i="3"/>
  <c r="M96" i="3"/>
  <c r="AD96" i="3"/>
  <c r="V96" i="3"/>
  <c r="R96" i="3"/>
  <c r="P96" i="3"/>
  <c r="T96" i="3"/>
  <c r="X95" i="3"/>
  <c r="AV93" i="3"/>
  <c r="BC93" i="3" s="1"/>
  <c r="AG95" i="3"/>
  <c r="BM95" i="3"/>
  <c r="AO95" i="3"/>
  <c r="BN95" i="3"/>
  <c r="AU95" i="3" l="1"/>
  <c r="BN96" i="3"/>
  <c r="AT95" i="3"/>
  <c r="AX95" i="3"/>
  <c r="AY94" i="3"/>
  <c r="AG96" i="3"/>
  <c r="AN96" i="3"/>
  <c r="BA94" i="3"/>
  <c r="AV94" i="3"/>
  <c r="Y96" i="3"/>
  <c r="Z96" i="3" s="1"/>
  <c r="AV95" i="3"/>
  <c r="X96" i="3"/>
  <c r="AH96" i="3"/>
  <c r="AO96" i="3"/>
  <c r="AW95" i="3"/>
  <c r="BA95" i="3" s="1"/>
  <c r="BD93" i="3"/>
  <c r="BG93" i="3"/>
  <c r="BH93" i="3" s="1"/>
  <c r="BI93" i="3" s="1"/>
  <c r="AQ97" i="3"/>
  <c r="A98" i="3"/>
  <c r="B97" i="3"/>
  <c r="AR97" i="3"/>
  <c r="C97" i="3"/>
  <c r="D97" i="3"/>
  <c r="F97" i="3"/>
  <c r="BM97" i="3" s="1"/>
  <c r="G97" i="3"/>
  <c r="H97" i="3" s="1"/>
  <c r="Q97" i="3"/>
  <c r="S97" i="3"/>
  <c r="O97" i="3"/>
  <c r="U97" i="3"/>
  <c r="M97" i="3"/>
  <c r="AM97" i="3"/>
  <c r="AK97" i="3"/>
  <c r="AO97" i="3" s="1"/>
  <c r="AE97" i="3"/>
  <c r="AF97" i="3"/>
  <c r="AD97" i="3"/>
  <c r="P97" i="3"/>
  <c r="V97" i="3"/>
  <c r="R97" i="3"/>
  <c r="T97" i="3"/>
  <c r="AT96" i="3" l="1"/>
  <c r="BN97" i="3"/>
  <c r="AY95" i="3"/>
  <c r="BC95" i="3" s="1"/>
  <c r="BC94" i="3"/>
  <c r="BD94" i="3" s="1"/>
  <c r="BF95" i="3"/>
  <c r="BB95" i="3"/>
  <c r="BQ95" i="3"/>
  <c r="Y97" i="3"/>
  <c r="Z97" i="3" s="1"/>
  <c r="AG97" i="3"/>
  <c r="AN97" i="3"/>
  <c r="X97" i="3"/>
  <c r="AX96" i="3"/>
  <c r="BB94" i="3"/>
  <c r="BQ94" i="3"/>
  <c r="BF94" i="3"/>
  <c r="BJ93" i="3" s="1"/>
  <c r="BK93" i="3" s="1"/>
  <c r="AH97" i="3"/>
  <c r="AQ98" i="3"/>
  <c r="A99" i="3"/>
  <c r="B98" i="3"/>
  <c r="AR98" i="3"/>
  <c r="C98" i="3"/>
  <c r="D98" i="3"/>
  <c r="G98" i="3"/>
  <c r="H98" i="3" s="1"/>
  <c r="BN98" i="3" s="1"/>
  <c r="F98" i="3"/>
  <c r="BM98" i="3" s="1"/>
  <c r="Q98" i="3"/>
  <c r="S98" i="3"/>
  <c r="O98" i="3"/>
  <c r="U98" i="3"/>
  <c r="M98" i="3"/>
  <c r="AK98" i="3"/>
  <c r="AM98" i="3"/>
  <c r="AN98" i="3" s="1"/>
  <c r="AF98" i="3"/>
  <c r="AE98" i="3"/>
  <c r="AD98" i="3"/>
  <c r="V98" i="3"/>
  <c r="R98" i="3"/>
  <c r="P98" i="3"/>
  <c r="T98" i="3"/>
  <c r="AU96" i="3"/>
  <c r="AV96" i="3" s="1"/>
  <c r="AW96" i="3"/>
  <c r="AY96" i="3" s="1"/>
  <c r="BD95" i="3" l="1"/>
  <c r="BG95" i="3"/>
  <c r="BH95" i="3" s="1"/>
  <c r="BI95" i="3" s="1"/>
  <c r="BG94" i="3"/>
  <c r="BH94" i="3" s="1"/>
  <c r="BI94" i="3" s="1"/>
  <c r="AX97" i="3"/>
  <c r="BC96" i="3"/>
  <c r="BG96" i="3" s="1"/>
  <c r="BH96" i="3" s="1"/>
  <c r="BI96" i="3" s="1"/>
  <c r="Y98" i="3"/>
  <c r="Z98" i="3" s="1"/>
  <c r="AH98" i="3"/>
  <c r="BD96" i="3"/>
  <c r="A100" i="3"/>
  <c r="B99" i="3"/>
  <c r="AR99" i="3"/>
  <c r="AQ99" i="3"/>
  <c r="D99" i="3"/>
  <c r="C99" i="3"/>
  <c r="F99" i="3"/>
  <c r="G99" i="3"/>
  <c r="H99" i="3" s="1"/>
  <c r="S99" i="3"/>
  <c r="Q99" i="3"/>
  <c r="O99" i="3"/>
  <c r="U99" i="3"/>
  <c r="AF99" i="3"/>
  <c r="AM99" i="3"/>
  <c r="AD99" i="3"/>
  <c r="AK99" i="3"/>
  <c r="AE99" i="3"/>
  <c r="M99" i="3"/>
  <c r="V99" i="3"/>
  <c r="P99" i="3"/>
  <c r="R99" i="3"/>
  <c r="T99" i="3"/>
  <c r="AT97" i="3"/>
  <c r="AO98" i="3"/>
  <c r="BA96" i="3"/>
  <c r="AG98" i="3"/>
  <c r="BJ94" i="3"/>
  <c r="BK94" i="3" s="1"/>
  <c r="X98" i="3"/>
  <c r="AW97" i="3"/>
  <c r="AY97" i="3" s="1"/>
  <c r="AU97" i="3"/>
  <c r="AW98" i="3" l="1"/>
  <c r="AX98" i="3"/>
  <c r="AN99" i="3"/>
  <c r="Y99" i="3"/>
  <c r="Z99" i="3" s="1"/>
  <c r="AT98" i="3"/>
  <c r="AG99" i="3"/>
  <c r="B100" i="3"/>
  <c r="AQ100" i="3"/>
  <c r="A101" i="3"/>
  <c r="AR100" i="3"/>
  <c r="C100" i="3"/>
  <c r="D100" i="3"/>
  <c r="F100" i="3"/>
  <c r="BM100" i="3" s="1"/>
  <c r="G100" i="3"/>
  <c r="H100" i="3" s="1"/>
  <c r="BN100" i="3" s="1"/>
  <c r="Q100" i="3"/>
  <c r="S100" i="3"/>
  <c r="O100" i="3"/>
  <c r="U100" i="3"/>
  <c r="AF100" i="3"/>
  <c r="AK100" i="3"/>
  <c r="AM100" i="3"/>
  <c r="AN100" i="3" s="1"/>
  <c r="M100" i="3"/>
  <c r="AE100" i="3"/>
  <c r="AD100" i="3"/>
  <c r="AH100" i="3" s="1"/>
  <c r="R100" i="3"/>
  <c r="P100" i="3"/>
  <c r="V100" i="3"/>
  <c r="T100" i="3"/>
  <c r="X99" i="3"/>
  <c r="BN99" i="3"/>
  <c r="BF96" i="3"/>
  <c r="BJ95" i="3" s="1"/>
  <c r="BK95" i="3" s="1"/>
  <c r="BQ96" i="3"/>
  <c r="BB96" i="3"/>
  <c r="AO99" i="3"/>
  <c r="AU98" i="3"/>
  <c r="AV97" i="3"/>
  <c r="BC97" i="3" s="1"/>
  <c r="BA97" i="3"/>
  <c r="AH99" i="3"/>
  <c r="AX99" i="3" s="1"/>
  <c r="BM99" i="3"/>
  <c r="AY98" i="3" l="1"/>
  <c r="AG100" i="3"/>
  <c r="AV98" i="3"/>
  <c r="BC98" i="3" s="1"/>
  <c r="BA98" i="3"/>
  <c r="AU100" i="3"/>
  <c r="BD97" i="3"/>
  <c r="BG97" i="3"/>
  <c r="BH97" i="3" s="1"/>
  <c r="BI97" i="3" s="1"/>
  <c r="AW99" i="3"/>
  <c r="AY99" i="3" s="1"/>
  <c r="AO100" i="3"/>
  <c r="AQ101" i="3"/>
  <c r="B101" i="3"/>
  <c r="AR101" i="3"/>
  <c r="A102" i="3"/>
  <c r="C101" i="3"/>
  <c r="D101" i="3"/>
  <c r="G101" i="3"/>
  <c r="H101" i="3" s="1"/>
  <c r="BN101" i="3" s="1"/>
  <c r="F101" i="3"/>
  <c r="Q101" i="3"/>
  <c r="S101" i="3"/>
  <c r="O101" i="3"/>
  <c r="U101" i="3"/>
  <c r="AF101" i="3"/>
  <c r="AD101" i="3"/>
  <c r="AK101" i="3"/>
  <c r="AM101" i="3"/>
  <c r="AE101" i="3"/>
  <c r="M101" i="3"/>
  <c r="R101" i="3"/>
  <c r="V101" i="3"/>
  <c r="T101" i="3"/>
  <c r="P101" i="3"/>
  <c r="AT99" i="3"/>
  <c r="BB97" i="3"/>
  <c r="BQ97" i="3"/>
  <c r="BF97" i="3"/>
  <c r="AU99" i="3"/>
  <c r="Y100" i="3"/>
  <c r="Z100" i="3" s="1"/>
  <c r="X100" i="3"/>
  <c r="BM101" i="3" l="1"/>
  <c r="Y101" i="3"/>
  <c r="Z101" i="3" s="1"/>
  <c r="AG101" i="3"/>
  <c r="AN101" i="3"/>
  <c r="A103" i="3"/>
  <c r="AR102" i="3"/>
  <c r="AQ102" i="3"/>
  <c r="B102" i="3"/>
  <c r="C102" i="3"/>
  <c r="D102" i="3"/>
  <c r="F102" i="3"/>
  <c r="BM102" i="3" s="1"/>
  <c r="G102" i="3"/>
  <c r="H102" i="3" s="1"/>
  <c r="BN102" i="3" s="1"/>
  <c r="S102" i="3"/>
  <c r="Q102" i="3"/>
  <c r="O102" i="3"/>
  <c r="U102" i="3"/>
  <c r="AM102" i="3"/>
  <c r="AF102" i="3"/>
  <c r="AD102" i="3"/>
  <c r="AK102" i="3"/>
  <c r="AE102" i="3"/>
  <c r="M102" i="3"/>
  <c r="V102" i="3"/>
  <c r="R102" i="3"/>
  <c r="T102" i="3"/>
  <c r="P102" i="3"/>
  <c r="BB98" i="3"/>
  <c r="BF98" i="3"/>
  <c r="BJ97" i="3" s="1"/>
  <c r="BK97" i="3" s="1"/>
  <c r="BQ98" i="3"/>
  <c r="AW100" i="3"/>
  <c r="AO101" i="3"/>
  <c r="AH101" i="3"/>
  <c r="AX101" i="3" s="1"/>
  <c r="AX100" i="3"/>
  <c r="BJ96" i="3"/>
  <c r="BK96" i="3" s="1"/>
  <c r="BD98" i="3"/>
  <c r="BG98" i="3"/>
  <c r="BH98" i="3" s="1"/>
  <c r="BI98" i="3" s="1"/>
  <c r="BA99" i="3"/>
  <c r="AV99" i="3"/>
  <c r="BC99" i="3" s="1"/>
  <c r="X101" i="3"/>
  <c r="AT100" i="3"/>
  <c r="AY100" i="3" l="1"/>
  <c r="AO102" i="3"/>
  <c r="AU101" i="3"/>
  <c r="AH102" i="3"/>
  <c r="BD99" i="3"/>
  <c r="BG99" i="3"/>
  <c r="BH99" i="3" s="1"/>
  <c r="BI99" i="3" s="1"/>
  <c r="AT101" i="3"/>
  <c r="AW101" i="3"/>
  <c r="AY101" i="3" s="1"/>
  <c r="BB99" i="3"/>
  <c r="BQ99" i="3"/>
  <c r="BF99" i="3"/>
  <c r="BJ98" i="3" s="1"/>
  <c r="BK98" i="3" s="1"/>
  <c r="AN102" i="3"/>
  <c r="X102" i="3"/>
  <c r="Y102" i="3"/>
  <c r="Z102" i="3" s="1"/>
  <c r="AV100" i="3"/>
  <c r="BC100" i="3" s="1"/>
  <c r="BA100" i="3"/>
  <c r="AG102" i="3"/>
  <c r="B103" i="3"/>
  <c r="AR103" i="3"/>
  <c r="A104" i="3"/>
  <c r="AQ103" i="3"/>
  <c r="D103" i="3"/>
  <c r="C103" i="3"/>
  <c r="F103" i="3"/>
  <c r="G103" i="3"/>
  <c r="H103" i="3" s="1"/>
  <c r="S103" i="3"/>
  <c r="Q103" i="3"/>
  <c r="O103" i="3"/>
  <c r="U103" i="3"/>
  <c r="AM103" i="3"/>
  <c r="AK103" i="3"/>
  <c r="M103" i="3"/>
  <c r="AE103" i="3"/>
  <c r="AF103" i="3"/>
  <c r="AD103" i="3"/>
  <c r="V103" i="3"/>
  <c r="P103" i="3"/>
  <c r="T103" i="3"/>
  <c r="R103" i="3"/>
  <c r="AT102" i="3" l="1"/>
  <c r="AH103" i="3"/>
  <c r="AU102" i="3"/>
  <c r="AV102" i="3" s="1"/>
  <c r="AX102" i="3"/>
  <c r="AN103" i="3"/>
  <c r="AW102" i="3"/>
  <c r="AO103" i="3"/>
  <c r="BD100" i="3"/>
  <c r="BG100" i="3"/>
  <c r="BH100" i="3" s="1"/>
  <c r="BI100" i="3" s="1"/>
  <c r="AQ104" i="3"/>
  <c r="A105" i="3"/>
  <c r="AR104" i="3"/>
  <c r="B104" i="3"/>
  <c r="C104" i="3"/>
  <c r="D104" i="3"/>
  <c r="G104" i="3"/>
  <c r="H104" i="3" s="1"/>
  <c r="F104" i="3"/>
  <c r="Q104" i="3"/>
  <c r="S104" i="3"/>
  <c r="O104" i="3"/>
  <c r="U104" i="3"/>
  <c r="AE104" i="3"/>
  <c r="AD104" i="3"/>
  <c r="AH104" i="3" s="1"/>
  <c r="AK104" i="3"/>
  <c r="AM104" i="3"/>
  <c r="M104" i="3"/>
  <c r="AF104" i="3"/>
  <c r="T104" i="3"/>
  <c r="R104" i="3"/>
  <c r="P104" i="3"/>
  <c r="V104" i="3"/>
  <c r="AG103" i="3"/>
  <c r="X103" i="3"/>
  <c r="Y103" i="3"/>
  <c r="Z103" i="3" s="1"/>
  <c r="BA101" i="3"/>
  <c r="AV101" i="3"/>
  <c r="BC101" i="3" s="1"/>
  <c r="BN103" i="3"/>
  <c r="BM103" i="3"/>
  <c r="BQ100" i="3"/>
  <c r="BB100" i="3"/>
  <c r="BF100" i="3"/>
  <c r="BJ99" i="3" s="1"/>
  <c r="BK99" i="3" s="1"/>
  <c r="AY102" i="3" l="1"/>
  <c r="BA102" i="3"/>
  <c r="BQ102" i="3" s="1"/>
  <c r="BM104" i="3"/>
  <c r="AW103" i="3"/>
  <c r="BN104" i="3"/>
  <c r="AN104" i="3"/>
  <c r="AU103" i="3"/>
  <c r="AO104" i="3"/>
  <c r="BB102" i="3"/>
  <c r="BF102" i="3"/>
  <c r="Y104" i="3"/>
  <c r="Z104" i="3" s="1"/>
  <c r="BC102" i="3"/>
  <c r="BD101" i="3"/>
  <c r="BG101" i="3"/>
  <c r="BH101" i="3" s="1"/>
  <c r="BI101" i="3" s="1"/>
  <c r="AX103" i="3"/>
  <c r="AY103" i="3" s="1"/>
  <c r="BF101" i="3"/>
  <c r="BJ100" i="3" s="1"/>
  <c r="BK100" i="3" s="1"/>
  <c r="BB101" i="3"/>
  <c r="BQ101" i="3"/>
  <c r="AT103" i="3"/>
  <c r="AG104" i="3"/>
  <c r="AT104" i="3" s="1"/>
  <c r="X104" i="3"/>
  <c r="AQ105" i="3"/>
  <c r="B105" i="3"/>
  <c r="A106" i="3"/>
  <c r="AR105" i="3"/>
  <c r="C105" i="3"/>
  <c r="D105" i="3"/>
  <c r="G105" i="3"/>
  <c r="H105" i="3" s="1"/>
  <c r="BN105" i="3" s="1"/>
  <c r="F105" i="3"/>
  <c r="BM105" i="3" s="1"/>
  <c r="Q105" i="3"/>
  <c r="S105" i="3"/>
  <c r="O105" i="3"/>
  <c r="U105" i="3"/>
  <c r="M105" i="3"/>
  <c r="AD105" i="3"/>
  <c r="AM105" i="3"/>
  <c r="AK105" i="3"/>
  <c r="AE105" i="3"/>
  <c r="AF105" i="3"/>
  <c r="P105" i="3"/>
  <c r="R105" i="3"/>
  <c r="V105" i="3"/>
  <c r="T105" i="3"/>
  <c r="AO105" i="3" l="1"/>
  <c r="BJ101" i="3"/>
  <c r="BK101" i="3" s="1"/>
  <c r="X105" i="3"/>
  <c r="AW104" i="3"/>
  <c r="AV103" i="3"/>
  <c r="BC103" i="3" s="1"/>
  <c r="BA103" i="3"/>
  <c r="AG105" i="3"/>
  <c r="AN105" i="3"/>
  <c r="AX104" i="3"/>
  <c r="A107" i="3"/>
  <c r="AR106" i="3"/>
  <c r="B106" i="3"/>
  <c r="AQ106" i="3"/>
  <c r="C106" i="3"/>
  <c r="D106" i="3"/>
  <c r="G106" i="3"/>
  <c r="H106" i="3" s="1"/>
  <c r="BN106" i="3" s="1"/>
  <c r="F106" i="3"/>
  <c r="S106" i="3"/>
  <c r="Q106" i="3"/>
  <c r="O106" i="3"/>
  <c r="U106" i="3"/>
  <c r="AD106" i="3"/>
  <c r="M106" i="3"/>
  <c r="AF106" i="3"/>
  <c r="AK106" i="3"/>
  <c r="AM106" i="3"/>
  <c r="AE106" i="3"/>
  <c r="R106" i="3"/>
  <c r="V106" i="3"/>
  <c r="P106" i="3"/>
  <c r="T106" i="3"/>
  <c r="BD102" i="3"/>
  <c r="BG102" i="3"/>
  <c r="BH102" i="3" s="1"/>
  <c r="BI102" i="3" s="1"/>
  <c r="AH105" i="3"/>
  <c r="Y105" i="3"/>
  <c r="Z105" i="3" s="1"/>
  <c r="AU104" i="3"/>
  <c r="AY104" i="3" l="1"/>
  <c r="BA104" i="3"/>
  <c r="AU105" i="3"/>
  <c r="AN106" i="3"/>
  <c r="AH106" i="3"/>
  <c r="BQ104" i="3"/>
  <c r="BB104" i="3"/>
  <c r="BF104" i="3"/>
  <c r="X106" i="3"/>
  <c r="AX105" i="3"/>
  <c r="BM106" i="3"/>
  <c r="AT105" i="3"/>
  <c r="BG103" i="3"/>
  <c r="BH103" i="3" s="1"/>
  <c r="BI103" i="3" s="1"/>
  <c r="BD103" i="3"/>
  <c r="AG106" i="3"/>
  <c r="BF103" i="3"/>
  <c r="BJ102" i="3" s="1"/>
  <c r="BK102" i="3" s="1"/>
  <c r="BQ103" i="3"/>
  <c r="BB103" i="3"/>
  <c r="AO106" i="3"/>
  <c r="AV104" i="3"/>
  <c r="BC104" i="3" s="1"/>
  <c r="Y106" i="3"/>
  <c r="Z106" i="3" s="1"/>
  <c r="AW105" i="3"/>
  <c r="B107" i="3"/>
  <c r="AR107" i="3"/>
  <c r="A108" i="3"/>
  <c r="AQ107" i="3"/>
  <c r="C107" i="3"/>
  <c r="D107" i="3"/>
  <c r="G107" i="3"/>
  <c r="H107" i="3" s="1"/>
  <c r="BN107" i="3" s="1"/>
  <c r="F107" i="3"/>
  <c r="BM107" i="3" s="1"/>
  <c r="Q107" i="3"/>
  <c r="S107" i="3"/>
  <c r="O107" i="3"/>
  <c r="U107" i="3"/>
  <c r="AK107" i="3"/>
  <c r="AF107" i="3"/>
  <c r="AM107" i="3"/>
  <c r="AD107" i="3"/>
  <c r="M107" i="3"/>
  <c r="AE107" i="3"/>
  <c r="P107" i="3"/>
  <c r="V107" i="3"/>
  <c r="R107" i="3"/>
  <c r="T107" i="3"/>
  <c r="Y107" i="3" l="1"/>
  <c r="Z107" i="3" s="1"/>
  <c r="AG107" i="3"/>
  <c r="AW106" i="3"/>
  <c r="AN107" i="3"/>
  <c r="AV105" i="3"/>
  <c r="BA105" i="3"/>
  <c r="AQ108" i="3"/>
  <c r="A109" i="3"/>
  <c r="B108" i="3"/>
  <c r="AR108" i="3"/>
  <c r="D108" i="3"/>
  <c r="C108" i="3"/>
  <c r="G108" i="3"/>
  <c r="H108" i="3" s="1"/>
  <c r="F108" i="3"/>
  <c r="BM108" i="3" s="1"/>
  <c r="Q108" i="3"/>
  <c r="S108" i="3"/>
  <c r="O108" i="3"/>
  <c r="U108" i="3"/>
  <c r="AK108" i="3"/>
  <c r="AD108" i="3"/>
  <c r="AM108" i="3"/>
  <c r="AF108" i="3"/>
  <c r="M108" i="3"/>
  <c r="AE108" i="3"/>
  <c r="V108" i="3"/>
  <c r="P108" i="3"/>
  <c r="R108" i="3"/>
  <c r="T108" i="3"/>
  <c r="AH107" i="3"/>
  <c r="AT107" i="3" s="1"/>
  <c r="AX106" i="3"/>
  <c r="AY106" i="3" s="1"/>
  <c r="BJ103" i="3"/>
  <c r="BK103" i="3" s="1"/>
  <c r="BD104" i="3"/>
  <c r="BG104" i="3"/>
  <c r="BH104" i="3" s="1"/>
  <c r="BI104" i="3" s="1"/>
  <c r="AT106" i="3"/>
  <c r="AY105" i="3"/>
  <c r="AU106" i="3"/>
  <c r="AO107" i="3"/>
  <c r="X107" i="3"/>
  <c r="AG108" i="3" l="1"/>
  <c r="AW107" i="3"/>
  <c r="AO108" i="3"/>
  <c r="X108" i="3"/>
  <c r="BF105" i="3"/>
  <c r="BJ104" i="3" s="1"/>
  <c r="BK104" i="3" s="1"/>
  <c r="BB105" i="3"/>
  <c r="BQ105" i="3"/>
  <c r="Y108" i="3"/>
  <c r="Z108" i="3" s="1"/>
  <c r="AX107" i="3"/>
  <c r="BN108" i="3"/>
  <c r="BC105" i="3"/>
  <c r="AR109" i="3"/>
  <c r="D109" i="3"/>
  <c r="A110" i="3"/>
  <c r="B109" i="3"/>
  <c r="AQ109" i="3"/>
  <c r="C109" i="3"/>
  <c r="F109" i="3"/>
  <c r="BM109" i="3" s="1"/>
  <c r="G109" i="3"/>
  <c r="H109" i="3" s="1"/>
  <c r="Q109" i="3"/>
  <c r="S109" i="3"/>
  <c r="O109" i="3"/>
  <c r="U109" i="3"/>
  <c r="AM109" i="3"/>
  <c r="AD109" i="3"/>
  <c r="AK109" i="3"/>
  <c r="AF109" i="3"/>
  <c r="M109" i="3"/>
  <c r="AE109" i="3"/>
  <c r="V109" i="3"/>
  <c r="P109" i="3"/>
  <c r="R109" i="3"/>
  <c r="T109" i="3"/>
  <c r="AN108" i="3"/>
  <c r="BA106" i="3"/>
  <c r="AV106" i="3"/>
  <c r="BC106" i="3" s="1"/>
  <c r="AH108" i="3"/>
  <c r="AX108" i="3" s="1"/>
  <c r="AU107" i="3"/>
  <c r="AV107" i="3" s="1"/>
  <c r="AY107" i="3" l="1"/>
  <c r="AG109" i="3"/>
  <c r="AO109" i="3"/>
  <c r="BA107" i="3"/>
  <c r="BQ107" i="3" s="1"/>
  <c r="BN109" i="3"/>
  <c r="BC107" i="3"/>
  <c r="BD105" i="3"/>
  <c r="BG105" i="3"/>
  <c r="BH105" i="3" s="1"/>
  <c r="BI105" i="3" s="1"/>
  <c r="AW108" i="3"/>
  <c r="AY108" i="3" s="1"/>
  <c r="BD106" i="3"/>
  <c r="BG106" i="3"/>
  <c r="BH106" i="3" s="1"/>
  <c r="BI106" i="3" s="1"/>
  <c r="AT108" i="3"/>
  <c r="BB106" i="3"/>
  <c r="BF106" i="3"/>
  <c r="BJ105" i="3" s="1"/>
  <c r="BQ106" i="3"/>
  <c r="AH109" i="3"/>
  <c r="AN109" i="3"/>
  <c r="X109" i="3"/>
  <c r="Y109" i="3"/>
  <c r="Z109" i="3" s="1"/>
  <c r="AR110" i="3"/>
  <c r="B110" i="3"/>
  <c r="AQ110" i="3"/>
  <c r="A111" i="3"/>
  <c r="C110" i="3"/>
  <c r="D110" i="3"/>
  <c r="G110" i="3"/>
  <c r="H110" i="3" s="1"/>
  <c r="BN110" i="3" s="1"/>
  <c r="F110" i="3"/>
  <c r="Q110" i="3"/>
  <c r="S110" i="3"/>
  <c r="O110" i="3"/>
  <c r="U110" i="3"/>
  <c r="AD110" i="3"/>
  <c r="AE110" i="3"/>
  <c r="AK110" i="3"/>
  <c r="AM110" i="3"/>
  <c r="AN110" i="3" s="1"/>
  <c r="M110" i="3"/>
  <c r="AF110" i="3"/>
  <c r="P110" i="3"/>
  <c r="V110" i="3"/>
  <c r="R110" i="3"/>
  <c r="T110" i="3"/>
  <c r="AU108" i="3"/>
  <c r="BM110" i="3" l="1"/>
  <c r="AU109" i="3"/>
  <c r="AT109" i="3"/>
  <c r="BB107" i="3"/>
  <c r="BK105" i="3"/>
  <c r="BF107" i="3"/>
  <c r="AG110" i="3"/>
  <c r="AH110" i="3"/>
  <c r="AU110" i="3" s="1"/>
  <c r="BG107" i="3"/>
  <c r="BH107" i="3" s="1"/>
  <c r="BI107" i="3" s="1"/>
  <c r="BD107" i="3"/>
  <c r="AO110" i="3"/>
  <c r="BA108" i="3"/>
  <c r="AV108" i="3"/>
  <c r="BC108" i="3" s="1"/>
  <c r="AX109" i="3"/>
  <c r="BJ106" i="3"/>
  <c r="BK106" i="3" s="1"/>
  <c r="AV109" i="3"/>
  <c r="X110" i="3"/>
  <c r="Y110" i="3"/>
  <c r="Z110" i="3" s="1"/>
  <c r="AQ111" i="3"/>
  <c r="B111" i="3"/>
  <c r="AR111" i="3"/>
  <c r="A112" i="3"/>
  <c r="C111" i="3"/>
  <c r="D111" i="3"/>
  <c r="F111" i="3"/>
  <c r="G111" i="3"/>
  <c r="H111" i="3" s="1"/>
  <c r="Q111" i="3"/>
  <c r="S111" i="3"/>
  <c r="O111" i="3"/>
  <c r="U111" i="3"/>
  <c r="M111" i="3"/>
  <c r="AD111" i="3"/>
  <c r="AK111" i="3"/>
  <c r="AM111" i="3"/>
  <c r="AN111" i="3" s="1"/>
  <c r="AE111" i="3"/>
  <c r="AF111" i="3"/>
  <c r="V111" i="3"/>
  <c r="P111" i="3"/>
  <c r="T111" i="3"/>
  <c r="R111" i="3"/>
  <c r="AW109" i="3"/>
  <c r="AY109" i="3" l="1"/>
  <c r="BN111" i="3"/>
  <c r="AT110" i="3"/>
  <c r="BM111" i="3"/>
  <c r="AG111" i="3"/>
  <c r="BD108" i="3"/>
  <c r="BG108" i="3"/>
  <c r="BH108" i="3" s="1"/>
  <c r="BI108" i="3" s="1"/>
  <c r="AV110" i="3"/>
  <c r="X111" i="3"/>
  <c r="B112" i="3"/>
  <c r="A113" i="3"/>
  <c r="AQ112" i="3"/>
  <c r="AR112" i="3"/>
  <c r="D112" i="3"/>
  <c r="C112" i="3"/>
  <c r="F112" i="3"/>
  <c r="BM112" i="3" s="1"/>
  <c r="G112" i="3"/>
  <c r="H112" i="3" s="1"/>
  <c r="Q112" i="3"/>
  <c r="S112" i="3"/>
  <c r="O112" i="3"/>
  <c r="U112" i="3"/>
  <c r="AF112" i="3"/>
  <c r="AE112" i="3"/>
  <c r="AK112" i="3"/>
  <c r="AM112" i="3"/>
  <c r="AD112" i="3"/>
  <c r="M112" i="3"/>
  <c r="P112" i="3"/>
  <c r="T112" i="3"/>
  <c r="V112" i="3"/>
  <c r="R112" i="3"/>
  <c r="BC109" i="3"/>
  <c r="BQ108" i="3"/>
  <c r="BF108" i="3"/>
  <c r="BJ107" i="3" s="1"/>
  <c r="BK107" i="3" s="1"/>
  <c r="BB108" i="3"/>
  <c r="AX110" i="3"/>
  <c r="AO111" i="3"/>
  <c r="BA109" i="3"/>
  <c r="Y111" i="3"/>
  <c r="Z111" i="3" s="1"/>
  <c r="AH111" i="3"/>
  <c r="AX111" i="3" s="1"/>
  <c r="AW110" i="3"/>
  <c r="AN112" i="3" l="1"/>
  <c r="BN112" i="3"/>
  <c r="BA110" i="3"/>
  <c r="AG112" i="3"/>
  <c r="BB109" i="3"/>
  <c r="BF109" i="3"/>
  <c r="BJ108" i="3" s="1"/>
  <c r="BK108" i="3" s="1"/>
  <c r="BQ109" i="3"/>
  <c r="Y112" i="3"/>
  <c r="Z112" i="3" s="1"/>
  <c r="BD109" i="3"/>
  <c r="BG109" i="3"/>
  <c r="BH109" i="3" s="1"/>
  <c r="BI109" i="3" s="1"/>
  <c r="AT111" i="3"/>
  <c r="A114" i="3"/>
  <c r="AQ113" i="3"/>
  <c r="AR113" i="3"/>
  <c r="B113" i="3"/>
  <c r="D113" i="3"/>
  <c r="C113" i="3"/>
  <c r="F113" i="3"/>
  <c r="BM113" i="3" s="1"/>
  <c r="G113" i="3"/>
  <c r="H113" i="3" s="1"/>
  <c r="Q113" i="3"/>
  <c r="S113" i="3"/>
  <c r="O113" i="3"/>
  <c r="U113" i="3"/>
  <c r="AM113" i="3"/>
  <c r="M113" i="3"/>
  <c r="AF113" i="3"/>
  <c r="AK113" i="3"/>
  <c r="AE113" i="3"/>
  <c r="AD113" i="3"/>
  <c r="V113" i="3"/>
  <c r="R113" i="3"/>
  <c r="T113" i="3"/>
  <c r="P113" i="3"/>
  <c r="AO112" i="3"/>
  <c r="BF110" i="3"/>
  <c r="BQ110" i="3"/>
  <c r="BB110" i="3"/>
  <c r="X112" i="3"/>
  <c r="AH112" i="3"/>
  <c r="AT112" i="3" s="1"/>
  <c r="AW111" i="3"/>
  <c r="AY111" i="3" s="1"/>
  <c r="AY110" i="3"/>
  <c r="BC110" i="3" s="1"/>
  <c r="AU111" i="3"/>
  <c r="BN113" i="3" l="1"/>
  <c r="AH113" i="3"/>
  <c r="BJ109" i="3"/>
  <c r="BK109" i="3" s="1"/>
  <c r="AU112" i="3"/>
  <c r="Y113" i="3"/>
  <c r="Z113" i="3" s="1"/>
  <c r="AO113" i="3"/>
  <c r="AW112" i="3"/>
  <c r="AG113" i="3"/>
  <c r="AT113" i="3" s="1"/>
  <c r="AV111" i="3"/>
  <c r="BC111" i="3" s="1"/>
  <c r="BA111" i="3"/>
  <c r="AN113" i="3"/>
  <c r="AR114" i="3"/>
  <c r="AQ114" i="3"/>
  <c r="A115" i="3"/>
  <c r="D114" i="3"/>
  <c r="B114" i="3"/>
  <c r="C114" i="3"/>
  <c r="G114" i="3"/>
  <c r="H114" i="3" s="1"/>
  <c r="F114" i="3"/>
  <c r="Q114" i="3"/>
  <c r="S114" i="3"/>
  <c r="O114" i="3"/>
  <c r="U114" i="3"/>
  <c r="AK114" i="3"/>
  <c r="AM114" i="3"/>
  <c r="AF114" i="3"/>
  <c r="AD114" i="3"/>
  <c r="AE114" i="3"/>
  <c r="M114" i="3"/>
  <c r="P114" i="3"/>
  <c r="V114" i="3"/>
  <c r="T114" i="3"/>
  <c r="R114" i="3"/>
  <c r="BD110" i="3"/>
  <c r="BG110" i="3"/>
  <c r="BH110" i="3" s="1"/>
  <c r="BI110" i="3" s="1"/>
  <c r="AX112" i="3"/>
  <c r="X113" i="3"/>
  <c r="BN114" i="3" l="1"/>
  <c r="BA112" i="3"/>
  <c r="BF112" i="3" s="1"/>
  <c r="AV112" i="3"/>
  <c r="AY112" i="3"/>
  <c r="AX113" i="3"/>
  <c r="AN114" i="3"/>
  <c r="X114" i="3"/>
  <c r="BD111" i="3"/>
  <c r="BG111" i="3"/>
  <c r="BH111" i="3" s="1"/>
  <c r="BI111" i="3" s="1"/>
  <c r="AO114" i="3"/>
  <c r="BF111" i="3"/>
  <c r="BJ110" i="3" s="1"/>
  <c r="BK110" i="3" s="1"/>
  <c r="BQ111" i="3"/>
  <c r="BB111" i="3"/>
  <c r="AG114" i="3"/>
  <c r="AW113" i="3"/>
  <c r="Y114" i="3"/>
  <c r="Z114" i="3" s="1"/>
  <c r="BQ112" i="3"/>
  <c r="AR115" i="3"/>
  <c r="AQ115" i="3"/>
  <c r="B115" i="3"/>
  <c r="A116" i="3"/>
  <c r="D115" i="3"/>
  <c r="C115" i="3"/>
  <c r="G115" i="3"/>
  <c r="H115" i="3" s="1"/>
  <c r="F115" i="3"/>
  <c r="Q115" i="3"/>
  <c r="S115" i="3"/>
  <c r="O115" i="3"/>
  <c r="U115" i="3"/>
  <c r="AD115" i="3"/>
  <c r="AE115" i="3"/>
  <c r="AM115" i="3"/>
  <c r="AK115" i="3"/>
  <c r="AO115" i="3" s="1"/>
  <c r="M115" i="3"/>
  <c r="AF115" i="3"/>
  <c r="V115" i="3"/>
  <c r="R115" i="3"/>
  <c r="T115" i="3"/>
  <c r="P115" i="3"/>
  <c r="AH114" i="3"/>
  <c r="BM114" i="3"/>
  <c r="AU113" i="3"/>
  <c r="AV113" i="3" s="1"/>
  <c r="BB112" i="3" l="1"/>
  <c r="BM115" i="3"/>
  <c r="BC112" i="3"/>
  <c r="BN115" i="3"/>
  <c r="BD112" i="3"/>
  <c r="BG112" i="3"/>
  <c r="BH112" i="3" s="1"/>
  <c r="BI112" i="3" s="1"/>
  <c r="AW114" i="3"/>
  <c r="AT114" i="3"/>
  <c r="AY113" i="3"/>
  <c r="BC113" i="3" s="1"/>
  <c r="X115" i="3"/>
  <c r="Y115" i="3"/>
  <c r="Z115" i="3" s="1"/>
  <c r="AR116" i="3"/>
  <c r="B116" i="3"/>
  <c r="A117" i="3"/>
  <c r="AQ116" i="3"/>
  <c r="D116" i="3"/>
  <c r="C116" i="3"/>
  <c r="G116" i="3"/>
  <c r="H116" i="3" s="1"/>
  <c r="F116" i="3"/>
  <c r="S116" i="3"/>
  <c r="Q116" i="3"/>
  <c r="O116" i="3"/>
  <c r="U116" i="3"/>
  <c r="AM116" i="3"/>
  <c r="AD116" i="3"/>
  <c r="AK116" i="3"/>
  <c r="AE116" i="3"/>
  <c r="M116" i="3"/>
  <c r="AF116" i="3"/>
  <c r="V116" i="3"/>
  <c r="T116" i="3"/>
  <c r="P116" i="3"/>
  <c r="R116" i="3"/>
  <c r="AN115" i="3"/>
  <c r="BJ111" i="3"/>
  <c r="BK111" i="3" s="1"/>
  <c r="BA113" i="3"/>
  <c r="AU114" i="3"/>
  <c r="AX114" i="3"/>
  <c r="AG115" i="3"/>
  <c r="AH115" i="3"/>
  <c r="BA114" i="3" l="1"/>
  <c r="BN116" i="3"/>
  <c r="BM116" i="3"/>
  <c r="AV114" i="3"/>
  <c r="Y116" i="3"/>
  <c r="Z116" i="3" s="1"/>
  <c r="AY114" i="3"/>
  <c r="BC114" i="3" s="1"/>
  <c r="AO116" i="3"/>
  <c r="BQ114" i="3"/>
  <c r="BB114" i="3"/>
  <c r="BF114" i="3"/>
  <c r="BD113" i="3"/>
  <c r="BG113" i="3"/>
  <c r="BH113" i="3" s="1"/>
  <c r="BI113" i="3" s="1"/>
  <c r="AG116" i="3"/>
  <c r="AW115" i="3"/>
  <c r="AX115" i="3"/>
  <c r="AT115" i="3"/>
  <c r="AH116" i="3"/>
  <c r="BF113" i="3"/>
  <c r="BQ113" i="3"/>
  <c r="BB113" i="3"/>
  <c r="C117" i="3"/>
  <c r="B117" i="3"/>
  <c r="AR117" i="3"/>
  <c r="AQ117" i="3"/>
  <c r="A118" i="3"/>
  <c r="D117" i="3"/>
  <c r="F117" i="3"/>
  <c r="G117" i="3"/>
  <c r="H117" i="3" s="1"/>
  <c r="Q117" i="3"/>
  <c r="S117" i="3"/>
  <c r="O117" i="3"/>
  <c r="U117" i="3"/>
  <c r="AF117" i="3"/>
  <c r="AM117" i="3"/>
  <c r="AK117" i="3"/>
  <c r="AE117" i="3"/>
  <c r="M117" i="3"/>
  <c r="AD117" i="3"/>
  <c r="V117" i="3"/>
  <c r="P117" i="3"/>
  <c r="T117" i="3"/>
  <c r="R117" i="3"/>
  <c r="AN116" i="3"/>
  <c r="AU115" i="3"/>
  <c r="X116" i="3"/>
  <c r="AT116" i="3" l="1"/>
  <c r="BN117" i="3"/>
  <c r="BG114" i="3"/>
  <c r="BH114" i="3" s="1"/>
  <c r="BI114" i="3" s="1"/>
  <c r="BD114" i="3"/>
  <c r="AY115" i="3"/>
  <c r="AG117" i="3"/>
  <c r="AW116" i="3"/>
  <c r="AO117" i="3"/>
  <c r="AX116" i="3"/>
  <c r="AU116" i="3"/>
  <c r="BA115" i="3"/>
  <c r="AV115" i="3"/>
  <c r="BM117" i="3"/>
  <c r="Y117" i="3"/>
  <c r="Z117" i="3" s="1"/>
  <c r="AN117" i="3"/>
  <c r="BJ113" i="3"/>
  <c r="BK113" i="3" s="1"/>
  <c r="BJ112" i="3"/>
  <c r="BK112" i="3" s="1"/>
  <c r="B118" i="3"/>
  <c r="AR118" i="3"/>
  <c r="A119" i="3"/>
  <c r="AQ118" i="3"/>
  <c r="D118" i="3"/>
  <c r="C118" i="3"/>
  <c r="G118" i="3"/>
  <c r="H118" i="3" s="1"/>
  <c r="BN118" i="3" s="1"/>
  <c r="F118" i="3"/>
  <c r="Q118" i="3"/>
  <c r="S118" i="3"/>
  <c r="O118" i="3"/>
  <c r="U118" i="3"/>
  <c r="M118" i="3"/>
  <c r="AE118" i="3"/>
  <c r="AK118" i="3"/>
  <c r="AM118" i="3"/>
  <c r="AF118" i="3"/>
  <c r="AD118" i="3"/>
  <c r="V118" i="3"/>
  <c r="P118" i="3"/>
  <c r="T118" i="3"/>
  <c r="R118" i="3"/>
  <c r="X117" i="3"/>
  <c r="AH117" i="3"/>
  <c r="AX117" i="3" l="1"/>
  <c r="AN118" i="3"/>
  <c r="BM118" i="3"/>
  <c r="AY116" i="3"/>
  <c r="BA116" i="3"/>
  <c r="BQ116" i="3" s="1"/>
  <c r="BC115" i="3"/>
  <c r="BD115" i="3" s="1"/>
  <c r="AG118" i="3"/>
  <c r="AV116" i="3"/>
  <c r="BC116" i="3" s="1"/>
  <c r="BG116" i="3" s="1"/>
  <c r="BH116" i="3" s="1"/>
  <c r="BI116" i="3" s="1"/>
  <c r="Y118" i="3"/>
  <c r="Z118" i="3" s="1"/>
  <c r="AU117" i="3"/>
  <c r="A120" i="3"/>
  <c r="B119" i="3"/>
  <c r="AR119" i="3"/>
  <c r="AQ119" i="3"/>
  <c r="D119" i="3"/>
  <c r="C119" i="3"/>
  <c r="F119" i="3"/>
  <c r="G119" i="3"/>
  <c r="H119" i="3" s="1"/>
  <c r="Q119" i="3"/>
  <c r="S119" i="3"/>
  <c r="O119" i="3"/>
  <c r="U119" i="3"/>
  <c r="AE119" i="3"/>
  <c r="AM119" i="3"/>
  <c r="AK119" i="3"/>
  <c r="AD119" i="3"/>
  <c r="AF119" i="3"/>
  <c r="M119" i="3"/>
  <c r="V119" i="3"/>
  <c r="P119" i="3"/>
  <c r="T119" i="3"/>
  <c r="R119" i="3"/>
  <c r="AO118" i="3"/>
  <c r="X118" i="3"/>
  <c r="BQ115" i="3"/>
  <c r="BF115" i="3"/>
  <c r="BJ114" i="3" s="1"/>
  <c r="BK114" i="3" s="1"/>
  <c r="BB115" i="3"/>
  <c r="BB116" i="3"/>
  <c r="AT117" i="3"/>
  <c r="AH118" i="3"/>
  <c r="AW117" i="3"/>
  <c r="AY117" i="3" s="1"/>
  <c r="BN119" i="3" l="1"/>
  <c r="BM119" i="3"/>
  <c r="BD116" i="3"/>
  <c r="BG115" i="3"/>
  <c r="BH115" i="3" s="1"/>
  <c r="BI115" i="3" s="1"/>
  <c r="AT118" i="3"/>
  <c r="BF116" i="3"/>
  <c r="BJ115" i="3"/>
  <c r="BK115" i="3" s="1"/>
  <c r="AW118" i="3"/>
  <c r="AH119" i="3"/>
  <c r="AU118" i="3"/>
  <c r="AO119" i="3"/>
  <c r="AN119" i="3"/>
  <c r="AG119" i="3"/>
  <c r="X119" i="3"/>
  <c r="AX118" i="3"/>
  <c r="Y119" i="3"/>
  <c r="Z119" i="3" s="1"/>
  <c r="AV117" i="3"/>
  <c r="BC117" i="3" s="1"/>
  <c r="BA117" i="3"/>
  <c r="A121" i="3"/>
  <c r="AR120" i="3"/>
  <c r="AQ120" i="3"/>
  <c r="B120" i="3"/>
  <c r="C120" i="3"/>
  <c r="D120" i="3"/>
  <c r="F120" i="3"/>
  <c r="G120" i="3"/>
  <c r="H120" i="3" s="1"/>
  <c r="Q120" i="3"/>
  <c r="S120" i="3"/>
  <c r="O120" i="3"/>
  <c r="U120" i="3"/>
  <c r="AM120" i="3"/>
  <c r="AD120" i="3"/>
  <c r="AK120" i="3"/>
  <c r="AE120" i="3"/>
  <c r="AF120" i="3"/>
  <c r="M120" i="3"/>
  <c r="T120" i="3"/>
  <c r="R120" i="3"/>
  <c r="P120" i="3"/>
  <c r="V120" i="3"/>
  <c r="BN120" i="3" l="1"/>
  <c r="AV118" i="3"/>
  <c r="AO120" i="3"/>
  <c r="BM120" i="3"/>
  <c r="AY118" i="3"/>
  <c r="BC118" i="3" s="1"/>
  <c r="BA118" i="3"/>
  <c r="BQ118" i="3" s="1"/>
  <c r="AW119" i="3"/>
  <c r="AG120" i="3"/>
  <c r="AX119" i="3"/>
  <c r="Y120" i="3"/>
  <c r="Z120" i="3" s="1"/>
  <c r="B121" i="3"/>
  <c r="A122" i="3"/>
  <c r="AR121" i="3"/>
  <c r="AQ121" i="3"/>
  <c r="C121" i="3"/>
  <c r="D121" i="3"/>
  <c r="G121" i="3"/>
  <c r="H121" i="3" s="1"/>
  <c r="F121" i="3"/>
  <c r="Q121" i="3"/>
  <c r="S121" i="3"/>
  <c r="O121" i="3"/>
  <c r="U121" i="3"/>
  <c r="AF121" i="3"/>
  <c r="AD121" i="3"/>
  <c r="AK121" i="3"/>
  <c r="AM121" i="3"/>
  <c r="M121" i="3"/>
  <c r="AE121" i="3"/>
  <c r="P121" i="3"/>
  <c r="V121" i="3"/>
  <c r="T121" i="3"/>
  <c r="R121" i="3"/>
  <c r="AT119" i="3"/>
  <c r="X120" i="3"/>
  <c r="AU119" i="3"/>
  <c r="BQ117" i="3"/>
  <c r="BB117" i="3"/>
  <c r="BF117" i="3"/>
  <c r="BJ116" i="3" s="1"/>
  <c r="BK116" i="3" s="1"/>
  <c r="BD117" i="3"/>
  <c r="BG117" i="3"/>
  <c r="BH117" i="3" s="1"/>
  <c r="BI117" i="3" s="1"/>
  <c r="AH120" i="3"/>
  <c r="AN120" i="3"/>
  <c r="BB118" i="3" l="1"/>
  <c r="BF118" i="3"/>
  <c r="BN121" i="3"/>
  <c r="AY119" i="3"/>
  <c r="AN121" i="3"/>
  <c r="BM121" i="3"/>
  <c r="X121" i="3"/>
  <c r="Y121" i="3"/>
  <c r="Z121" i="3" s="1"/>
  <c r="AX120" i="3"/>
  <c r="AG121" i="3"/>
  <c r="B122" i="3"/>
  <c r="AR122" i="3"/>
  <c r="D122" i="3"/>
  <c r="AQ122" i="3"/>
  <c r="A123" i="3"/>
  <c r="C122" i="3"/>
  <c r="G122" i="3"/>
  <c r="H122" i="3" s="1"/>
  <c r="F122" i="3"/>
  <c r="Q122" i="3"/>
  <c r="S122" i="3"/>
  <c r="O122" i="3"/>
  <c r="U122" i="3"/>
  <c r="AD122" i="3"/>
  <c r="AE122" i="3"/>
  <c r="M122" i="3"/>
  <c r="AK122" i="3"/>
  <c r="AM122" i="3"/>
  <c r="AF122" i="3"/>
  <c r="V122" i="3"/>
  <c r="T122" i="3"/>
  <c r="P122" i="3"/>
  <c r="R122" i="3"/>
  <c r="BD118" i="3"/>
  <c r="BG118" i="3"/>
  <c r="BH118" i="3" s="1"/>
  <c r="BI118" i="3" s="1"/>
  <c r="BJ117" i="3"/>
  <c r="BK117" i="3" s="1"/>
  <c r="BA119" i="3"/>
  <c r="AV119" i="3"/>
  <c r="BC119" i="3" s="1"/>
  <c r="AH121" i="3"/>
  <c r="AO121" i="3"/>
  <c r="AU120" i="3"/>
  <c r="AT120" i="3"/>
  <c r="AW120" i="3"/>
  <c r="AY120" i="3" s="1"/>
  <c r="AN122" i="3" l="1"/>
  <c r="AX121" i="3"/>
  <c r="AT121" i="3"/>
  <c r="AO122" i="3"/>
  <c r="AG122" i="3"/>
  <c r="BQ119" i="3"/>
  <c r="BB119" i="3"/>
  <c r="BF119" i="3"/>
  <c r="BJ118" i="3" s="1"/>
  <c r="BK118" i="3" s="1"/>
  <c r="Y122" i="3"/>
  <c r="Z122" i="3" s="1"/>
  <c r="BM122" i="3"/>
  <c r="AW121" i="3"/>
  <c r="AY121" i="3" s="1"/>
  <c r="AH122" i="3"/>
  <c r="AR123" i="3"/>
  <c r="A124" i="3"/>
  <c r="B123" i="3"/>
  <c r="AQ123" i="3"/>
  <c r="D123" i="3"/>
  <c r="C123" i="3"/>
  <c r="F123" i="3"/>
  <c r="BM123" i="3" s="1"/>
  <c r="G123" i="3"/>
  <c r="H123" i="3" s="1"/>
  <c r="BN123" i="3" s="1"/>
  <c r="S123" i="3"/>
  <c r="Q123" i="3"/>
  <c r="O123" i="3"/>
  <c r="U123" i="3"/>
  <c r="AM123" i="3"/>
  <c r="AD123" i="3"/>
  <c r="AK123" i="3"/>
  <c r="AF123" i="3"/>
  <c r="AE123" i="3"/>
  <c r="M123" i="3"/>
  <c r="V123" i="3"/>
  <c r="P123" i="3"/>
  <c r="R123" i="3"/>
  <c r="T123" i="3"/>
  <c r="X122" i="3"/>
  <c r="BD119" i="3"/>
  <c r="BG119" i="3"/>
  <c r="BH119" i="3" s="1"/>
  <c r="BI119" i="3" s="1"/>
  <c r="BA120" i="3"/>
  <c r="AV120" i="3"/>
  <c r="BC120" i="3" s="1"/>
  <c r="BN122" i="3"/>
  <c r="AU121" i="3"/>
  <c r="AX122" i="3" l="1"/>
  <c r="AV121" i="3"/>
  <c r="BC121" i="3" s="1"/>
  <c r="AG123" i="3"/>
  <c r="AO123" i="3"/>
  <c r="BD121" i="3"/>
  <c r="BG121" i="3"/>
  <c r="BH121" i="3" s="1"/>
  <c r="BI121" i="3" s="1"/>
  <c r="B124" i="3"/>
  <c r="AR124" i="3"/>
  <c r="AQ124" i="3"/>
  <c r="A125" i="3"/>
  <c r="D124" i="3"/>
  <c r="C124" i="3"/>
  <c r="G124" i="3"/>
  <c r="H124" i="3" s="1"/>
  <c r="F124" i="3"/>
  <c r="Q124" i="3"/>
  <c r="S124" i="3"/>
  <c r="O124" i="3"/>
  <c r="U124" i="3"/>
  <c r="AK124" i="3"/>
  <c r="AF124" i="3"/>
  <c r="AD124" i="3"/>
  <c r="AM124" i="3"/>
  <c r="M124" i="3"/>
  <c r="AE124" i="3"/>
  <c r="V124" i="3"/>
  <c r="P124" i="3"/>
  <c r="T124" i="3"/>
  <c r="R124" i="3"/>
  <c r="AH123" i="3"/>
  <c r="AT123" i="3" s="1"/>
  <c r="AW122" i="3"/>
  <c r="AY122" i="3" s="1"/>
  <c r="AN123" i="3"/>
  <c r="AW123" i="3" s="1"/>
  <c r="AU122" i="3"/>
  <c r="BB120" i="3"/>
  <c r="BF120" i="3"/>
  <c r="BJ119" i="3" s="1"/>
  <c r="BK119" i="3" s="1"/>
  <c r="BQ120" i="3"/>
  <c r="AT122" i="3"/>
  <c r="BA121" i="3"/>
  <c r="X123" i="3"/>
  <c r="BG120" i="3"/>
  <c r="BH120" i="3" s="1"/>
  <c r="BI120" i="3" s="1"/>
  <c r="BD120" i="3"/>
  <c r="Y123" i="3"/>
  <c r="Z123" i="3" s="1"/>
  <c r="AU123" i="3" l="1"/>
  <c r="AV123" i="3" s="1"/>
  <c r="AO124" i="3"/>
  <c r="Y124" i="3"/>
  <c r="Z124" i="3" s="1"/>
  <c r="BF121" i="3"/>
  <c r="BJ120" i="3" s="1"/>
  <c r="BK120" i="3" s="1"/>
  <c r="BQ121" i="3"/>
  <c r="BB121" i="3"/>
  <c r="X124" i="3"/>
  <c r="AG124" i="3"/>
  <c r="AV122" i="3"/>
  <c r="BC122" i="3" s="1"/>
  <c r="BA122" i="3"/>
  <c r="AN124" i="3"/>
  <c r="BM124" i="3"/>
  <c r="A126" i="3"/>
  <c r="AQ125" i="3"/>
  <c r="B125" i="3"/>
  <c r="AR125" i="3"/>
  <c r="C125" i="3"/>
  <c r="D125" i="3"/>
  <c r="G125" i="3"/>
  <c r="H125" i="3" s="1"/>
  <c r="BN125" i="3" s="1"/>
  <c r="F125" i="3"/>
  <c r="BM125" i="3" s="1"/>
  <c r="Q125" i="3"/>
  <c r="S125" i="3"/>
  <c r="O125" i="3"/>
  <c r="U125" i="3"/>
  <c r="AM125" i="3"/>
  <c r="AK125" i="3"/>
  <c r="AO125" i="3" s="1"/>
  <c r="AF125" i="3"/>
  <c r="M125" i="3"/>
  <c r="AE125" i="3"/>
  <c r="AD125" i="3"/>
  <c r="P125" i="3"/>
  <c r="V125" i="3"/>
  <c r="R125" i="3"/>
  <c r="T125" i="3"/>
  <c r="AX123" i="3"/>
  <c r="AY123" i="3" s="1"/>
  <c r="AH124" i="3"/>
  <c r="BN124" i="3"/>
  <c r="AH125" i="3" l="1"/>
  <c r="AW124" i="3"/>
  <c r="AX124" i="3"/>
  <c r="AY124" i="3" s="1"/>
  <c r="X125" i="3"/>
  <c r="AT124" i="3"/>
  <c r="Y125" i="3"/>
  <c r="Z125" i="3" s="1"/>
  <c r="BF122" i="3"/>
  <c r="BJ121" i="3" s="1"/>
  <c r="BK121" i="3" s="1"/>
  <c r="BB122" i="3"/>
  <c r="BQ122" i="3"/>
  <c r="AG125" i="3"/>
  <c r="AU125" i="3" s="1"/>
  <c r="A127" i="3"/>
  <c r="B126" i="3"/>
  <c r="AQ126" i="3"/>
  <c r="AR126" i="3"/>
  <c r="C126" i="3"/>
  <c r="D126" i="3"/>
  <c r="F126" i="3"/>
  <c r="G126" i="3"/>
  <c r="H126" i="3" s="1"/>
  <c r="Q126" i="3"/>
  <c r="S126" i="3"/>
  <c r="O126" i="3"/>
  <c r="U126" i="3"/>
  <c r="AM126" i="3"/>
  <c r="AK126" i="3"/>
  <c r="AO126" i="3" s="1"/>
  <c r="AE126" i="3"/>
  <c r="AD126" i="3"/>
  <c r="M126" i="3"/>
  <c r="AF126" i="3"/>
  <c r="V126" i="3"/>
  <c r="T126" i="3"/>
  <c r="R126" i="3"/>
  <c r="P126" i="3"/>
  <c r="AU124" i="3"/>
  <c r="BC123" i="3"/>
  <c r="BA123" i="3"/>
  <c r="AN125" i="3"/>
  <c r="AX125" i="3" s="1"/>
  <c r="AT125" i="3"/>
  <c r="BD122" i="3"/>
  <c r="BG122" i="3"/>
  <c r="BH122" i="3" s="1"/>
  <c r="BI122" i="3" s="1"/>
  <c r="BN126" i="3" l="1"/>
  <c r="BM126" i="3"/>
  <c r="X126" i="3"/>
  <c r="AV125" i="3"/>
  <c r="BA124" i="3"/>
  <c r="AV124" i="3"/>
  <c r="BC124" i="3" s="1"/>
  <c r="AH126" i="3"/>
  <c r="Y126" i="3"/>
  <c r="Z126" i="3" s="1"/>
  <c r="BQ123" i="3"/>
  <c r="BB123" i="3"/>
  <c r="BF123" i="3"/>
  <c r="BJ122" i="3" s="1"/>
  <c r="BK122" i="3" s="1"/>
  <c r="AR127" i="3"/>
  <c r="B127" i="3"/>
  <c r="AQ127" i="3"/>
  <c r="A128" i="3"/>
  <c r="C127" i="3"/>
  <c r="D127" i="3"/>
  <c r="G127" i="3"/>
  <c r="H127" i="3" s="1"/>
  <c r="BN127" i="3" s="1"/>
  <c r="F127" i="3"/>
  <c r="Q127" i="3"/>
  <c r="S127" i="3"/>
  <c r="O127" i="3"/>
  <c r="U127" i="3"/>
  <c r="AM127" i="3"/>
  <c r="AK127" i="3"/>
  <c r="AF127" i="3"/>
  <c r="AD127" i="3"/>
  <c r="M127" i="3"/>
  <c r="AE127" i="3"/>
  <c r="V127" i="3"/>
  <c r="T127" i="3"/>
  <c r="R127" i="3"/>
  <c r="P127" i="3"/>
  <c r="BD123" i="3"/>
  <c r="BG123" i="3"/>
  <c r="BH123" i="3" s="1"/>
  <c r="BI123" i="3" s="1"/>
  <c r="AW125" i="3"/>
  <c r="AY125" i="3" s="1"/>
  <c r="AG126" i="3"/>
  <c r="AN126" i="3"/>
  <c r="BM127" i="3" l="1"/>
  <c r="AO127" i="3"/>
  <c r="Y127" i="3"/>
  <c r="Z127" i="3" s="1"/>
  <c r="AG127" i="3"/>
  <c r="BA125" i="3"/>
  <c r="AW126" i="3"/>
  <c r="AX126" i="3"/>
  <c r="AY126" i="3" s="1"/>
  <c r="BB124" i="3"/>
  <c r="BF124" i="3"/>
  <c r="BJ123" i="3" s="1"/>
  <c r="BK123" i="3" s="1"/>
  <c r="BQ124" i="3"/>
  <c r="AU126" i="3"/>
  <c r="AT126" i="3"/>
  <c r="BD124" i="3"/>
  <c r="BG124" i="3"/>
  <c r="BH124" i="3" s="1"/>
  <c r="BI124" i="3" s="1"/>
  <c r="AH127" i="3"/>
  <c r="BC125" i="3"/>
  <c r="AN127" i="3"/>
  <c r="X127" i="3"/>
  <c r="A129" i="3"/>
  <c r="AR128" i="3"/>
  <c r="AQ128" i="3"/>
  <c r="B128" i="3"/>
  <c r="D128" i="3"/>
  <c r="C128" i="3"/>
  <c r="G128" i="3"/>
  <c r="H128" i="3" s="1"/>
  <c r="F128" i="3"/>
  <c r="Q128" i="3"/>
  <c r="S128" i="3"/>
  <c r="O128" i="3"/>
  <c r="U128" i="3"/>
  <c r="AM128" i="3"/>
  <c r="AF128" i="3"/>
  <c r="AK128" i="3"/>
  <c r="AD128" i="3"/>
  <c r="M128" i="3"/>
  <c r="AE128" i="3"/>
  <c r="P128" i="3"/>
  <c r="R128" i="3"/>
  <c r="T128" i="3"/>
  <c r="V128" i="3"/>
  <c r="AN128" i="3" l="1"/>
  <c r="AX127" i="3"/>
  <c r="Y128" i="3"/>
  <c r="Z128" i="3" s="1"/>
  <c r="BD125" i="3"/>
  <c r="BG125" i="3"/>
  <c r="BH125" i="3" s="1"/>
  <c r="BI125" i="3" s="1"/>
  <c r="X128" i="3"/>
  <c r="AG128" i="3"/>
  <c r="A130" i="3"/>
  <c r="AQ129" i="3"/>
  <c r="B129" i="3"/>
  <c r="AR129" i="3"/>
  <c r="C129" i="3"/>
  <c r="D129" i="3"/>
  <c r="F129" i="3"/>
  <c r="BM129" i="3" s="1"/>
  <c r="G129" i="3"/>
  <c r="H129" i="3" s="1"/>
  <c r="S129" i="3"/>
  <c r="Q129" i="3"/>
  <c r="O129" i="3"/>
  <c r="U129" i="3"/>
  <c r="AM129" i="3"/>
  <c r="AK129" i="3"/>
  <c r="AO129" i="3" s="1"/>
  <c r="AE129" i="3"/>
  <c r="AF129" i="3"/>
  <c r="M129" i="3"/>
  <c r="AD129" i="3"/>
  <c r="V129" i="3"/>
  <c r="P129" i="3"/>
  <c r="R129" i="3"/>
  <c r="T129" i="3"/>
  <c r="AV126" i="3"/>
  <c r="BC126" i="3" s="1"/>
  <c r="BA126" i="3"/>
  <c r="BB125" i="3"/>
  <c r="BF125" i="3"/>
  <c r="BJ124" i="3" s="1"/>
  <c r="BK124" i="3" s="1"/>
  <c r="BQ125" i="3"/>
  <c r="BM128" i="3"/>
  <c r="AT127" i="3"/>
  <c r="AW127" i="3"/>
  <c r="AY127" i="3" s="1"/>
  <c r="AH128" i="3"/>
  <c r="AO128" i="3"/>
  <c r="BN128" i="3"/>
  <c r="AU127" i="3"/>
  <c r="BN129" i="3" l="1"/>
  <c r="AU128" i="3"/>
  <c r="Y129" i="3"/>
  <c r="Z129" i="3" s="1"/>
  <c r="AH129" i="3"/>
  <c r="AT128" i="3"/>
  <c r="AW128" i="3"/>
  <c r="AG129" i="3"/>
  <c r="AR130" i="3"/>
  <c r="A131" i="3"/>
  <c r="C130" i="3"/>
  <c r="AQ130" i="3"/>
  <c r="B130" i="3"/>
  <c r="D130" i="3"/>
  <c r="F130" i="3"/>
  <c r="BM130" i="3" s="1"/>
  <c r="G130" i="3"/>
  <c r="H130" i="3" s="1"/>
  <c r="BN130" i="3" s="1"/>
  <c r="Q130" i="3"/>
  <c r="S130" i="3"/>
  <c r="O130" i="3"/>
  <c r="U130" i="3"/>
  <c r="AM130" i="3"/>
  <c r="M130" i="3"/>
  <c r="AK130" i="3"/>
  <c r="AO130" i="3" s="1"/>
  <c r="AD130" i="3"/>
  <c r="AE130" i="3"/>
  <c r="AF130" i="3"/>
  <c r="T130" i="3"/>
  <c r="V130" i="3"/>
  <c r="P130" i="3"/>
  <c r="R130" i="3"/>
  <c r="BD126" i="3"/>
  <c r="BG126" i="3"/>
  <c r="BH126" i="3" s="1"/>
  <c r="BI126" i="3" s="1"/>
  <c r="BA127" i="3"/>
  <c r="AV127" i="3"/>
  <c r="BC127" i="3" s="1"/>
  <c r="X129" i="3"/>
  <c r="AX128" i="3"/>
  <c r="BQ126" i="3"/>
  <c r="BF126" i="3"/>
  <c r="BJ125" i="3" s="1"/>
  <c r="BK125" i="3" s="1"/>
  <c r="BB126" i="3"/>
  <c r="AN129" i="3"/>
  <c r="AX129" i="3" s="1"/>
  <c r="AT129" i="3"/>
  <c r="AG130" i="3" l="1"/>
  <c r="AY128" i="3"/>
  <c r="AH130" i="3"/>
  <c r="AT130" i="3" s="1"/>
  <c r="A132" i="3"/>
  <c r="AQ131" i="3"/>
  <c r="AR131" i="3"/>
  <c r="B131" i="3"/>
  <c r="C131" i="3"/>
  <c r="D131" i="3"/>
  <c r="F131" i="3"/>
  <c r="G131" i="3"/>
  <c r="H131" i="3" s="1"/>
  <c r="Q131" i="3"/>
  <c r="S131" i="3"/>
  <c r="O131" i="3"/>
  <c r="U131" i="3"/>
  <c r="AM131" i="3"/>
  <c r="AK131" i="3"/>
  <c r="AF131" i="3"/>
  <c r="AD131" i="3"/>
  <c r="AE131" i="3"/>
  <c r="M131" i="3"/>
  <c r="T131" i="3"/>
  <c r="V131" i="3"/>
  <c r="P131" i="3"/>
  <c r="R131" i="3"/>
  <c r="AN130" i="3"/>
  <c r="BD127" i="3"/>
  <c r="BG127" i="3"/>
  <c r="BH127" i="3" s="1"/>
  <c r="BI127" i="3" s="1"/>
  <c r="BQ127" i="3"/>
  <c r="BF127" i="3"/>
  <c r="BJ126" i="3" s="1"/>
  <c r="BK126" i="3" s="1"/>
  <c r="BB127" i="3"/>
  <c r="Y130" i="3"/>
  <c r="Z130" i="3" s="1"/>
  <c r="AV128" i="3"/>
  <c r="BA128" i="3"/>
  <c r="AW130" i="3"/>
  <c r="AW129" i="3"/>
  <c r="AY129" i="3" s="1"/>
  <c r="X130" i="3"/>
  <c r="AU129" i="3"/>
  <c r="AV129" i="3" s="1"/>
  <c r="BM131" i="3" l="1"/>
  <c r="BC128" i="3"/>
  <c r="BD128" i="3" s="1"/>
  <c r="AU130" i="3"/>
  <c r="AV130" i="3" s="1"/>
  <c r="AO131" i="3"/>
  <c r="AN131" i="3"/>
  <c r="X131" i="3"/>
  <c r="BG128" i="3"/>
  <c r="BH128" i="3" s="1"/>
  <c r="BI128" i="3" s="1"/>
  <c r="Y131" i="3"/>
  <c r="Z131" i="3" s="1"/>
  <c r="BA129" i="3"/>
  <c r="AG131" i="3"/>
  <c r="AQ132" i="3"/>
  <c r="A133" i="3"/>
  <c r="AR132" i="3"/>
  <c r="B132" i="3"/>
  <c r="C132" i="3"/>
  <c r="D132" i="3"/>
  <c r="F132" i="3"/>
  <c r="G132" i="3"/>
  <c r="H132" i="3" s="1"/>
  <c r="S132" i="3"/>
  <c r="Q132" i="3"/>
  <c r="O132" i="3"/>
  <c r="U132" i="3"/>
  <c r="AD132" i="3"/>
  <c r="AM132" i="3"/>
  <c r="AK132" i="3"/>
  <c r="AE132" i="3"/>
  <c r="AF132" i="3"/>
  <c r="M132" i="3"/>
  <c r="T132" i="3"/>
  <c r="V132" i="3"/>
  <c r="P132" i="3"/>
  <c r="R132" i="3"/>
  <c r="BB128" i="3"/>
  <c r="BF128" i="3"/>
  <c r="BJ127" i="3" s="1"/>
  <c r="BK127" i="3" s="1"/>
  <c r="BQ128" i="3"/>
  <c r="BC129" i="3"/>
  <c r="AH131" i="3"/>
  <c r="BN131" i="3"/>
  <c r="AX130" i="3"/>
  <c r="AY130" i="3" s="1"/>
  <c r="AH132" i="3" l="1"/>
  <c r="AX131" i="3"/>
  <c r="AN132" i="3"/>
  <c r="BA130" i="3"/>
  <c r="BB130" i="3" s="1"/>
  <c r="BF129" i="3"/>
  <c r="BJ128" i="3" s="1"/>
  <c r="BK128" i="3" s="1"/>
  <c r="BQ129" i="3"/>
  <c r="BB129" i="3"/>
  <c r="Y132" i="3"/>
  <c r="Z132" i="3" s="1"/>
  <c r="AU131" i="3"/>
  <c r="AQ133" i="3"/>
  <c r="B133" i="3"/>
  <c r="C133" i="3"/>
  <c r="AR133" i="3"/>
  <c r="A134" i="3"/>
  <c r="D133" i="3"/>
  <c r="F133" i="3"/>
  <c r="BM133" i="3" s="1"/>
  <c r="G133" i="3"/>
  <c r="H133" i="3" s="1"/>
  <c r="S133" i="3"/>
  <c r="Q133" i="3"/>
  <c r="O133" i="3"/>
  <c r="U133" i="3"/>
  <c r="AK133" i="3"/>
  <c r="AD133" i="3"/>
  <c r="AM133" i="3"/>
  <c r="AE133" i="3"/>
  <c r="AF133" i="3"/>
  <c r="M133" i="3"/>
  <c r="R133" i="3"/>
  <c r="T133" i="3"/>
  <c r="V133" i="3"/>
  <c r="P133" i="3"/>
  <c r="BD129" i="3"/>
  <c r="BG129" i="3"/>
  <c r="BH129" i="3" s="1"/>
  <c r="BI129" i="3" s="1"/>
  <c r="AG132" i="3"/>
  <c r="AT132" i="3" s="1"/>
  <c r="BN132" i="3"/>
  <c r="AW131" i="3"/>
  <c r="AY131" i="3" s="1"/>
  <c r="X132" i="3"/>
  <c r="BQ130" i="3"/>
  <c r="BF130" i="3"/>
  <c r="BJ129" i="3" s="1"/>
  <c r="BK129" i="3" s="1"/>
  <c r="BC130" i="3"/>
  <c r="AO132" i="3"/>
  <c r="BM132" i="3"/>
  <c r="AT131" i="3"/>
  <c r="AN133" i="3" l="1"/>
  <c r="BN133" i="3"/>
  <c r="AX132" i="3"/>
  <c r="AU132" i="3"/>
  <c r="AV132" i="3" s="1"/>
  <c r="AG133" i="3"/>
  <c r="AH133" i="3"/>
  <c r="AO133" i="3"/>
  <c r="AR134" i="3"/>
  <c r="AQ134" i="3"/>
  <c r="A135" i="3"/>
  <c r="B134" i="3"/>
  <c r="D134" i="3"/>
  <c r="C134" i="3"/>
  <c r="G134" i="3"/>
  <c r="H134" i="3" s="1"/>
  <c r="BN134" i="3" s="1"/>
  <c r="F134" i="3"/>
  <c r="BM134" i="3" s="1"/>
  <c r="Q134" i="3"/>
  <c r="S134" i="3"/>
  <c r="O134" i="3"/>
  <c r="U134" i="3"/>
  <c r="AK134" i="3"/>
  <c r="AF134" i="3"/>
  <c r="AM134" i="3"/>
  <c r="AN134" i="3" s="1"/>
  <c r="M134" i="3"/>
  <c r="AD134" i="3"/>
  <c r="AE134" i="3"/>
  <c r="V134" i="3"/>
  <c r="T134" i="3"/>
  <c r="P134" i="3"/>
  <c r="R134" i="3"/>
  <c r="AT133" i="3"/>
  <c r="BA131" i="3"/>
  <c r="AV131" i="3"/>
  <c r="BC131" i="3" s="1"/>
  <c r="Y133" i="3"/>
  <c r="Z133" i="3" s="1"/>
  <c r="X133" i="3"/>
  <c r="BD130" i="3"/>
  <c r="BG130" i="3"/>
  <c r="BH130" i="3" s="1"/>
  <c r="BI130" i="3" s="1"/>
  <c r="AW132" i="3"/>
  <c r="AY132" i="3" s="1"/>
  <c r="AG134" i="3" l="1"/>
  <c r="BF131" i="3"/>
  <c r="BJ130" i="3" s="1"/>
  <c r="BK130" i="3" s="1"/>
  <c r="BB131" i="3"/>
  <c r="BQ131" i="3"/>
  <c r="AH134" i="3"/>
  <c r="AX134" i="3" s="1"/>
  <c r="AW133" i="3"/>
  <c r="BD131" i="3"/>
  <c r="BG131" i="3"/>
  <c r="BH131" i="3" s="1"/>
  <c r="BI131" i="3" s="1"/>
  <c r="AX133" i="3"/>
  <c r="AO134" i="3"/>
  <c r="BA132" i="3"/>
  <c r="X134" i="3"/>
  <c r="BC132" i="3"/>
  <c r="Y134" i="3"/>
  <c r="Z134" i="3" s="1"/>
  <c r="B135" i="3"/>
  <c r="A136" i="3"/>
  <c r="AR135" i="3"/>
  <c r="AQ135" i="3"/>
  <c r="C135" i="3"/>
  <c r="D135" i="3"/>
  <c r="G135" i="3"/>
  <c r="H135" i="3" s="1"/>
  <c r="F135" i="3"/>
  <c r="Q135" i="3"/>
  <c r="S135" i="3"/>
  <c r="O135" i="3"/>
  <c r="U135" i="3"/>
  <c r="AM135" i="3"/>
  <c r="AF135" i="3"/>
  <c r="AK135" i="3"/>
  <c r="AE135" i="3"/>
  <c r="AD135" i="3"/>
  <c r="M135" i="3"/>
  <c r="V135" i="3"/>
  <c r="P135" i="3"/>
  <c r="T135" i="3"/>
  <c r="R135" i="3"/>
  <c r="AU133" i="3"/>
  <c r="AV133" i="3" s="1"/>
  <c r="BA133" i="3" l="1"/>
  <c r="BQ133" i="3" s="1"/>
  <c r="AN135" i="3"/>
  <c r="Y135" i="3"/>
  <c r="Z135" i="3" s="1"/>
  <c r="X135" i="3"/>
  <c r="A137" i="3"/>
  <c r="B136" i="3"/>
  <c r="AR136" i="3"/>
  <c r="AQ136" i="3"/>
  <c r="D136" i="3"/>
  <c r="C136" i="3"/>
  <c r="F136" i="3"/>
  <c r="BM136" i="3" s="1"/>
  <c r="G136" i="3"/>
  <c r="H136" i="3" s="1"/>
  <c r="BN136" i="3" s="1"/>
  <c r="Q136" i="3"/>
  <c r="S136" i="3"/>
  <c r="O136" i="3"/>
  <c r="U136" i="3"/>
  <c r="M136" i="3"/>
  <c r="AD136" i="3"/>
  <c r="AE136" i="3"/>
  <c r="AM136" i="3"/>
  <c r="AK136" i="3"/>
  <c r="AO136" i="3" s="1"/>
  <c r="AF136" i="3"/>
  <c r="P136" i="3"/>
  <c r="V136" i="3"/>
  <c r="T136" i="3"/>
  <c r="R136" i="3"/>
  <c r="AH135" i="3"/>
  <c r="BM135" i="3"/>
  <c r="AW134" i="3"/>
  <c r="AY134" i="3" s="1"/>
  <c r="AT134" i="3"/>
  <c r="BB132" i="3"/>
  <c r="BF132" i="3"/>
  <c r="BJ131" i="3" s="1"/>
  <c r="BK131" i="3" s="1"/>
  <c r="BQ132" i="3"/>
  <c r="AG135" i="3"/>
  <c r="AO135" i="3"/>
  <c r="BN135" i="3"/>
  <c r="BD132" i="3"/>
  <c r="BG132" i="3"/>
  <c r="BH132" i="3" s="1"/>
  <c r="BI132" i="3" s="1"/>
  <c r="AY133" i="3"/>
  <c r="BC133" i="3" s="1"/>
  <c r="AU134" i="3"/>
  <c r="BB133" i="3" l="1"/>
  <c r="BF133" i="3"/>
  <c r="BJ132" i="3" s="1"/>
  <c r="BK132" i="3" s="1"/>
  <c r="Y136" i="3"/>
  <c r="Z136" i="3" s="1"/>
  <c r="AX135" i="3"/>
  <c r="X136" i="3"/>
  <c r="BD133" i="3"/>
  <c r="BG133" i="3"/>
  <c r="BH133" i="3" s="1"/>
  <c r="BI133" i="3" s="1"/>
  <c r="AT135" i="3"/>
  <c r="AN136" i="3"/>
  <c r="AV134" i="3"/>
  <c r="BC134" i="3" s="1"/>
  <c r="BA134" i="3"/>
  <c r="AW135" i="3"/>
  <c r="AU135" i="3"/>
  <c r="AG136" i="3"/>
  <c r="AH136" i="3"/>
  <c r="AT136" i="3" s="1"/>
  <c r="B137" i="3"/>
  <c r="A138" i="3"/>
  <c r="AQ137" i="3"/>
  <c r="AR137" i="3"/>
  <c r="D137" i="3"/>
  <c r="C137" i="3"/>
  <c r="F137" i="3"/>
  <c r="BM137" i="3" s="1"/>
  <c r="G137" i="3"/>
  <c r="H137" i="3" s="1"/>
  <c r="BN137" i="3" s="1"/>
  <c r="Q137" i="3"/>
  <c r="S137" i="3"/>
  <c r="O137" i="3"/>
  <c r="U137" i="3"/>
  <c r="AM137" i="3"/>
  <c r="AK137" i="3"/>
  <c r="AO137" i="3" s="1"/>
  <c r="AE137" i="3"/>
  <c r="M137" i="3"/>
  <c r="AF137" i="3"/>
  <c r="AD137" i="3"/>
  <c r="V137" i="3"/>
  <c r="P137" i="3"/>
  <c r="R137" i="3"/>
  <c r="T137" i="3"/>
  <c r="AY135" i="3" l="1"/>
  <c r="AH137" i="3"/>
  <c r="AU137" i="3" s="1"/>
  <c r="AU136" i="3"/>
  <c r="Y137" i="3"/>
  <c r="Z137" i="3" s="1"/>
  <c r="AV136" i="3"/>
  <c r="BQ134" i="3"/>
  <c r="BF134" i="3"/>
  <c r="BJ133" i="3" s="1"/>
  <c r="BK133" i="3" s="1"/>
  <c r="BB134" i="3"/>
  <c r="BG134" i="3"/>
  <c r="BH134" i="3" s="1"/>
  <c r="BI134" i="3" s="1"/>
  <c r="BD134" i="3"/>
  <c r="AG137" i="3"/>
  <c r="AW136" i="3"/>
  <c r="B138" i="3"/>
  <c r="D138" i="3"/>
  <c r="A139" i="3"/>
  <c r="AR138" i="3"/>
  <c r="AQ138" i="3"/>
  <c r="C138" i="3"/>
  <c r="F138" i="3"/>
  <c r="G138" i="3"/>
  <c r="H138" i="3" s="1"/>
  <c r="Q138" i="3"/>
  <c r="S138" i="3"/>
  <c r="O138" i="3"/>
  <c r="U138" i="3"/>
  <c r="M138" i="3"/>
  <c r="AM138" i="3"/>
  <c r="AK138" i="3"/>
  <c r="AE138" i="3"/>
  <c r="AD138" i="3"/>
  <c r="AF138" i="3"/>
  <c r="V138" i="3"/>
  <c r="P138" i="3"/>
  <c r="T138" i="3"/>
  <c r="R138" i="3"/>
  <c r="BA135" i="3"/>
  <c r="AV135" i="3"/>
  <c r="BC135" i="3" s="1"/>
  <c r="AX136" i="3"/>
  <c r="AN137" i="3"/>
  <c r="AX137" i="3" s="1"/>
  <c r="X137" i="3"/>
  <c r="AT137" i="3" l="1"/>
  <c r="AN138" i="3"/>
  <c r="AV137" i="3"/>
  <c r="AH138" i="3"/>
  <c r="X138" i="3"/>
  <c r="Y138" i="3"/>
  <c r="Z138" i="3" s="1"/>
  <c r="BD135" i="3"/>
  <c r="BG135" i="3"/>
  <c r="BH135" i="3" s="1"/>
  <c r="BI135" i="3" s="1"/>
  <c r="BN138" i="3"/>
  <c r="AY136" i="3"/>
  <c r="BC136" i="3" s="1"/>
  <c r="AQ139" i="3"/>
  <c r="AR139" i="3"/>
  <c r="B139" i="3"/>
  <c r="A140" i="3"/>
  <c r="C139" i="3"/>
  <c r="D139" i="3"/>
  <c r="G139" i="3"/>
  <c r="H139" i="3" s="1"/>
  <c r="F139" i="3"/>
  <c r="Q139" i="3"/>
  <c r="S139" i="3"/>
  <c r="O139" i="3"/>
  <c r="U139" i="3"/>
  <c r="AE139" i="3"/>
  <c r="AK139" i="3"/>
  <c r="AM139" i="3"/>
  <c r="AF139" i="3"/>
  <c r="AD139" i="3"/>
  <c r="M139" i="3"/>
  <c r="P139" i="3"/>
  <c r="R139" i="3"/>
  <c r="T139" i="3"/>
  <c r="V139" i="3"/>
  <c r="AG138" i="3"/>
  <c r="BQ135" i="3"/>
  <c r="BF135" i="3"/>
  <c r="BJ134" i="3" s="1"/>
  <c r="BK134" i="3" s="1"/>
  <c r="BB135" i="3"/>
  <c r="AO138" i="3"/>
  <c r="BM138" i="3"/>
  <c r="AW137" i="3"/>
  <c r="AY137" i="3" s="1"/>
  <c r="BA136" i="3"/>
  <c r="BM139" i="3" l="1"/>
  <c r="BN139" i="3"/>
  <c r="AU138" i="3"/>
  <c r="AN139" i="3"/>
  <c r="AT138" i="3"/>
  <c r="AV138" i="3" s="1"/>
  <c r="AH139" i="3"/>
  <c r="AO139" i="3"/>
  <c r="Y139" i="3"/>
  <c r="Z139" i="3" s="1"/>
  <c r="AG139" i="3"/>
  <c r="BC137" i="3"/>
  <c r="AW138" i="3"/>
  <c r="AX138" i="3"/>
  <c r="BD136" i="3"/>
  <c r="BG136" i="3"/>
  <c r="BH136" i="3" s="1"/>
  <c r="BI136" i="3" s="1"/>
  <c r="BQ136" i="3"/>
  <c r="BF136" i="3"/>
  <c r="BJ135" i="3" s="1"/>
  <c r="BK135" i="3" s="1"/>
  <c r="BB136" i="3"/>
  <c r="X139" i="3"/>
  <c r="B140" i="3"/>
  <c r="AR140" i="3"/>
  <c r="AQ140" i="3"/>
  <c r="A141" i="3"/>
  <c r="C140" i="3"/>
  <c r="D140" i="3"/>
  <c r="G140" i="3"/>
  <c r="H140" i="3" s="1"/>
  <c r="F140" i="3"/>
  <c r="Q140" i="3"/>
  <c r="S140" i="3"/>
  <c r="O140" i="3"/>
  <c r="U140" i="3"/>
  <c r="AM140" i="3"/>
  <c r="AD140" i="3"/>
  <c r="AK140" i="3"/>
  <c r="M140" i="3"/>
  <c r="AF140" i="3"/>
  <c r="AE140" i="3"/>
  <c r="R140" i="3"/>
  <c r="V140" i="3"/>
  <c r="P140" i="3"/>
  <c r="T140" i="3"/>
  <c r="BA137" i="3"/>
  <c r="BA138" i="3" l="1"/>
  <c r="AN140" i="3"/>
  <c r="AW139" i="3"/>
  <c r="AY138" i="3"/>
  <c r="BB138" i="3"/>
  <c r="BF138" i="3"/>
  <c r="BQ138" i="3"/>
  <c r="X140" i="3"/>
  <c r="AU139" i="3"/>
  <c r="AG140" i="3"/>
  <c r="AX139" i="3"/>
  <c r="AY139" i="3" s="1"/>
  <c r="AH140" i="3"/>
  <c r="BM140" i="3"/>
  <c r="AT139" i="3"/>
  <c r="Y140" i="3"/>
  <c r="Z140" i="3" s="1"/>
  <c r="AR141" i="3"/>
  <c r="D141" i="3"/>
  <c r="A142" i="3"/>
  <c r="AQ141" i="3"/>
  <c r="B141" i="3"/>
  <c r="C141" i="3"/>
  <c r="G141" i="3"/>
  <c r="H141" i="3" s="1"/>
  <c r="BN141" i="3" s="1"/>
  <c r="F141" i="3"/>
  <c r="Q141" i="3"/>
  <c r="S141" i="3"/>
  <c r="O141" i="3"/>
  <c r="U141" i="3"/>
  <c r="AE141" i="3"/>
  <c r="M141" i="3"/>
  <c r="AM141" i="3"/>
  <c r="AK141" i="3"/>
  <c r="AF141" i="3"/>
  <c r="AD141" i="3"/>
  <c r="V141" i="3"/>
  <c r="P141" i="3"/>
  <c r="R141" i="3"/>
  <c r="T141" i="3"/>
  <c r="BQ137" i="3"/>
  <c r="BF137" i="3"/>
  <c r="BJ136" i="3" s="1"/>
  <c r="BK136" i="3" s="1"/>
  <c r="BB137" i="3"/>
  <c r="AO140" i="3"/>
  <c r="BN140" i="3"/>
  <c r="BD137" i="3"/>
  <c r="BG137" i="3"/>
  <c r="BH137" i="3" s="1"/>
  <c r="BI137" i="3" s="1"/>
  <c r="BC138" i="3"/>
  <c r="AO141" i="3" l="1"/>
  <c r="BM141" i="3"/>
  <c r="AW140" i="3"/>
  <c r="AU140" i="3"/>
  <c r="AT140" i="3"/>
  <c r="AN141" i="3"/>
  <c r="AV139" i="3"/>
  <c r="BC139" i="3" s="1"/>
  <c r="BA139" i="3"/>
  <c r="AG141" i="3"/>
  <c r="B142" i="3"/>
  <c r="AR142" i="3"/>
  <c r="AQ142" i="3"/>
  <c r="A143" i="3"/>
  <c r="D142" i="3"/>
  <c r="C142" i="3"/>
  <c r="G142" i="3"/>
  <c r="H142" i="3" s="1"/>
  <c r="BN142" i="3" s="1"/>
  <c r="F142" i="3"/>
  <c r="S142" i="3"/>
  <c r="Q142" i="3"/>
  <c r="O142" i="3"/>
  <c r="U142" i="3"/>
  <c r="AM142" i="3"/>
  <c r="AK142" i="3"/>
  <c r="AO142" i="3" s="1"/>
  <c r="M142" i="3"/>
  <c r="AD142" i="3"/>
  <c r="AE142" i="3"/>
  <c r="AF142" i="3"/>
  <c r="R142" i="3"/>
  <c r="V142" i="3"/>
  <c r="P142" i="3"/>
  <c r="T142" i="3"/>
  <c r="BJ137" i="3"/>
  <c r="BK137" i="3" s="1"/>
  <c r="BD138" i="3"/>
  <c r="BG138" i="3"/>
  <c r="BH138" i="3" s="1"/>
  <c r="BI138" i="3" s="1"/>
  <c r="AX140" i="3"/>
  <c r="AY140" i="3" s="1"/>
  <c r="X141" i="3"/>
  <c r="Y141" i="3"/>
  <c r="Z141" i="3" s="1"/>
  <c r="AH141" i="3"/>
  <c r="BM142" i="3" l="1"/>
  <c r="AW141" i="3"/>
  <c r="AH142" i="3"/>
  <c r="AU141" i="3"/>
  <c r="BD139" i="3"/>
  <c r="BG139" i="3"/>
  <c r="BH139" i="3" s="1"/>
  <c r="BI139" i="3" s="1"/>
  <c r="Y142" i="3"/>
  <c r="Z142" i="3" s="1"/>
  <c r="AV140" i="3"/>
  <c r="BC140" i="3" s="1"/>
  <c r="BA140" i="3"/>
  <c r="AX141" i="3"/>
  <c r="AY141" i="3" s="1"/>
  <c r="AR143" i="3"/>
  <c r="AQ143" i="3"/>
  <c r="A144" i="3"/>
  <c r="B143" i="3"/>
  <c r="C143" i="3"/>
  <c r="D143" i="3"/>
  <c r="G143" i="3"/>
  <c r="H143" i="3" s="1"/>
  <c r="F143" i="3"/>
  <c r="Q143" i="3"/>
  <c r="S143" i="3"/>
  <c r="O143" i="3"/>
  <c r="U143" i="3"/>
  <c r="AK143" i="3"/>
  <c r="AM143" i="3"/>
  <c r="AN143" i="3" s="1"/>
  <c r="AD143" i="3"/>
  <c r="M143" i="3"/>
  <c r="AF143" i="3"/>
  <c r="AE143" i="3"/>
  <c r="V143" i="3"/>
  <c r="P143" i="3"/>
  <c r="T143" i="3"/>
  <c r="R143" i="3"/>
  <c r="BB139" i="3"/>
  <c r="BF139" i="3"/>
  <c r="BJ138" i="3" s="1"/>
  <c r="BK138" i="3" s="1"/>
  <c r="BQ139" i="3"/>
  <c r="AN142" i="3"/>
  <c r="X142" i="3"/>
  <c r="AG142" i="3"/>
  <c r="AT141" i="3"/>
  <c r="AT142" i="3" l="1"/>
  <c r="BN143" i="3"/>
  <c r="AH143" i="3"/>
  <c r="AW142" i="3"/>
  <c r="AX142" i="3"/>
  <c r="AV141" i="3"/>
  <c r="BC141" i="3" s="1"/>
  <c r="BA141" i="3"/>
  <c r="AO143" i="3"/>
  <c r="X143" i="3"/>
  <c r="Y143" i="3"/>
  <c r="Z143" i="3" s="1"/>
  <c r="B144" i="3"/>
  <c r="AR144" i="3"/>
  <c r="AQ144" i="3"/>
  <c r="A145" i="3"/>
  <c r="C144" i="3"/>
  <c r="D144" i="3"/>
  <c r="G144" i="3"/>
  <c r="H144" i="3" s="1"/>
  <c r="F144" i="3"/>
  <c r="Q144" i="3"/>
  <c r="S144" i="3"/>
  <c r="O144" i="3"/>
  <c r="U144" i="3"/>
  <c r="AD144" i="3"/>
  <c r="M144" i="3"/>
  <c r="AK144" i="3"/>
  <c r="AM144" i="3"/>
  <c r="AF144" i="3"/>
  <c r="AE144" i="3"/>
  <c r="V144" i="3"/>
  <c r="R144" i="3"/>
  <c r="T144" i="3"/>
  <c r="P144" i="3"/>
  <c r="AG143" i="3"/>
  <c r="AU142" i="3"/>
  <c r="AV142" i="3" s="1"/>
  <c r="BQ140" i="3"/>
  <c r="BB140" i="3"/>
  <c r="BF140" i="3"/>
  <c r="BJ139" i="3" s="1"/>
  <c r="BK139" i="3" s="1"/>
  <c r="BD140" i="3"/>
  <c r="BG140" i="3"/>
  <c r="BH140" i="3" s="1"/>
  <c r="BI140" i="3" s="1"/>
  <c r="BM143" i="3"/>
  <c r="AW143" i="3" l="1"/>
  <c r="BN144" i="3"/>
  <c r="AY142" i="3"/>
  <c r="AH144" i="3"/>
  <c r="BA142" i="3"/>
  <c r="BB142" i="3" s="1"/>
  <c r="AO144" i="3"/>
  <c r="BC142" i="3"/>
  <c r="BD142" i="3" s="1"/>
  <c r="Y144" i="3"/>
  <c r="Z144" i="3" s="1"/>
  <c r="A146" i="3"/>
  <c r="AR145" i="3"/>
  <c r="AQ145" i="3"/>
  <c r="B145" i="3"/>
  <c r="C145" i="3"/>
  <c r="D145" i="3"/>
  <c r="F145" i="3"/>
  <c r="BM145" i="3" s="1"/>
  <c r="G145" i="3"/>
  <c r="H145" i="3" s="1"/>
  <c r="BN145" i="3" s="1"/>
  <c r="Q145" i="3"/>
  <c r="S145" i="3"/>
  <c r="O145" i="3"/>
  <c r="U145" i="3"/>
  <c r="AD145" i="3"/>
  <c r="M145" i="3"/>
  <c r="AF145" i="3"/>
  <c r="AM145" i="3"/>
  <c r="AK145" i="3"/>
  <c r="AE145" i="3"/>
  <c r="V145" i="3"/>
  <c r="R145" i="3"/>
  <c r="P145" i="3"/>
  <c r="T145" i="3"/>
  <c r="AG144" i="3"/>
  <c r="AW144" i="3" s="1"/>
  <c r="AT144" i="3"/>
  <c r="BD141" i="3"/>
  <c r="BG141" i="3"/>
  <c r="BH141" i="3" s="1"/>
  <c r="BI141" i="3" s="1"/>
  <c r="X144" i="3"/>
  <c r="BB141" i="3"/>
  <c r="BF141" i="3"/>
  <c r="BJ140" i="3" s="1"/>
  <c r="BK140" i="3" s="1"/>
  <c r="BQ141" i="3"/>
  <c r="AU143" i="3"/>
  <c r="AX144" i="3"/>
  <c r="AY144" i="3" s="1"/>
  <c r="AT143" i="3"/>
  <c r="AN144" i="3"/>
  <c r="BM144" i="3"/>
  <c r="AX143" i="3"/>
  <c r="AY143" i="3" s="1"/>
  <c r="BF142" i="3" l="1"/>
  <c r="BQ142" i="3"/>
  <c r="AG145" i="3"/>
  <c r="Y145" i="3"/>
  <c r="Z145" i="3" s="1"/>
  <c r="BG142" i="3"/>
  <c r="BH142" i="3" s="1"/>
  <c r="BI142" i="3" s="1"/>
  <c r="BJ141" i="3"/>
  <c r="BK141" i="3" s="1"/>
  <c r="AO145" i="3"/>
  <c r="AU144" i="3"/>
  <c r="BA144" i="3" s="1"/>
  <c r="X145" i="3"/>
  <c r="AH145" i="3"/>
  <c r="B146" i="3"/>
  <c r="D146" i="3"/>
  <c r="A147" i="3"/>
  <c r="AR146" i="3"/>
  <c r="AQ146" i="3"/>
  <c r="C146" i="3"/>
  <c r="G146" i="3"/>
  <c r="H146" i="3" s="1"/>
  <c r="F146" i="3"/>
  <c r="Q146" i="3"/>
  <c r="S146" i="3"/>
  <c r="O146" i="3"/>
  <c r="U146" i="3"/>
  <c r="AF146" i="3"/>
  <c r="AD146" i="3"/>
  <c r="AM146" i="3"/>
  <c r="AK146" i="3"/>
  <c r="AO146" i="3" s="1"/>
  <c r="AE146" i="3"/>
  <c r="M146" i="3"/>
  <c r="V146" i="3"/>
  <c r="R146" i="3"/>
  <c r="P146" i="3"/>
  <c r="T146" i="3"/>
  <c r="AN145" i="3"/>
  <c r="BA143" i="3"/>
  <c r="AV143" i="3"/>
  <c r="BC143" i="3" s="1"/>
  <c r="AU145" i="3" l="1"/>
  <c r="AV144" i="3"/>
  <c r="BC144" i="3" s="1"/>
  <c r="BG144" i="3" s="1"/>
  <c r="BH144" i="3" s="1"/>
  <c r="BI144" i="3" s="1"/>
  <c r="BM146" i="3"/>
  <c r="BN146" i="3"/>
  <c r="AH146" i="3"/>
  <c r="AN146" i="3"/>
  <c r="AX145" i="3"/>
  <c r="A148" i="3"/>
  <c r="AQ147" i="3"/>
  <c r="B147" i="3"/>
  <c r="AR147" i="3"/>
  <c r="D147" i="3"/>
  <c r="C147" i="3"/>
  <c r="F147" i="3"/>
  <c r="BM147" i="3" s="1"/>
  <c r="G147" i="3"/>
  <c r="H147" i="3" s="1"/>
  <c r="S147" i="3"/>
  <c r="Q147" i="3"/>
  <c r="O147" i="3"/>
  <c r="U147" i="3"/>
  <c r="AD147" i="3"/>
  <c r="AE147" i="3"/>
  <c r="AK147" i="3"/>
  <c r="M147" i="3"/>
  <c r="AM147" i="3"/>
  <c r="AN147" i="3" s="1"/>
  <c r="AF147" i="3"/>
  <c r="V147" i="3"/>
  <c r="R147" i="3"/>
  <c r="T147" i="3"/>
  <c r="P147" i="3"/>
  <c r="BB144" i="3"/>
  <c r="BF144" i="3"/>
  <c r="BQ144" i="3"/>
  <c r="AW145" i="3"/>
  <c r="BQ143" i="3"/>
  <c r="BF143" i="3"/>
  <c r="BJ142" i="3" s="1"/>
  <c r="BK142" i="3" s="1"/>
  <c r="BB143" i="3"/>
  <c r="X146" i="3"/>
  <c r="AT145" i="3"/>
  <c r="Y146" i="3"/>
  <c r="Z146" i="3" s="1"/>
  <c r="BD144" i="3"/>
  <c r="BD143" i="3"/>
  <c r="BG143" i="3"/>
  <c r="BH143" i="3" s="1"/>
  <c r="BI143" i="3" s="1"/>
  <c r="AG146" i="3"/>
  <c r="AW146" i="3" l="1"/>
  <c r="AU146" i="3"/>
  <c r="AY145" i="3"/>
  <c r="AH147" i="3"/>
  <c r="X147" i="3"/>
  <c r="BJ143" i="3"/>
  <c r="BK143" i="3" s="1"/>
  <c r="BN147" i="3"/>
  <c r="AT146" i="3"/>
  <c r="Y147" i="3"/>
  <c r="Z147" i="3" s="1"/>
  <c r="AO147" i="3"/>
  <c r="BA145" i="3"/>
  <c r="AV145" i="3"/>
  <c r="A149" i="3"/>
  <c r="B148" i="3"/>
  <c r="AR148" i="3"/>
  <c r="AQ148" i="3"/>
  <c r="D148" i="3"/>
  <c r="C148" i="3"/>
  <c r="G148" i="3"/>
  <c r="H148" i="3" s="1"/>
  <c r="F148" i="3"/>
  <c r="BM148" i="3" s="1"/>
  <c r="Q148" i="3"/>
  <c r="S148" i="3"/>
  <c r="O148" i="3"/>
  <c r="U148" i="3"/>
  <c r="AM148" i="3"/>
  <c r="AF148" i="3"/>
  <c r="AK148" i="3"/>
  <c r="AE148" i="3"/>
  <c r="AD148" i="3"/>
  <c r="M148" i="3"/>
  <c r="P148" i="3"/>
  <c r="V148" i="3"/>
  <c r="R148" i="3"/>
  <c r="T148" i="3"/>
  <c r="AX146" i="3"/>
  <c r="AY146" i="3" s="1"/>
  <c r="AG147" i="3"/>
  <c r="AN148" i="3" l="1"/>
  <c r="AU147" i="3"/>
  <c r="BC145" i="3"/>
  <c r="BG145" i="3" s="1"/>
  <c r="BH145" i="3" s="1"/>
  <c r="BI145" i="3" s="1"/>
  <c r="X148" i="3"/>
  <c r="AW147" i="3"/>
  <c r="AH148" i="3"/>
  <c r="Y148" i="3"/>
  <c r="Z148" i="3" s="1"/>
  <c r="AV146" i="3"/>
  <c r="BC146" i="3" s="1"/>
  <c r="BA146" i="3"/>
  <c r="AQ149" i="3"/>
  <c r="D149" i="3"/>
  <c r="B149" i="3"/>
  <c r="A150" i="3"/>
  <c r="AR149" i="3"/>
  <c r="C149" i="3"/>
  <c r="G149" i="3"/>
  <c r="H149" i="3" s="1"/>
  <c r="F149" i="3"/>
  <c r="Q149" i="3"/>
  <c r="S149" i="3"/>
  <c r="O149" i="3"/>
  <c r="U149" i="3"/>
  <c r="M149" i="3"/>
  <c r="AE149" i="3"/>
  <c r="AK149" i="3"/>
  <c r="AM149" i="3"/>
  <c r="AD149" i="3"/>
  <c r="AF149" i="3"/>
  <c r="V149" i="3"/>
  <c r="R149" i="3"/>
  <c r="T149" i="3"/>
  <c r="P149" i="3"/>
  <c r="BD145" i="3"/>
  <c r="AT147" i="3"/>
  <c r="BN148" i="3"/>
  <c r="BB145" i="3"/>
  <c r="BQ145" i="3"/>
  <c r="BF145" i="3"/>
  <c r="BJ144" i="3" s="1"/>
  <c r="BK144" i="3" s="1"/>
  <c r="AG148" i="3"/>
  <c r="AO148" i="3"/>
  <c r="AX147" i="3"/>
  <c r="AY147" i="3" l="1"/>
  <c r="BM149" i="3"/>
  <c r="AN149" i="3"/>
  <c r="AU148" i="3"/>
  <c r="Y149" i="3"/>
  <c r="Z149" i="3" s="1"/>
  <c r="BF146" i="3"/>
  <c r="BJ145" i="3" s="1"/>
  <c r="BK145" i="3" s="1"/>
  <c r="BB146" i="3"/>
  <c r="BQ146" i="3"/>
  <c r="AT148" i="3"/>
  <c r="AH149" i="3"/>
  <c r="AO149" i="3"/>
  <c r="BD146" i="3"/>
  <c r="BG146" i="3"/>
  <c r="BH146" i="3" s="1"/>
  <c r="BI146" i="3" s="1"/>
  <c r="AW148" i="3"/>
  <c r="AV147" i="3"/>
  <c r="BC147" i="3" s="1"/>
  <c r="BA147" i="3"/>
  <c r="AX148" i="3"/>
  <c r="BN149" i="3"/>
  <c r="AG149" i="3"/>
  <c r="X149" i="3"/>
  <c r="AR150" i="3"/>
  <c r="AQ150" i="3"/>
  <c r="A151" i="3"/>
  <c r="B150" i="3"/>
  <c r="D150" i="3"/>
  <c r="C150" i="3"/>
  <c r="G150" i="3"/>
  <c r="H150" i="3" s="1"/>
  <c r="F150" i="3"/>
  <c r="Q150" i="3"/>
  <c r="S150" i="3"/>
  <c r="O150" i="3"/>
  <c r="U150" i="3"/>
  <c r="AK150" i="3"/>
  <c r="AM150" i="3"/>
  <c r="AF150" i="3"/>
  <c r="M150" i="3"/>
  <c r="AD150" i="3"/>
  <c r="AE150" i="3"/>
  <c r="V150" i="3"/>
  <c r="R150" i="3"/>
  <c r="P150" i="3"/>
  <c r="T150" i="3"/>
  <c r="AN150" i="3" l="1"/>
  <c r="AW149" i="3"/>
  <c r="AU149" i="3"/>
  <c r="X150" i="3"/>
  <c r="AG150" i="3"/>
  <c r="AO150" i="3"/>
  <c r="BD147" i="3"/>
  <c r="BG147" i="3"/>
  <c r="BH147" i="3" s="1"/>
  <c r="BI147" i="3" s="1"/>
  <c r="AY148" i="3"/>
  <c r="Y150" i="3"/>
  <c r="Z150" i="3" s="1"/>
  <c r="B151" i="3"/>
  <c r="AR151" i="3"/>
  <c r="A152" i="3"/>
  <c r="AQ151" i="3"/>
  <c r="D151" i="3"/>
  <c r="C151" i="3"/>
  <c r="F151" i="3"/>
  <c r="G151" i="3"/>
  <c r="H151" i="3" s="1"/>
  <c r="Q151" i="3"/>
  <c r="S151" i="3"/>
  <c r="O151" i="3"/>
  <c r="U151" i="3"/>
  <c r="M151" i="3"/>
  <c r="AM151" i="3"/>
  <c r="AK151" i="3"/>
  <c r="AD151" i="3"/>
  <c r="AE151" i="3"/>
  <c r="AF151" i="3"/>
  <c r="P151" i="3"/>
  <c r="T151" i="3"/>
  <c r="V151" i="3"/>
  <c r="R151" i="3"/>
  <c r="BM150" i="3"/>
  <c r="AX149" i="3"/>
  <c r="AY149" i="3" s="1"/>
  <c r="BA148" i="3"/>
  <c r="AV148" i="3"/>
  <c r="BF147" i="3"/>
  <c r="BJ146" i="3" s="1"/>
  <c r="BK146" i="3" s="1"/>
  <c r="BB147" i="3"/>
  <c r="BQ147" i="3"/>
  <c r="AH150" i="3"/>
  <c r="AX150" i="3" s="1"/>
  <c r="BN150" i="3"/>
  <c r="AT149" i="3"/>
  <c r="AO151" i="3" l="1"/>
  <c r="BM151" i="3"/>
  <c r="BN151" i="3"/>
  <c r="AH151" i="3"/>
  <c r="AT150" i="3"/>
  <c r="AN151" i="3"/>
  <c r="X151" i="3"/>
  <c r="A153" i="3"/>
  <c r="B152" i="3"/>
  <c r="AR152" i="3"/>
  <c r="AQ152" i="3"/>
  <c r="D152" i="3"/>
  <c r="C152" i="3"/>
  <c r="F152" i="3"/>
  <c r="BM152" i="3" s="1"/>
  <c r="G152" i="3"/>
  <c r="H152" i="3" s="1"/>
  <c r="BN152" i="3" s="1"/>
  <c r="Q152" i="3"/>
  <c r="S152" i="3"/>
  <c r="O152" i="3"/>
  <c r="U152" i="3"/>
  <c r="AK152" i="3"/>
  <c r="AF152" i="3"/>
  <c r="AD152" i="3"/>
  <c r="AM152" i="3"/>
  <c r="AE152" i="3"/>
  <c r="M152" i="3"/>
  <c r="P152" i="3"/>
  <c r="T152" i="3"/>
  <c r="V152" i="3"/>
  <c r="R152" i="3"/>
  <c r="AW150" i="3"/>
  <c r="AY150" i="3" s="1"/>
  <c r="AU150" i="3"/>
  <c r="Y151" i="3"/>
  <c r="Z151" i="3" s="1"/>
  <c r="BC148" i="3"/>
  <c r="BA149" i="3"/>
  <c r="AV149" i="3"/>
  <c r="BC149" i="3" s="1"/>
  <c r="BF148" i="3"/>
  <c r="BJ147" i="3" s="1"/>
  <c r="BK147" i="3" s="1"/>
  <c r="BB148" i="3"/>
  <c r="BQ148" i="3"/>
  <c r="AG151" i="3"/>
  <c r="AG152" i="3" l="1"/>
  <c r="AW151" i="3"/>
  <c r="AN152" i="3"/>
  <c r="AX151" i="3"/>
  <c r="AU151" i="3"/>
  <c r="BD148" i="3"/>
  <c r="BG148" i="3"/>
  <c r="BH148" i="3" s="1"/>
  <c r="BI148" i="3" s="1"/>
  <c r="X152" i="3"/>
  <c r="BA150" i="3"/>
  <c r="AV150" i="3"/>
  <c r="BC150" i="3" s="1"/>
  <c r="B153" i="3"/>
  <c r="A154" i="3"/>
  <c r="AR153" i="3"/>
  <c r="AQ153" i="3"/>
  <c r="C153" i="3"/>
  <c r="D153" i="3"/>
  <c r="F153" i="3"/>
  <c r="G153" i="3"/>
  <c r="H153" i="3" s="1"/>
  <c r="Q153" i="3"/>
  <c r="S153" i="3"/>
  <c r="O153" i="3"/>
  <c r="U153" i="3"/>
  <c r="AK153" i="3"/>
  <c r="AM153" i="3"/>
  <c r="AN153" i="3" s="1"/>
  <c r="AE153" i="3"/>
  <c r="M153" i="3"/>
  <c r="AF153" i="3"/>
  <c r="AD153" i="3"/>
  <c r="T153" i="3"/>
  <c r="P153" i="3"/>
  <c r="V153" i="3"/>
  <c r="R153" i="3"/>
  <c r="BD149" i="3"/>
  <c r="BG149" i="3"/>
  <c r="BH149" i="3" s="1"/>
  <c r="BI149" i="3" s="1"/>
  <c r="BQ149" i="3"/>
  <c r="BB149" i="3"/>
  <c r="BF149" i="3"/>
  <c r="BJ148" i="3" s="1"/>
  <c r="BK148" i="3" s="1"/>
  <c r="AH152" i="3"/>
  <c r="AT151" i="3"/>
  <c r="Y152" i="3"/>
  <c r="Z152" i="3" s="1"/>
  <c r="AO152" i="3"/>
  <c r="AY151" i="3" l="1"/>
  <c r="AX152" i="3"/>
  <c r="AH153" i="3"/>
  <c r="BD150" i="3"/>
  <c r="BG150" i="3"/>
  <c r="BH150" i="3" s="1"/>
  <c r="BI150" i="3" s="1"/>
  <c r="AO153" i="3"/>
  <c r="BQ150" i="3"/>
  <c r="BB150" i="3"/>
  <c r="BF150" i="3"/>
  <c r="BJ149" i="3" s="1"/>
  <c r="BK149" i="3" s="1"/>
  <c r="AT152" i="3"/>
  <c r="AQ154" i="3"/>
  <c r="A155" i="3"/>
  <c r="C154" i="3"/>
  <c r="B154" i="3"/>
  <c r="AR154" i="3"/>
  <c r="D154" i="3"/>
  <c r="F154" i="3"/>
  <c r="G154" i="3"/>
  <c r="H154" i="3" s="1"/>
  <c r="Q154" i="3"/>
  <c r="S154" i="3"/>
  <c r="O154" i="3"/>
  <c r="U154" i="3"/>
  <c r="AE154" i="3"/>
  <c r="AK154" i="3"/>
  <c r="AO154" i="3" s="1"/>
  <c r="AF154" i="3"/>
  <c r="AM154" i="3"/>
  <c r="AD154" i="3"/>
  <c r="M154" i="3"/>
  <c r="P154" i="3"/>
  <c r="V154" i="3"/>
  <c r="R154" i="3"/>
  <c r="T154" i="3"/>
  <c r="BN153" i="3"/>
  <c r="AW152" i="3"/>
  <c r="AY152" i="3" s="1"/>
  <c r="AV151" i="3"/>
  <c r="BC151" i="3" s="1"/>
  <c r="BA151" i="3"/>
  <c r="Y153" i="3"/>
  <c r="Z153" i="3" s="1"/>
  <c r="X153" i="3"/>
  <c r="AG153" i="3"/>
  <c r="AW153" i="3" s="1"/>
  <c r="BM153" i="3"/>
  <c r="AU152" i="3"/>
  <c r="AG154" i="3" l="1"/>
  <c r="X154" i="3"/>
  <c r="AX153" i="3"/>
  <c r="AY153" i="3" s="1"/>
  <c r="AU153" i="3"/>
  <c r="AQ155" i="3"/>
  <c r="A156" i="3"/>
  <c r="AR155" i="3"/>
  <c r="B155" i="3"/>
  <c r="C155" i="3"/>
  <c r="D155" i="3"/>
  <c r="F155" i="3"/>
  <c r="G155" i="3"/>
  <c r="H155" i="3" s="1"/>
  <c r="BN155" i="3" s="1"/>
  <c r="S155" i="3"/>
  <c r="Q155" i="3"/>
  <c r="O155" i="3"/>
  <c r="U155" i="3"/>
  <c r="AK155" i="3"/>
  <c r="AD155" i="3"/>
  <c r="AM155" i="3"/>
  <c r="AF155" i="3"/>
  <c r="M155" i="3"/>
  <c r="AE155" i="3"/>
  <c r="AG155" i="3" s="1"/>
  <c r="V155" i="3"/>
  <c r="T155" i="3"/>
  <c r="P155" i="3"/>
  <c r="R155" i="3"/>
  <c r="BD151" i="3"/>
  <c r="BG151" i="3"/>
  <c r="BH151" i="3" s="1"/>
  <c r="BI151" i="3" s="1"/>
  <c r="AH154" i="3"/>
  <c r="AN154" i="3"/>
  <c r="BN154" i="3"/>
  <c r="AV152" i="3"/>
  <c r="BC152" i="3" s="1"/>
  <c r="BA152" i="3"/>
  <c r="Y154" i="3"/>
  <c r="Z154" i="3" s="1"/>
  <c r="BB151" i="3"/>
  <c r="BF151" i="3"/>
  <c r="BJ150" i="3" s="1"/>
  <c r="BK150" i="3" s="1"/>
  <c r="BQ151" i="3"/>
  <c r="BM154" i="3"/>
  <c r="AT153" i="3"/>
  <c r="AO155" i="3" l="1"/>
  <c r="X155" i="3"/>
  <c r="Y155" i="3"/>
  <c r="Z155" i="3" s="1"/>
  <c r="AX154" i="3"/>
  <c r="AW154" i="3"/>
  <c r="AY154" i="3" s="1"/>
  <c r="AT155" i="3"/>
  <c r="AT154" i="3"/>
  <c r="AQ156" i="3"/>
  <c r="AR156" i="3"/>
  <c r="A157" i="3"/>
  <c r="B156" i="3"/>
  <c r="C156" i="3"/>
  <c r="D156" i="3"/>
  <c r="F156" i="3"/>
  <c r="BM156" i="3" s="1"/>
  <c r="G156" i="3"/>
  <c r="H156" i="3" s="1"/>
  <c r="BN156" i="3" s="1"/>
  <c r="Q156" i="3"/>
  <c r="S156" i="3"/>
  <c r="O156" i="3"/>
  <c r="U156" i="3"/>
  <c r="AK156" i="3"/>
  <c r="M156" i="3"/>
  <c r="AE156" i="3"/>
  <c r="AM156" i="3"/>
  <c r="AN156" i="3" s="1"/>
  <c r="AF156" i="3"/>
  <c r="AD156" i="3"/>
  <c r="V156" i="3"/>
  <c r="P156" i="3"/>
  <c r="T156" i="3"/>
  <c r="R156" i="3"/>
  <c r="AU154" i="3"/>
  <c r="AN155" i="3"/>
  <c r="BM155" i="3"/>
  <c r="BD152" i="3"/>
  <c r="BG152" i="3"/>
  <c r="BH152" i="3" s="1"/>
  <c r="BI152" i="3" s="1"/>
  <c r="AH155" i="3"/>
  <c r="AU155" i="3" s="1"/>
  <c r="AV153" i="3"/>
  <c r="BC153" i="3" s="1"/>
  <c r="BA153" i="3"/>
  <c r="BF152" i="3"/>
  <c r="BJ151" i="3" s="1"/>
  <c r="BK151" i="3" s="1"/>
  <c r="BQ152" i="3"/>
  <c r="BB152" i="3"/>
  <c r="AH156" i="3" l="1"/>
  <c r="BQ153" i="3"/>
  <c r="BF153" i="3"/>
  <c r="BJ152" i="3" s="1"/>
  <c r="BK152" i="3" s="1"/>
  <c r="BB153" i="3"/>
  <c r="BD153" i="3"/>
  <c r="BG153" i="3"/>
  <c r="BH153" i="3" s="1"/>
  <c r="BI153" i="3" s="1"/>
  <c r="AX155" i="3"/>
  <c r="AW155" i="3"/>
  <c r="BA155" i="3" s="1"/>
  <c r="X156" i="3"/>
  <c r="AV154" i="3"/>
  <c r="BC154" i="3" s="1"/>
  <c r="BA154" i="3"/>
  <c r="AG156" i="3"/>
  <c r="AV155" i="3"/>
  <c r="AO156" i="3"/>
  <c r="Y156" i="3"/>
  <c r="Z156" i="3" s="1"/>
  <c r="AR157" i="3"/>
  <c r="AQ157" i="3"/>
  <c r="B157" i="3"/>
  <c r="A158" i="3"/>
  <c r="D157" i="3"/>
  <c r="C157" i="3"/>
  <c r="F157" i="3"/>
  <c r="BM157" i="3" s="1"/>
  <c r="G157" i="3"/>
  <c r="H157" i="3" s="1"/>
  <c r="Q157" i="3"/>
  <c r="S157" i="3"/>
  <c r="O157" i="3"/>
  <c r="U157" i="3"/>
  <c r="AF157" i="3"/>
  <c r="AK157" i="3"/>
  <c r="AM157" i="3"/>
  <c r="AN157" i="3" s="1"/>
  <c r="M157" i="3"/>
  <c r="AD157" i="3"/>
  <c r="AE157" i="3"/>
  <c r="V157" i="3"/>
  <c r="R157" i="3"/>
  <c r="T157" i="3"/>
  <c r="P157" i="3"/>
  <c r="X157" i="3" l="1"/>
  <c r="AW156" i="3"/>
  <c r="Y157" i="3"/>
  <c r="Z157" i="3" s="1"/>
  <c r="BF155" i="3"/>
  <c r="BB155" i="3"/>
  <c r="BQ155" i="3"/>
  <c r="AX156" i="3"/>
  <c r="AY156" i="3" s="1"/>
  <c r="AT157" i="3"/>
  <c r="BN157" i="3"/>
  <c r="AH157" i="3"/>
  <c r="BD154" i="3"/>
  <c r="BG154" i="3"/>
  <c r="BH154" i="3" s="1"/>
  <c r="BI154" i="3" s="1"/>
  <c r="AU156" i="3"/>
  <c r="B158" i="3"/>
  <c r="AQ158" i="3"/>
  <c r="AR158" i="3"/>
  <c r="A159" i="3"/>
  <c r="C158" i="3"/>
  <c r="D158" i="3"/>
  <c r="G158" i="3"/>
  <c r="H158" i="3" s="1"/>
  <c r="BN158" i="3" s="1"/>
  <c r="F158" i="3"/>
  <c r="BM158" i="3" s="1"/>
  <c r="Q158" i="3"/>
  <c r="S158" i="3"/>
  <c r="O158" i="3"/>
  <c r="U158" i="3"/>
  <c r="AD158" i="3"/>
  <c r="AM158" i="3"/>
  <c r="AK158" i="3"/>
  <c r="AO158" i="3" s="1"/>
  <c r="AF158" i="3"/>
  <c r="AE158" i="3"/>
  <c r="AG158" i="3" s="1"/>
  <c r="M158" i="3"/>
  <c r="V158" i="3"/>
  <c r="P158" i="3"/>
  <c r="R158" i="3"/>
  <c r="T158" i="3"/>
  <c r="AG157" i="3"/>
  <c r="BQ154" i="3"/>
  <c r="BB154" i="3"/>
  <c r="BF154" i="3"/>
  <c r="BJ153" i="3" s="1"/>
  <c r="BK153" i="3" s="1"/>
  <c r="AO157" i="3"/>
  <c r="AY155" i="3"/>
  <c r="BC155" i="3" s="1"/>
  <c r="AT156" i="3"/>
  <c r="AW157" i="3" l="1"/>
  <c r="BD155" i="3"/>
  <c r="BG155" i="3"/>
  <c r="BH155" i="3" s="1"/>
  <c r="BI155" i="3" s="1"/>
  <c r="AN158" i="3"/>
  <c r="AH158" i="3"/>
  <c r="AT158" i="3" s="1"/>
  <c r="AX157" i="3"/>
  <c r="AY157" i="3" s="1"/>
  <c r="X158" i="3"/>
  <c r="AQ159" i="3"/>
  <c r="A160" i="3"/>
  <c r="AR159" i="3"/>
  <c r="B159" i="3"/>
  <c r="D159" i="3"/>
  <c r="C159" i="3"/>
  <c r="G159" i="3"/>
  <c r="H159" i="3" s="1"/>
  <c r="F159" i="3"/>
  <c r="Q159" i="3"/>
  <c r="S159" i="3"/>
  <c r="O159" i="3"/>
  <c r="U159" i="3"/>
  <c r="AF159" i="3"/>
  <c r="AD159" i="3"/>
  <c r="AK159" i="3"/>
  <c r="AM159" i="3"/>
  <c r="M159" i="3"/>
  <c r="AE159" i="3"/>
  <c r="P159" i="3"/>
  <c r="V159" i="3"/>
  <c r="R159" i="3"/>
  <c r="T159" i="3"/>
  <c r="AU157" i="3"/>
  <c r="AV157" i="3" s="1"/>
  <c r="BJ154" i="3"/>
  <c r="BK154" i="3" s="1"/>
  <c r="BA156" i="3"/>
  <c r="AV156" i="3"/>
  <c r="BC156" i="3" s="1"/>
  <c r="Y158" i="3"/>
  <c r="Z158" i="3" s="1"/>
  <c r="BM159" i="3" l="1"/>
  <c r="BC157" i="3"/>
  <c r="BN159" i="3"/>
  <c r="AW158" i="3"/>
  <c r="Y159" i="3"/>
  <c r="Z159" i="3" s="1"/>
  <c r="X159" i="3"/>
  <c r="AX158" i="3"/>
  <c r="AY158" i="3"/>
  <c r="BA157" i="3"/>
  <c r="BQ157" i="3" s="1"/>
  <c r="AG159" i="3"/>
  <c r="AN159" i="3"/>
  <c r="BG157" i="3"/>
  <c r="BH157" i="3" s="1"/>
  <c r="BI157" i="3" s="1"/>
  <c r="BD157" i="3"/>
  <c r="A161" i="3"/>
  <c r="B160" i="3"/>
  <c r="AQ160" i="3"/>
  <c r="AR160" i="3"/>
  <c r="D160" i="3"/>
  <c r="C160" i="3"/>
  <c r="F160" i="3"/>
  <c r="BM160" i="3" s="1"/>
  <c r="G160" i="3"/>
  <c r="H160" i="3" s="1"/>
  <c r="BN160" i="3" s="1"/>
  <c r="Q160" i="3"/>
  <c r="S160" i="3"/>
  <c r="O160" i="3"/>
  <c r="U160" i="3"/>
  <c r="AD160" i="3"/>
  <c r="M160" i="3"/>
  <c r="AM160" i="3"/>
  <c r="AK160" i="3"/>
  <c r="AF160" i="3"/>
  <c r="AE160" i="3"/>
  <c r="P160" i="3"/>
  <c r="T160" i="3"/>
  <c r="R160" i="3"/>
  <c r="V160" i="3"/>
  <c r="BB156" i="3"/>
  <c r="BQ156" i="3"/>
  <c r="BF156" i="3"/>
  <c r="BJ155" i="3" s="1"/>
  <c r="BK155" i="3" s="1"/>
  <c r="BD156" i="3"/>
  <c r="BG156" i="3"/>
  <c r="BH156" i="3" s="1"/>
  <c r="BI156" i="3" s="1"/>
  <c r="AO159" i="3"/>
  <c r="AU158" i="3"/>
  <c r="AV158" i="3" s="1"/>
  <c r="AH159" i="3"/>
  <c r="BC158" i="3" l="1"/>
  <c r="AO160" i="3"/>
  <c r="BF157" i="3"/>
  <c r="BJ156" i="3" s="1"/>
  <c r="BK156" i="3" s="1"/>
  <c r="AX159" i="3"/>
  <c r="BB157" i="3"/>
  <c r="BA158" i="3"/>
  <c r="BF158" i="3" s="1"/>
  <c r="BJ157" i="3" s="1"/>
  <c r="BK157" i="3" s="1"/>
  <c r="BB158" i="3"/>
  <c r="AU159" i="3"/>
  <c r="AR161" i="3"/>
  <c r="AQ161" i="3"/>
  <c r="B161" i="3"/>
  <c r="A162" i="3"/>
  <c r="C161" i="3"/>
  <c r="D161" i="3"/>
  <c r="G161" i="3"/>
  <c r="H161" i="3" s="1"/>
  <c r="BN161" i="3" s="1"/>
  <c r="F161" i="3"/>
  <c r="Q161" i="3"/>
  <c r="S161" i="3"/>
  <c r="O161" i="3"/>
  <c r="U161" i="3"/>
  <c r="AF161" i="3"/>
  <c r="AK161" i="3"/>
  <c r="AM161" i="3"/>
  <c r="AN161" i="3" s="1"/>
  <c r="M161" i="3"/>
  <c r="AD161" i="3"/>
  <c r="AE161" i="3"/>
  <c r="V161" i="3"/>
  <c r="P161" i="3"/>
  <c r="R161" i="3"/>
  <c r="T161" i="3"/>
  <c r="AW159" i="3"/>
  <c r="AY159" i="3" s="1"/>
  <c r="AN160" i="3"/>
  <c r="Y160" i="3"/>
  <c r="Z160" i="3" s="1"/>
  <c r="BD158" i="3"/>
  <c r="BG158" i="3"/>
  <c r="BH158" i="3" s="1"/>
  <c r="BI158" i="3" s="1"/>
  <c r="AH160" i="3"/>
  <c r="AG160" i="3"/>
  <c r="AU160" i="3" s="1"/>
  <c r="AT159" i="3"/>
  <c r="X160" i="3"/>
  <c r="BQ158" i="3" l="1"/>
  <c r="BM161" i="3"/>
  <c r="AT160" i="3"/>
  <c r="AV160" i="3" s="1"/>
  <c r="Y161" i="3"/>
  <c r="Z161" i="3" s="1"/>
  <c r="AG161" i="3"/>
  <c r="AH161" i="3"/>
  <c r="AO161" i="3"/>
  <c r="AV159" i="3"/>
  <c r="BC159" i="3" s="1"/>
  <c r="BA159" i="3"/>
  <c r="AW160" i="3"/>
  <c r="AX160" i="3"/>
  <c r="X161" i="3"/>
  <c r="D162" i="3"/>
  <c r="B162" i="3"/>
  <c r="AQ162" i="3"/>
  <c r="A163" i="3"/>
  <c r="AR162" i="3"/>
  <c r="C162" i="3"/>
  <c r="F162" i="3"/>
  <c r="BM162" i="3" s="1"/>
  <c r="G162" i="3"/>
  <c r="H162" i="3" s="1"/>
  <c r="Q162" i="3"/>
  <c r="S162" i="3"/>
  <c r="O162" i="3"/>
  <c r="U162" i="3"/>
  <c r="AM162" i="3"/>
  <c r="AK162" i="3"/>
  <c r="AO162" i="3" s="1"/>
  <c r="AD162" i="3"/>
  <c r="AE162" i="3"/>
  <c r="AF162" i="3"/>
  <c r="M162" i="3"/>
  <c r="R162" i="3"/>
  <c r="T162" i="3"/>
  <c r="V162" i="3"/>
  <c r="P162" i="3"/>
  <c r="BN162" i="3" l="1"/>
  <c r="AW161" i="3"/>
  <c r="AT161" i="3"/>
  <c r="AU161" i="3"/>
  <c r="AG162" i="3"/>
  <c r="AH162" i="3"/>
  <c r="AY160" i="3"/>
  <c r="BC160" i="3" s="1"/>
  <c r="X162" i="3"/>
  <c r="AN162" i="3"/>
  <c r="BF159" i="3"/>
  <c r="BQ159" i="3"/>
  <c r="BB159" i="3"/>
  <c r="AX161" i="3"/>
  <c r="Y162" i="3"/>
  <c r="Z162" i="3" s="1"/>
  <c r="B163" i="3"/>
  <c r="A164" i="3"/>
  <c r="AR163" i="3"/>
  <c r="AQ163" i="3"/>
  <c r="C163" i="3"/>
  <c r="D163" i="3"/>
  <c r="F163" i="3"/>
  <c r="G163" i="3"/>
  <c r="H163" i="3" s="1"/>
  <c r="Q163" i="3"/>
  <c r="S163" i="3"/>
  <c r="O163" i="3"/>
  <c r="U163" i="3"/>
  <c r="AM163" i="3"/>
  <c r="AF163" i="3"/>
  <c r="AK163" i="3"/>
  <c r="M163" i="3"/>
  <c r="AD163" i="3"/>
  <c r="AE163" i="3"/>
  <c r="P163" i="3"/>
  <c r="R163" i="3"/>
  <c r="V163" i="3"/>
  <c r="T163" i="3"/>
  <c r="BD159" i="3"/>
  <c r="BG159" i="3"/>
  <c r="BH159" i="3" s="1"/>
  <c r="BI159" i="3" s="1"/>
  <c r="BA160" i="3"/>
  <c r="AV161" i="3" l="1"/>
  <c r="BN163" i="3"/>
  <c r="AO163" i="3"/>
  <c r="BM163" i="3"/>
  <c r="AY161" i="3"/>
  <c r="BC161" i="3" s="1"/>
  <c r="AT162" i="3"/>
  <c r="AX162" i="3"/>
  <c r="BD160" i="3"/>
  <c r="BG160" i="3"/>
  <c r="BH160" i="3" s="1"/>
  <c r="BI160" i="3" s="1"/>
  <c r="Y163" i="3"/>
  <c r="Z163" i="3" s="1"/>
  <c r="BA161" i="3"/>
  <c r="BJ158" i="3"/>
  <c r="BK158" i="3" s="1"/>
  <c r="AN163" i="3"/>
  <c r="X163" i="3"/>
  <c r="AW162" i="3"/>
  <c r="AY162" i="3" s="1"/>
  <c r="AG163" i="3"/>
  <c r="AQ164" i="3"/>
  <c r="AR164" i="3"/>
  <c r="B164" i="3"/>
  <c r="A165" i="3"/>
  <c r="D164" i="3"/>
  <c r="C164" i="3"/>
  <c r="F164" i="3"/>
  <c r="BM164" i="3" s="1"/>
  <c r="G164" i="3"/>
  <c r="H164" i="3" s="1"/>
  <c r="Q164" i="3"/>
  <c r="S164" i="3"/>
  <c r="O164" i="3"/>
  <c r="U164" i="3"/>
  <c r="AE164" i="3"/>
  <c r="AM164" i="3"/>
  <c r="AK164" i="3"/>
  <c r="AO164" i="3" s="1"/>
  <c r="AF164" i="3"/>
  <c r="AD164" i="3"/>
  <c r="M164" i="3"/>
  <c r="R164" i="3"/>
  <c r="T164" i="3"/>
  <c r="V164" i="3"/>
  <c r="P164" i="3"/>
  <c r="BF160" i="3"/>
  <c r="BJ159" i="3" s="1"/>
  <c r="BK159" i="3" s="1"/>
  <c r="BQ160" i="3"/>
  <c r="BB160" i="3"/>
  <c r="AH163" i="3"/>
  <c r="AU162" i="3"/>
  <c r="AV162" i="3" l="1"/>
  <c r="BC162" i="3" s="1"/>
  <c r="AT163" i="3"/>
  <c r="AU163" i="3"/>
  <c r="AG164" i="3"/>
  <c r="AV163" i="3"/>
  <c r="BF161" i="3"/>
  <c r="BJ160" i="3" s="1"/>
  <c r="BK160" i="3" s="1"/>
  <c r="BB161" i="3"/>
  <c r="BQ161" i="3"/>
  <c r="AN164" i="3"/>
  <c r="X164" i="3"/>
  <c r="B165" i="3"/>
  <c r="AR165" i="3"/>
  <c r="AQ165" i="3"/>
  <c r="C165" i="3"/>
  <c r="A166" i="3"/>
  <c r="D165" i="3"/>
  <c r="F165" i="3"/>
  <c r="BM165" i="3" s="1"/>
  <c r="G165" i="3"/>
  <c r="H165" i="3" s="1"/>
  <c r="Q165" i="3"/>
  <c r="S165" i="3"/>
  <c r="O165" i="3"/>
  <c r="U165" i="3"/>
  <c r="AK165" i="3"/>
  <c r="AE165" i="3"/>
  <c r="M165" i="3"/>
  <c r="AM165" i="3"/>
  <c r="AD165" i="3"/>
  <c r="AF165" i="3"/>
  <c r="V165" i="3"/>
  <c r="P165" i="3"/>
  <c r="T165" i="3"/>
  <c r="R165" i="3"/>
  <c r="BA162" i="3"/>
  <c r="Y164" i="3"/>
  <c r="Z164" i="3" s="1"/>
  <c r="BD161" i="3"/>
  <c r="BG161" i="3"/>
  <c r="BH161" i="3" s="1"/>
  <c r="BI161" i="3" s="1"/>
  <c r="AX163" i="3"/>
  <c r="AH164" i="3"/>
  <c r="BN164" i="3"/>
  <c r="AW163" i="3"/>
  <c r="BG162" i="3" l="1"/>
  <c r="BH162" i="3" s="1"/>
  <c r="BI162" i="3" s="1"/>
  <c r="BD162" i="3"/>
  <c r="AU164" i="3"/>
  <c r="AO165" i="3"/>
  <c r="AG165" i="3"/>
  <c r="AW164" i="3"/>
  <c r="Y165" i="3"/>
  <c r="Z165" i="3" s="1"/>
  <c r="AQ166" i="3"/>
  <c r="A167" i="3"/>
  <c r="AR166" i="3"/>
  <c r="B166" i="3"/>
  <c r="C166" i="3"/>
  <c r="D166" i="3"/>
  <c r="F166" i="3"/>
  <c r="BM166" i="3" s="1"/>
  <c r="G166" i="3"/>
  <c r="H166" i="3" s="1"/>
  <c r="BN166" i="3" s="1"/>
  <c r="Q166" i="3"/>
  <c r="S166" i="3"/>
  <c r="O166" i="3"/>
  <c r="U166" i="3"/>
  <c r="AM166" i="3"/>
  <c r="AK166" i="3"/>
  <c r="AD166" i="3"/>
  <c r="M166" i="3"/>
  <c r="AE166" i="3"/>
  <c r="AF166" i="3"/>
  <c r="V166" i="3"/>
  <c r="R166" i="3"/>
  <c r="P166" i="3"/>
  <c r="T166" i="3"/>
  <c r="AY163" i="3"/>
  <c r="AH165" i="3"/>
  <c r="BC163" i="3"/>
  <c r="BQ162" i="3"/>
  <c r="BF162" i="3"/>
  <c r="BJ161" i="3" s="1"/>
  <c r="BK161" i="3" s="1"/>
  <c r="BB162" i="3"/>
  <c r="X165" i="3"/>
  <c r="AX164" i="3"/>
  <c r="AT164" i="3"/>
  <c r="AN165" i="3"/>
  <c r="BN165" i="3"/>
  <c r="BA163" i="3"/>
  <c r="X166" i="3" l="1"/>
  <c r="AY164" i="3"/>
  <c r="AO166" i="3"/>
  <c r="BD163" i="3"/>
  <c r="BG163" i="3"/>
  <c r="BH163" i="3" s="1"/>
  <c r="BI163" i="3" s="1"/>
  <c r="AV164" i="3"/>
  <c r="BC164" i="3" s="1"/>
  <c r="BA164" i="3"/>
  <c r="Y166" i="3"/>
  <c r="Z166" i="3" s="1"/>
  <c r="AX165" i="3"/>
  <c r="AU165" i="3"/>
  <c r="BB163" i="3"/>
  <c r="BF163" i="3"/>
  <c r="BJ162" i="3" s="1"/>
  <c r="BK162" i="3" s="1"/>
  <c r="BQ163" i="3"/>
  <c r="AQ167" i="3"/>
  <c r="B167" i="3"/>
  <c r="A168" i="3"/>
  <c r="AR167" i="3"/>
  <c r="D167" i="3"/>
  <c r="C167" i="3"/>
  <c r="F167" i="3"/>
  <c r="BM167" i="3" s="1"/>
  <c r="G167" i="3"/>
  <c r="H167" i="3" s="1"/>
  <c r="BN167" i="3" s="1"/>
  <c r="Q167" i="3"/>
  <c r="S167" i="3"/>
  <c r="O167" i="3"/>
  <c r="U167" i="3"/>
  <c r="AK167" i="3"/>
  <c r="AM167" i="3"/>
  <c r="AF167" i="3"/>
  <c r="AD167" i="3"/>
  <c r="M167" i="3"/>
  <c r="AE167" i="3"/>
  <c r="AG167" i="3" s="1"/>
  <c r="V167" i="3"/>
  <c r="R167" i="3"/>
  <c r="T167" i="3"/>
  <c r="P167" i="3"/>
  <c r="AG166" i="3"/>
  <c r="AW165" i="3"/>
  <c r="AH166" i="3"/>
  <c r="AT165" i="3"/>
  <c r="AN166" i="3"/>
  <c r="X167" i="3" l="1"/>
  <c r="AN167" i="3"/>
  <c r="AY165" i="3"/>
  <c r="Y167" i="3"/>
  <c r="Z167" i="3" s="1"/>
  <c r="AR168" i="3"/>
  <c r="B168" i="3"/>
  <c r="AQ168" i="3"/>
  <c r="A169" i="3"/>
  <c r="C168" i="3"/>
  <c r="D168" i="3"/>
  <c r="G168" i="3"/>
  <c r="H168" i="3" s="1"/>
  <c r="BN168" i="3" s="1"/>
  <c r="F168" i="3"/>
  <c r="S168" i="3"/>
  <c r="Q168" i="3"/>
  <c r="O168" i="3"/>
  <c r="U168" i="3"/>
  <c r="AF168" i="3"/>
  <c r="AM168" i="3"/>
  <c r="AK168" i="3"/>
  <c r="M168" i="3"/>
  <c r="AD168" i="3"/>
  <c r="AE168" i="3"/>
  <c r="P168" i="3"/>
  <c r="V168" i="3"/>
  <c r="R168" i="3"/>
  <c r="T168" i="3"/>
  <c r="BA165" i="3"/>
  <c r="AV165" i="3"/>
  <c r="BC165" i="3" s="1"/>
  <c r="AX166" i="3"/>
  <c r="BD164" i="3"/>
  <c r="BG164" i="3"/>
  <c r="BH164" i="3" s="1"/>
  <c r="BI164" i="3" s="1"/>
  <c r="AW166" i="3"/>
  <c r="AY166" i="3" s="1"/>
  <c r="BF164" i="3"/>
  <c r="BJ163" i="3" s="1"/>
  <c r="BK163" i="3" s="1"/>
  <c r="BB164" i="3"/>
  <c r="BQ164" i="3"/>
  <c r="AH167" i="3"/>
  <c r="AU166" i="3"/>
  <c r="AO167" i="3"/>
  <c r="AT166" i="3"/>
  <c r="AW167" i="3" l="1"/>
  <c r="X168" i="3"/>
  <c r="AO168" i="3"/>
  <c r="Y168" i="3"/>
  <c r="Z168" i="3" s="1"/>
  <c r="AR169" i="3"/>
  <c r="A170" i="3"/>
  <c r="AQ169" i="3"/>
  <c r="B169" i="3"/>
  <c r="C169" i="3"/>
  <c r="D169" i="3"/>
  <c r="F169" i="3"/>
  <c r="BM169" i="3" s="1"/>
  <c r="G169" i="3"/>
  <c r="H169" i="3" s="1"/>
  <c r="Q169" i="3"/>
  <c r="S169" i="3"/>
  <c r="O169" i="3"/>
  <c r="U169" i="3"/>
  <c r="AD169" i="3"/>
  <c r="AM169" i="3"/>
  <c r="AE169" i="3"/>
  <c r="AK169" i="3"/>
  <c r="AF169" i="3"/>
  <c r="M169" i="3"/>
  <c r="V169" i="3"/>
  <c r="P169" i="3"/>
  <c r="R169" i="3"/>
  <c r="T169" i="3"/>
  <c r="AX167" i="3"/>
  <c r="AY167" i="3" s="1"/>
  <c r="BM168" i="3"/>
  <c r="AU167" i="3"/>
  <c r="BG165" i="3"/>
  <c r="BH165" i="3" s="1"/>
  <c r="BI165" i="3" s="1"/>
  <c r="BD165" i="3"/>
  <c r="BQ165" i="3"/>
  <c r="BF165" i="3"/>
  <c r="BJ164" i="3" s="1"/>
  <c r="BK164" i="3" s="1"/>
  <c r="BB165" i="3"/>
  <c r="AG168" i="3"/>
  <c r="AH168" i="3"/>
  <c r="AV166" i="3"/>
  <c r="BC166" i="3" s="1"/>
  <c r="BA166" i="3"/>
  <c r="AN168" i="3"/>
  <c r="AT167" i="3"/>
  <c r="AN169" i="3" l="1"/>
  <c r="AG169" i="3"/>
  <c r="X169" i="3"/>
  <c r="AQ170" i="3"/>
  <c r="C170" i="3"/>
  <c r="AR170" i="3"/>
  <c r="B170" i="3"/>
  <c r="A171" i="3"/>
  <c r="D170" i="3"/>
  <c r="F170" i="3"/>
  <c r="G170" i="3"/>
  <c r="H170" i="3" s="1"/>
  <c r="Q170" i="3"/>
  <c r="S170" i="3"/>
  <c r="O170" i="3"/>
  <c r="U170" i="3"/>
  <c r="AM170" i="3"/>
  <c r="AN170" i="3" s="1"/>
  <c r="M170" i="3"/>
  <c r="AK170" i="3"/>
  <c r="AF170" i="3"/>
  <c r="AD170" i="3"/>
  <c r="AE170" i="3"/>
  <c r="V170" i="3"/>
  <c r="P170" i="3"/>
  <c r="R170" i="3"/>
  <c r="T170" i="3"/>
  <c r="BD166" i="3"/>
  <c r="BG166" i="3"/>
  <c r="BH166" i="3" s="1"/>
  <c r="BI166" i="3" s="1"/>
  <c r="Y169" i="3"/>
  <c r="Z169" i="3" s="1"/>
  <c r="AW168" i="3"/>
  <c r="AY168" i="3" s="1"/>
  <c r="AH169" i="3"/>
  <c r="BB166" i="3"/>
  <c r="BQ166" i="3"/>
  <c r="BF166" i="3"/>
  <c r="BJ165" i="3" s="1"/>
  <c r="BK165" i="3" s="1"/>
  <c r="AX168" i="3"/>
  <c r="AT168" i="3"/>
  <c r="AU168" i="3"/>
  <c r="AV167" i="3"/>
  <c r="BC167" i="3" s="1"/>
  <c r="BA167" i="3"/>
  <c r="AO169" i="3"/>
  <c r="BN169" i="3"/>
  <c r="AG170" i="3" l="1"/>
  <c r="AT169" i="3"/>
  <c r="AX169" i="3"/>
  <c r="BD167" i="3"/>
  <c r="BG167" i="3"/>
  <c r="BH167" i="3" s="1"/>
  <c r="BI167" i="3" s="1"/>
  <c r="AR171" i="3"/>
  <c r="AQ171" i="3"/>
  <c r="B171" i="3"/>
  <c r="A172" i="3"/>
  <c r="D171" i="3"/>
  <c r="C171" i="3"/>
  <c r="F171" i="3"/>
  <c r="BM171" i="3" s="1"/>
  <c r="G171" i="3"/>
  <c r="H171" i="3" s="1"/>
  <c r="Q171" i="3"/>
  <c r="S171" i="3"/>
  <c r="O171" i="3"/>
  <c r="U171" i="3"/>
  <c r="AD171" i="3"/>
  <c r="AE171" i="3"/>
  <c r="M171" i="3"/>
  <c r="AF171" i="3"/>
  <c r="AM171" i="3"/>
  <c r="AK171" i="3"/>
  <c r="AO171" i="3" s="1"/>
  <c r="V171" i="3"/>
  <c r="P171" i="3"/>
  <c r="T171" i="3"/>
  <c r="R171" i="3"/>
  <c r="AH170" i="3"/>
  <c r="AU170" i="3" s="1"/>
  <c r="BN170" i="3"/>
  <c r="AU169" i="3"/>
  <c r="AV169" i="3" s="1"/>
  <c r="BF167" i="3"/>
  <c r="BJ166" i="3" s="1"/>
  <c r="BK166" i="3" s="1"/>
  <c r="BB167" i="3"/>
  <c r="BQ167" i="3"/>
  <c r="X170" i="3"/>
  <c r="BA168" i="3"/>
  <c r="AV168" i="3"/>
  <c r="BC168" i="3" s="1"/>
  <c r="Y170" i="3"/>
  <c r="Z170" i="3" s="1"/>
  <c r="AW169" i="3"/>
  <c r="AY169" i="3" s="1"/>
  <c r="AO170" i="3"/>
  <c r="BM170" i="3"/>
  <c r="AH171" i="3" l="1"/>
  <c r="BC169" i="3"/>
  <c r="BD168" i="3"/>
  <c r="BG168" i="3"/>
  <c r="BH168" i="3" s="1"/>
  <c r="BI168" i="3" s="1"/>
  <c r="BA169" i="3"/>
  <c r="BN171" i="3"/>
  <c r="BQ168" i="3"/>
  <c r="BF168" i="3"/>
  <c r="BJ167" i="3" s="1"/>
  <c r="BK167" i="3" s="1"/>
  <c r="BB168" i="3"/>
  <c r="Y171" i="3"/>
  <c r="Z171" i="3" s="1"/>
  <c r="AN171" i="3"/>
  <c r="B172" i="3"/>
  <c r="AQ172" i="3"/>
  <c r="A173" i="3"/>
  <c r="AR172" i="3"/>
  <c r="D172" i="3"/>
  <c r="C172" i="3"/>
  <c r="G172" i="3"/>
  <c r="H172" i="3" s="1"/>
  <c r="F172" i="3"/>
  <c r="BM172" i="3" s="1"/>
  <c r="S172" i="3"/>
  <c r="Q172" i="3"/>
  <c r="O172" i="3"/>
  <c r="U172" i="3"/>
  <c r="AM172" i="3"/>
  <c r="AF172" i="3"/>
  <c r="AD172" i="3"/>
  <c r="AK172" i="3"/>
  <c r="M172" i="3"/>
  <c r="AE172" i="3"/>
  <c r="V172" i="3"/>
  <c r="P172" i="3"/>
  <c r="R172" i="3"/>
  <c r="T172" i="3"/>
  <c r="AX170" i="3"/>
  <c r="AT170" i="3"/>
  <c r="AW170" i="3"/>
  <c r="AY170" i="3" s="1"/>
  <c r="AG171" i="3"/>
  <c r="AW171" i="3" s="1"/>
  <c r="X171" i="3"/>
  <c r="BN172" i="3" l="1"/>
  <c r="AG172" i="3"/>
  <c r="AO172" i="3"/>
  <c r="AX171" i="3"/>
  <c r="AY171" i="3" s="1"/>
  <c r="AR173" i="3"/>
  <c r="AQ173" i="3"/>
  <c r="C173" i="3"/>
  <c r="A174" i="3"/>
  <c r="B173" i="3"/>
  <c r="D173" i="3"/>
  <c r="G173" i="3"/>
  <c r="H173" i="3" s="1"/>
  <c r="BN173" i="3" s="1"/>
  <c r="F173" i="3"/>
  <c r="S173" i="3"/>
  <c r="Q173" i="3"/>
  <c r="O173" i="3"/>
  <c r="U173" i="3"/>
  <c r="M173" i="3"/>
  <c r="AF173" i="3"/>
  <c r="AK173" i="3"/>
  <c r="AM173" i="3"/>
  <c r="AE173" i="3"/>
  <c r="AD173" i="3"/>
  <c r="V173" i="3"/>
  <c r="P173" i="3"/>
  <c r="T173" i="3"/>
  <c r="R173" i="3"/>
  <c r="AU172" i="3"/>
  <c r="BA170" i="3"/>
  <c r="AV170" i="3"/>
  <c r="BC170" i="3" s="1"/>
  <c r="AU171" i="3"/>
  <c r="BQ169" i="3"/>
  <c r="BB169" i="3"/>
  <c r="BF169" i="3"/>
  <c r="BJ168" i="3" s="1"/>
  <c r="BK168" i="3" s="1"/>
  <c r="AH172" i="3"/>
  <c r="AN172" i="3"/>
  <c r="Y172" i="3"/>
  <c r="Z172" i="3" s="1"/>
  <c r="AT171" i="3"/>
  <c r="X172" i="3"/>
  <c r="BD169" i="3"/>
  <c r="BG169" i="3"/>
  <c r="BH169" i="3" s="1"/>
  <c r="BI169" i="3" s="1"/>
  <c r="AO173" i="3" l="1"/>
  <c r="X173" i="3"/>
  <c r="BA171" i="3"/>
  <c r="AV171" i="3"/>
  <c r="BC171" i="3" s="1"/>
  <c r="AH173" i="3"/>
  <c r="AX172" i="3"/>
  <c r="AT172" i="3"/>
  <c r="AR174" i="3"/>
  <c r="AQ174" i="3"/>
  <c r="A175" i="3"/>
  <c r="B174" i="3"/>
  <c r="D174" i="3"/>
  <c r="C174" i="3"/>
  <c r="F174" i="3"/>
  <c r="BM174" i="3" s="1"/>
  <c r="G174" i="3"/>
  <c r="H174" i="3" s="1"/>
  <c r="BN174" i="3" s="1"/>
  <c r="Q174" i="3"/>
  <c r="S174" i="3"/>
  <c r="O174" i="3"/>
  <c r="U174" i="3"/>
  <c r="AF174" i="3"/>
  <c r="AM174" i="3"/>
  <c r="AK174" i="3"/>
  <c r="AO174" i="3" s="1"/>
  <c r="AE174" i="3"/>
  <c r="AD174" i="3"/>
  <c r="M174" i="3"/>
  <c r="V174" i="3"/>
  <c r="T174" i="3"/>
  <c r="P174" i="3"/>
  <c r="R174" i="3"/>
  <c r="AW172" i="3"/>
  <c r="AG173" i="3"/>
  <c r="AW173" i="3" s="1"/>
  <c r="Y173" i="3"/>
  <c r="Z173" i="3" s="1"/>
  <c r="BD170" i="3"/>
  <c r="BG170" i="3"/>
  <c r="BH170" i="3" s="1"/>
  <c r="BI170" i="3" s="1"/>
  <c r="BQ170" i="3"/>
  <c r="BF170" i="3"/>
  <c r="BJ169" i="3" s="1"/>
  <c r="BK169" i="3" s="1"/>
  <c r="BB170" i="3"/>
  <c r="AN173" i="3"/>
  <c r="BM173" i="3"/>
  <c r="AG174" i="3" l="1"/>
  <c r="BA172" i="3"/>
  <c r="AV172" i="3"/>
  <c r="AX173" i="3"/>
  <c r="AY173" i="3" s="1"/>
  <c r="AQ175" i="3"/>
  <c r="B175" i="3"/>
  <c r="AR175" i="3"/>
  <c r="A176" i="3"/>
  <c r="D175" i="3"/>
  <c r="C175" i="3"/>
  <c r="F175" i="3"/>
  <c r="BM175" i="3" s="1"/>
  <c r="G175" i="3"/>
  <c r="H175" i="3" s="1"/>
  <c r="S175" i="3"/>
  <c r="Q175" i="3"/>
  <c r="O175" i="3"/>
  <c r="U175" i="3"/>
  <c r="AE175" i="3"/>
  <c r="AK175" i="3"/>
  <c r="AM175" i="3"/>
  <c r="AN175" i="3" s="1"/>
  <c r="AD175" i="3"/>
  <c r="AF175" i="3"/>
  <c r="M175" i="3"/>
  <c r="V175" i="3"/>
  <c r="P175" i="3"/>
  <c r="T175" i="3"/>
  <c r="R175" i="3"/>
  <c r="BD171" i="3"/>
  <c r="BG171" i="3"/>
  <c r="BH171" i="3" s="1"/>
  <c r="BI171" i="3" s="1"/>
  <c r="AY172" i="3"/>
  <c r="X174" i="3"/>
  <c r="BF171" i="3"/>
  <c r="BJ170" i="3" s="1"/>
  <c r="BK170" i="3" s="1"/>
  <c r="BB171" i="3"/>
  <c r="BQ171" i="3"/>
  <c r="AN174" i="3"/>
  <c r="AU173" i="3"/>
  <c r="Y174" i="3"/>
  <c r="Z174" i="3" s="1"/>
  <c r="AT173" i="3"/>
  <c r="AH174" i="3"/>
  <c r="AT174" i="3"/>
  <c r="AW174" i="3" l="1"/>
  <c r="BN175" i="3"/>
  <c r="Y175" i="3"/>
  <c r="Z175" i="3" s="1"/>
  <c r="AH175" i="3"/>
  <c r="AV173" i="3"/>
  <c r="BC173" i="3" s="1"/>
  <c r="BA173" i="3"/>
  <c r="BC172" i="3"/>
  <c r="AO175" i="3"/>
  <c r="AG175" i="3"/>
  <c r="AX174" i="3"/>
  <c r="AY174" i="3" s="1"/>
  <c r="AU174" i="3"/>
  <c r="AV174" i="3" s="1"/>
  <c r="X175" i="3"/>
  <c r="A177" i="3"/>
  <c r="AR176" i="3"/>
  <c r="B176" i="3"/>
  <c r="AQ176" i="3"/>
  <c r="D176" i="3"/>
  <c r="C176" i="3"/>
  <c r="G176" i="3"/>
  <c r="H176" i="3" s="1"/>
  <c r="BN176" i="3" s="1"/>
  <c r="F176" i="3"/>
  <c r="BM176" i="3" s="1"/>
  <c r="Q176" i="3"/>
  <c r="S176" i="3"/>
  <c r="O176" i="3"/>
  <c r="U176" i="3"/>
  <c r="AD176" i="3"/>
  <c r="AK176" i="3"/>
  <c r="AM176" i="3"/>
  <c r="M176" i="3"/>
  <c r="AF176" i="3"/>
  <c r="AE176" i="3"/>
  <c r="R176" i="3"/>
  <c r="V176" i="3"/>
  <c r="P176" i="3"/>
  <c r="T176" i="3"/>
  <c r="BF172" i="3"/>
  <c r="BJ171" i="3" s="1"/>
  <c r="BK171" i="3" s="1"/>
  <c r="BB172" i="3"/>
  <c r="BQ172" i="3"/>
  <c r="AU175" i="3" l="1"/>
  <c r="AN176" i="3"/>
  <c r="AG176" i="3"/>
  <c r="BC174" i="3"/>
  <c r="BD174" i="3" s="1"/>
  <c r="AO176" i="3"/>
  <c r="BF173" i="3"/>
  <c r="BJ172" i="3" s="1"/>
  <c r="BK172" i="3" s="1"/>
  <c r="BQ173" i="3"/>
  <c r="BB173" i="3"/>
  <c r="BD173" i="3"/>
  <c r="BG173" i="3"/>
  <c r="BH173" i="3" s="1"/>
  <c r="BI173" i="3" s="1"/>
  <c r="AH176" i="3"/>
  <c r="AT176" i="3" s="1"/>
  <c r="AX175" i="3"/>
  <c r="B177" i="3"/>
  <c r="AQ177" i="3"/>
  <c r="A178" i="3"/>
  <c r="AR177" i="3"/>
  <c r="D177" i="3"/>
  <c r="C177" i="3"/>
  <c r="G177" i="3"/>
  <c r="H177" i="3" s="1"/>
  <c r="BN177" i="3" s="1"/>
  <c r="F177" i="3"/>
  <c r="BM177" i="3" s="1"/>
  <c r="Q177" i="3"/>
  <c r="S177" i="3"/>
  <c r="O177" i="3"/>
  <c r="U177" i="3"/>
  <c r="M177" i="3"/>
  <c r="AE177" i="3"/>
  <c r="AM177" i="3"/>
  <c r="AK177" i="3"/>
  <c r="AO177" i="3" s="1"/>
  <c r="AD177" i="3"/>
  <c r="AF177" i="3"/>
  <c r="V177" i="3"/>
  <c r="R177" i="3"/>
  <c r="P177" i="3"/>
  <c r="T177" i="3"/>
  <c r="BD172" i="3"/>
  <c r="BG172" i="3"/>
  <c r="BH172" i="3" s="1"/>
  <c r="BI172" i="3" s="1"/>
  <c r="X176" i="3"/>
  <c r="AW175" i="3"/>
  <c r="Y176" i="3"/>
  <c r="Z176" i="3" s="1"/>
  <c r="BA174" i="3"/>
  <c r="AT175" i="3"/>
  <c r="BG174" i="3" l="1"/>
  <c r="BH174" i="3" s="1"/>
  <c r="BI174" i="3" s="1"/>
  <c r="AY175" i="3"/>
  <c r="Y177" i="3"/>
  <c r="Z177" i="3" s="1"/>
  <c r="AH177" i="3"/>
  <c r="BA175" i="3"/>
  <c r="AV175" i="3"/>
  <c r="AN177" i="3"/>
  <c r="AG177" i="3"/>
  <c r="AR178" i="3"/>
  <c r="AQ178" i="3"/>
  <c r="A179" i="3"/>
  <c r="D178" i="3"/>
  <c r="B178" i="3"/>
  <c r="C178" i="3"/>
  <c r="G178" i="3"/>
  <c r="H178" i="3" s="1"/>
  <c r="BN178" i="3" s="1"/>
  <c r="F178" i="3"/>
  <c r="BM178" i="3" s="1"/>
  <c r="Q178" i="3"/>
  <c r="S178" i="3"/>
  <c r="O178" i="3"/>
  <c r="U178" i="3"/>
  <c r="AF178" i="3"/>
  <c r="AK178" i="3"/>
  <c r="AM178" i="3"/>
  <c r="AN178" i="3" s="1"/>
  <c r="AD178" i="3"/>
  <c r="M178" i="3"/>
  <c r="AE178" i="3"/>
  <c r="P178" i="3"/>
  <c r="R178" i="3"/>
  <c r="T178" i="3"/>
  <c r="V178" i="3"/>
  <c r="AX176" i="3"/>
  <c r="AW176" i="3"/>
  <c r="AY176" i="3" s="1"/>
  <c r="BF174" i="3"/>
  <c r="BJ173" i="3" s="1"/>
  <c r="BK173" i="3" s="1"/>
  <c r="BQ174" i="3"/>
  <c r="BB174" i="3"/>
  <c r="AU176" i="3"/>
  <c r="AV176" i="3" s="1"/>
  <c r="X177" i="3"/>
  <c r="AW177" i="3" l="1"/>
  <c r="BC175" i="3"/>
  <c r="AH178" i="3"/>
  <c r="BC176" i="3"/>
  <c r="AT177" i="3"/>
  <c r="BD176" i="3"/>
  <c r="BG176" i="3"/>
  <c r="BH176" i="3" s="1"/>
  <c r="BI176" i="3" s="1"/>
  <c r="AG178" i="3"/>
  <c r="AT178" i="3" s="1"/>
  <c r="AX177" i="3"/>
  <c r="AY177" i="3" s="1"/>
  <c r="AU177" i="3"/>
  <c r="AO178" i="3"/>
  <c r="BD175" i="3"/>
  <c r="BG175" i="3"/>
  <c r="BH175" i="3" s="1"/>
  <c r="BI175" i="3" s="1"/>
  <c r="AR179" i="3"/>
  <c r="A180" i="3"/>
  <c r="B179" i="3"/>
  <c r="AQ179" i="3"/>
  <c r="C179" i="3"/>
  <c r="D179" i="3"/>
  <c r="G179" i="3"/>
  <c r="H179" i="3" s="1"/>
  <c r="BN179" i="3" s="1"/>
  <c r="F179" i="3"/>
  <c r="Q179" i="3"/>
  <c r="S179" i="3"/>
  <c r="O179" i="3"/>
  <c r="U179" i="3"/>
  <c r="AF179" i="3"/>
  <c r="AE179" i="3"/>
  <c r="AM179" i="3"/>
  <c r="AK179" i="3"/>
  <c r="AO179" i="3" s="1"/>
  <c r="AD179" i="3"/>
  <c r="M179" i="3"/>
  <c r="P179" i="3"/>
  <c r="V179" i="3"/>
  <c r="R179" i="3"/>
  <c r="T179" i="3"/>
  <c r="BA176" i="3"/>
  <c r="Y178" i="3"/>
  <c r="Z178" i="3" s="1"/>
  <c r="BF175" i="3"/>
  <c r="BJ174" i="3" s="1"/>
  <c r="BK174" i="3" s="1"/>
  <c r="BB175" i="3"/>
  <c r="BQ175" i="3"/>
  <c r="X178" i="3"/>
  <c r="X179" i="3" l="1"/>
  <c r="AX178" i="3"/>
  <c r="AU178" i="3"/>
  <c r="AV178" i="3" s="1"/>
  <c r="AH179" i="3"/>
  <c r="BA177" i="3"/>
  <c r="BF177" i="3" s="1"/>
  <c r="BQ177" i="3"/>
  <c r="Y179" i="3"/>
  <c r="Z179" i="3" s="1"/>
  <c r="AW178" i="3"/>
  <c r="B180" i="3"/>
  <c r="A181" i="3"/>
  <c r="AR180" i="3"/>
  <c r="AQ180" i="3"/>
  <c r="C180" i="3"/>
  <c r="D180" i="3"/>
  <c r="F180" i="3"/>
  <c r="G180" i="3"/>
  <c r="H180" i="3" s="1"/>
  <c r="BN180" i="3" s="1"/>
  <c r="Q180" i="3"/>
  <c r="S180" i="3"/>
  <c r="O180" i="3"/>
  <c r="U180" i="3"/>
  <c r="AF180" i="3"/>
  <c r="AM180" i="3"/>
  <c r="AK180" i="3"/>
  <c r="AD180" i="3"/>
  <c r="AE180" i="3"/>
  <c r="M180" i="3"/>
  <c r="R180" i="3"/>
  <c r="P180" i="3"/>
  <c r="V180" i="3"/>
  <c r="T180" i="3"/>
  <c r="AV177" i="3"/>
  <c r="BC177" i="3" s="1"/>
  <c r="BM179" i="3"/>
  <c r="BB176" i="3"/>
  <c r="BF176" i="3"/>
  <c r="BJ175" i="3" s="1"/>
  <c r="BK175" i="3" s="1"/>
  <c r="BQ176" i="3"/>
  <c r="AN179" i="3"/>
  <c r="AG179" i="3"/>
  <c r="BM180" i="3" l="1"/>
  <c r="BB177" i="3"/>
  <c r="AY178" i="3"/>
  <c r="AH180" i="3"/>
  <c r="AO180" i="3"/>
  <c r="Y180" i="3"/>
  <c r="Z180" i="3" s="1"/>
  <c r="AX179" i="3"/>
  <c r="AW179" i="3"/>
  <c r="BD177" i="3"/>
  <c r="BG177" i="3"/>
  <c r="BH177" i="3" s="1"/>
  <c r="BI177" i="3" s="1"/>
  <c r="AT179" i="3"/>
  <c r="BJ176" i="3"/>
  <c r="BK176" i="3" s="1"/>
  <c r="AN180" i="3"/>
  <c r="BC178" i="3"/>
  <c r="BA178" i="3"/>
  <c r="X180" i="3"/>
  <c r="A182" i="3"/>
  <c r="D181" i="3"/>
  <c r="AR181" i="3"/>
  <c r="B181" i="3"/>
  <c r="AQ181" i="3"/>
  <c r="C181" i="3"/>
  <c r="F181" i="3"/>
  <c r="BM181" i="3" s="1"/>
  <c r="G181" i="3"/>
  <c r="H181" i="3" s="1"/>
  <c r="BN181" i="3" s="1"/>
  <c r="Q181" i="3"/>
  <c r="S181" i="3"/>
  <c r="O181" i="3"/>
  <c r="U181" i="3"/>
  <c r="AF181" i="3"/>
  <c r="AD181" i="3"/>
  <c r="AM181" i="3"/>
  <c r="AK181" i="3"/>
  <c r="AO181" i="3" s="1"/>
  <c r="M181" i="3"/>
  <c r="AE181" i="3"/>
  <c r="V181" i="3"/>
  <c r="P181" i="3"/>
  <c r="R181" i="3"/>
  <c r="T181" i="3"/>
  <c r="AU179" i="3"/>
  <c r="AG180" i="3"/>
  <c r="AW180" i="3" s="1"/>
  <c r="AY179" i="3" l="1"/>
  <c r="AX180" i="3"/>
  <c r="AY180" i="3" s="1"/>
  <c r="AN181" i="3"/>
  <c r="BF178" i="3"/>
  <c r="BJ177" i="3" s="1"/>
  <c r="BK177" i="3" s="1"/>
  <c r="BQ178" i="3"/>
  <c r="BB178" i="3"/>
  <c r="AH181" i="3"/>
  <c r="AT180" i="3"/>
  <c r="BD178" i="3"/>
  <c r="BG178" i="3"/>
  <c r="BH178" i="3" s="1"/>
  <c r="BI178" i="3" s="1"/>
  <c r="Y181" i="3"/>
  <c r="Z181" i="3" s="1"/>
  <c r="BA179" i="3"/>
  <c r="AV179" i="3"/>
  <c r="AR182" i="3"/>
  <c r="B182" i="3"/>
  <c r="AQ182" i="3"/>
  <c r="A183" i="3"/>
  <c r="C182" i="3"/>
  <c r="D182" i="3"/>
  <c r="G182" i="3"/>
  <c r="H182" i="3" s="1"/>
  <c r="BN182" i="3" s="1"/>
  <c r="F182" i="3"/>
  <c r="Q182" i="3"/>
  <c r="S182" i="3"/>
  <c r="O182" i="3"/>
  <c r="U182" i="3"/>
  <c r="AM182" i="3"/>
  <c r="AD182" i="3"/>
  <c r="M182" i="3"/>
  <c r="AK182" i="3"/>
  <c r="AE182" i="3"/>
  <c r="AF182" i="3"/>
  <c r="V182" i="3"/>
  <c r="P182" i="3"/>
  <c r="R182" i="3"/>
  <c r="T182" i="3"/>
  <c r="X181" i="3"/>
  <c r="AG181" i="3"/>
  <c r="AU180" i="3"/>
  <c r="BC179" i="3" l="1"/>
  <c r="AW181" i="3"/>
  <c r="AN182" i="3"/>
  <c r="X182" i="3"/>
  <c r="BA180" i="3"/>
  <c r="AV180" i="3"/>
  <c r="BC180" i="3" s="1"/>
  <c r="AG182" i="3"/>
  <c r="BM182" i="3"/>
  <c r="BD179" i="3"/>
  <c r="BG179" i="3"/>
  <c r="BH179" i="3" s="1"/>
  <c r="BI179" i="3" s="1"/>
  <c r="BQ179" i="3"/>
  <c r="BF179" i="3"/>
  <c r="BJ178" i="3" s="1"/>
  <c r="BK178" i="3" s="1"/>
  <c r="BB179" i="3"/>
  <c r="A184" i="3"/>
  <c r="B183" i="3"/>
  <c r="AR183" i="3"/>
  <c r="AQ183" i="3"/>
  <c r="D183" i="3"/>
  <c r="C183" i="3"/>
  <c r="F183" i="3"/>
  <c r="BM183" i="3" s="1"/>
  <c r="G183" i="3"/>
  <c r="H183" i="3" s="1"/>
  <c r="BN183" i="3" s="1"/>
  <c r="S183" i="3"/>
  <c r="Q183" i="3"/>
  <c r="O183" i="3"/>
  <c r="U183" i="3"/>
  <c r="AE183" i="3"/>
  <c r="AF183" i="3"/>
  <c r="AD183" i="3"/>
  <c r="AH183" i="3" s="1"/>
  <c r="AM183" i="3"/>
  <c r="AK183" i="3"/>
  <c r="M183" i="3"/>
  <c r="P183" i="3"/>
  <c r="T183" i="3"/>
  <c r="V183" i="3"/>
  <c r="R183" i="3"/>
  <c r="AX181" i="3"/>
  <c r="AY181" i="3" s="1"/>
  <c r="AT181" i="3"/>
  <c r="AO182" i="3"/>
  <c r="AU181" i="3"/>
  <c r="AH182" i="3"/>
  <c r="AX182" i="3" s="1"/>
  <c r="Y182" i="3"/>
  <c r="Z182" i="3" s="1"/>
  <c r="X183" i="3" l="1"/>
  <c r="AO183" i="3"/>
  <c r="BB180" i="3"/>
  <c r="BF180" i="3"/>
  <c r="BJ179" i="3" s="1"/>
  <c r="BK179" i="3" s="1"/>
  <c r="BQ180" i="3"/>
  <c r="AW182" i="3"/>
  <c r="AY182" i="3" s="1"/>
  <c r="AV181" i="3"/>
  <c r="BC181" i="3" s="1"/>
  <c r="BA181" i="3"/>
  <c r="BD180" i="3"/>
  <c r="BG180" i="3"/>
  <c r="BH180" i="3" s="1"/>
  <c r="BI180" i="3" s="1"/>
  <c r="AU182" i="3"/>
  <c r="A185" i="3"/>
  <c r="AQ184" i="3"/>
  <c r="AR184" i="3"/>
  <c r="B184" i="3"/>
  <c r="D184" i="3"/>
  <c r="C184" i="3"/>
  <c r="F184" i="3"/>
  <c r="BM184" i="3" s="1"/>
  <c r="G184" i="3"/>
  <c r="H184" i="3" s="1"/>
  <c r="Q184" i="3"/>
  <c r="S184" i="3"/>
  <c r="O184" i="3"/>
  <c r="U184" i="3"/>
  <c r="AF184" i="3"/>
  <c r="M184" i="3"/>
  <c r="AM184" i="3"/>
  <c r="AK184" i="3"/>
  <c r="AE184" i="3"/>
  <c r="AD184" i="3"/>
  <c r="P184" i="3"/>
  <c r="V184" i="3"/>
  <c r="R184" i="3"/>
  <c r="T184" i="3"/>
  <c r="AN183" i="3"/>
  <c r="Y183" i="3"/>
  <c r="Z183" i="3" s="1"/>
  <c r="AG183" i="3"/>
  <c r="AT182" i="3"/>
  <c r="BN184" i="3" l="1"/>
  <c r="AW183" i="3"/>
  <c r="AO184" i="3"/>
  <c r="X184" i="3"/>
  <c r="Y184" i="3"/>
  <c r="Z184" i="3" s="1"/>
  <c r="AH184" i="3"/>
  <c r="AX183" i="3"/>
  <c r="AY183" i="3" s="1"/>
  <c r="BA182" i="3"/>
  <c r="AV182" i="3"/>
  <c r="BC182" i="3" s="1"/>
  <c r="AG184" i="3"/>
  <c r="AU183" i="3"/>
  <c r="BF181" i="3"/>
  <c r="BJ180" i="3" s="1"/>
  <c r="BK180" i="3" s="1"/>
  <c r="BB181" i="3"/>
  <c r="BQ181" i="3"/>
  <c r="BD181" i="3"/>
  <c r="BG181" i="3"/>
  <c r="BH181" i="3" s="1"/>
  <c r="BI181" i="3" s="1"/>
  <c r="AT183" i="3"/>
  <c r="AQ185" i="3"/>
  <c r="AR185" i="3"/>
  <c r="B185" i="3"/>
  <c r="A186" i="3"/>
  <c r="C185" i="3"/>
  <c r="D185" i="3"/>
  <c r="F185" i="3"/>
  <c r="G185" i="3"/>
  <c r="H185" i="3" s="1"/>
  <c r="Q185" i="3"/>
  <c r="S185" i="3"/>
  <c r="O185" i="3"/>
  <c r="U185" i="3"/>
  <c r="AM185" i="3"/>
  <c r="AD185" i="3"/>
  <c r="AF185" i="3"/>
  <c r="AK185" i="3"/>
  <c r="AE185" i="3"/>
  <c r="M185" i="3"/>
  <c r="P185" i="3"/>
  <c r="T185" i="3"/>
  <c r="V185" i="3"/>
  <c r="R185" i="3"/>
  <c r="AN184" i="3"/>
  <c r="BN185" i="3" l="1"/>
  <c r="AX184" i="3"/>
  <c r="BM185" i="3"/>
  <c r="AO185" i="3"/>
  <c r="AT184" i="3"/>
  <c r="AG185" i="3"/>
  <c r="AV183" i="3"/>
  <c r="BC183" i="3" s="1"/>
  <c r="BA183" i="3"/>
  <c r="Y185" i="3"/>
  <c r="Z185" i="3" s="1"/>
  <c r="AN185" i="3"/>
  <c r="AR186" i="3"/>
  <c r="C186" i="3"/>
  <c r="B186" i="3"/>
  <c r="AQ186" i="3"/>
  <c r="A187" i="3"/>
  <c r="D186" i="3"/>
  <c r="F186" i="3"/>
  <c r="G186" i="3"/>
  <c r="H186" i="3" s="1"/>
  <c r="Q186" i="3"/>
  <c r="S186" i="3"/>
  <c r="O186" i="3"/>
  <c r="U186" i="3"/>
  <c r="AM186" i="3"/>
  <c r="AK186" i="3"/>
  <c r="AF186" i="3"/>
  <c r="AD186" i="3"/>
  <c r="AE186" i="3"/>
  <c r="M186" i="3"/>
  <c r="P186" i="3"/>
  <c r="V186" i="3"/>
  <c r="R186" i="3"/>
  <c r="T186" i="3"/>
  <c r="BD182" i="3"/>
  <c r="BG182" i="3"/>
  <c r="BH182" i="3" s="1"/>
  <c r="BI182" i="3" s="1"/>
  <c r="AH185" i="3"/>
  <c r="AW184" i="3"/>
  <c r="AY184" i="3" s="1"/>
  <c r="X185" i="3"/>
  <c r="AU184" i="3"/>
  <c r="AV184" i="3" s="1"/>
  <c r="BF182" i="3"/>
  <c r="BJ181" i="3" s="1"/>
  <c r="BK181" i="3" s="1"/>
  <c r="BB182" i="3"/>
  <c r="BQ182" i="3"/>
  <c r="BN186" i="3" l="1"/>
  <c r="AU185" i="3"/>
  <c r="BM186" i="3"/>
  <c r="AO186" i="3"/>
  <c r="BC184" i="3"/>
  <c r="BD184" i="3"/>
  <c r="BG184" i="3"/>
  <c r="BH184" i="3" s="1"/>
  <c r="BI184" i="3" s="1"/>
  <c r="AH186" i="3"/>
  <c r="AT186" i="3" s="1"/>
  <c r="AN186" i="3"/>
  <c r="B187" i="3"/>
  <c r="AR187" i="3"/>
  <c r="AQ187" i="3"/>
  <c r="A188" i="3"/>
  <c r="C187" i="3"/>
  <c r="D187" i="3"/>
  <c r="G187" i="3"/>
  <c r="H187" i="3" s="1"/>
  <c r="BN187" i="3" s="1"/>
  <c r="F187" i="3"/>
  <c r="S187" i="3"/>
  <c r="Q187" i="3"/>
  <c r="O187" i="3"/>
  <c r="U187" i="3"/>
  <c r="AM187" i="3"/>
  <c r="AK187" i="3"/>
  <c r="AO187" i="3" s="1"/>
  <c r="AD187" i="3"/>
  <c r="AE187" i="3"/>
  <c r="AF187" i="3"/>
  <c r="M187" i="3"/>
  <c r="T187" i="3"/>
  <c r="V187" i="3"/>
  <c r="P187" i="3"/>
  <c r="R187" i="3"/>
  <c r="BA184" i="3"/>
  <c r="BQ183" i="3"/>
  <c r="BF183" i="3"/>
  <c r="BJ182" i="3" s="1"/>
  <c r="BK182" i="3" s="1"/>
  <c r="BB183" i="3"/>
  <c r="X186" i="3"/>
  <c r="BD183" i="3"/>
  <c r="BG183" i="3"/>
  <c r="BH183" i="3" s="1"/>
  <c r="BI183" i="3" s="1"/>
  <c r="Y186" i="3"/>
  <c r="Z186" i="3" s="1"/>
  <c r="AX185" i="3"/>
  <c r="AT185" i="3"/>
  <c r="AG186" i="3"/>
  <c r="AW185" i="3"/>
  <c r="BM187" i="3" l="1"/>
  <c r="AW186" i="3"/>
  <c r="BQ184" i="3"/>
  <c r="BB184" i="3"/>
  <c r="BF184" i="3"/>
  <c r="BJ183" i="3" s="1"/>
  <c r="BK183" i="3" s="1"/>
  <c r="AH187" i="3"/>
  <c r="Y187" i="3"/>
  <c r="Z187" i="3" s="1"/>
  <c r="AX186" i="3"/>
  <c r="AY186" i="3" s="1"/>
  <c r="AG187" i="3"/>
  <c r="AN187" i="3"/>
  <c r="BA185" i="3"/>
  <c r="AV185" i="3"/>
  <c r="AU186" i="3"/>
  <c r="AY185" i="3"/>
  <c r="X187" i="3"/>
  <c r="A189" i="3"/>
  <c r="AR188" i="3"/>
  <c r="AQ188" i="3"/>
  <c r="B188" i="3"/>
  <c r="D188" i="3"/>
  <c r="C188" i="3"/>
  <c r="G188" i="3"/>
  <c r="H188" i="3" s="1"/>
  <c r="F188" i="3"/>
  <c r="Q188" i="3"/>
  <c r="S188" i="3"/>
  <c r="O188" i="3"/>
  <c r="U188" i="3"/>
  <c r="AF188" i="3"/>
  <c r="M188" i="3"/>
  <c r="AE188" i="3"/>
  <c r="AM188" i="3"/>
  <c r="AK188" i="3"/>
  <c r="AO188" i="3" s="1"/>
  <c r="AD188" i="3"/>
  <c r="V188" i="3"/>
  <c r="T188" i="3"/>
  <c r="R188" i="3"/>
  <c r="P188" i="3"/>
  <c r="BA186" i="3" l="1"/>
  <c r="BB186" i="3" s="1"/>
  <c r="BC185" i="3"/>
  <c r="BD185" i="3" s="1"/>
  <c r="AX187" i="3"/>
  <c r="BQ186" i="3"/>
  <c r="BF186" i="3"/>
  <c r="AH188" i="3"/>
  <c r="B189" i="3"/>
  <c r="A190" i="3"/>
  <c r="D189" i="3"/>
  <c r="AQ189" i="3"/>
  <c r="AR189" i="3"/>
  <c r="C189" i="3"/>
  <c r="F189" i="3"/>
  <c r="BM189" i="3" s="1"/>
  <c r="G189" i="3"/>
  <c r="H189" i="3" s="1"/>
  <c r="Q189" i="3"/>
  <c r="S189" i="3"/>
  <c r="O189" i="3"/>
  <c r="U189" i="3"/>
  <c r="AM189" i="3"/>
  <c r="AD189" i="3"/>
  <c r="M189" i="3"/>
  <c r="AK189" i="3"/>
  <c r="AO189" i="3" s="1"/>
  <c r="AE189" i="3"/>
  <c r="AF189" i="3"/>
  <c r="V189" i="3"/>
  <c r="R189" i="3"/>
  <c r="T189" i="3"/>
  <c r="P189" i="3"/>
  <c r="BG185" i="3"/>
  <c r="BH185" i="3" s="1"/>
  <c r="BI185" i="3" s="1"/>
  <c r="X188" i="3"/>
  <c r="BQ185" i="3"/>
  <c r="BF185" i="3"/>
  <c r="BJ184" i="3" s="1"/>
  <c r="BK184" i="3" s="1"/>
  <c r="BB185" i="3"/>
  <c r="BM188" i="3"/>
  <c r="AW187" i="3"/>
  <c r="Y188" i="3"/>
  <c r="Z188" i="3" s="1"/>
  <c r="AV186" i="3"/>
  <c r="BC186" i="3" s="1"/>
  <c r="AN188" i="3"/>
  <c r="AG188" i="3"/>
  <c r="AU188" i="3" s="1"/>
  <c r="BN188" i="3"/>
  <c r="AU187" i="3"/>
  <c r="AT187" i="3"/>
  <c r="AT188" i="3" l="1"/>
  <c r="AY187" i="3"/>
  <c r="Y189" i="3"/>
  <c r="Z189" i="3" s="1"/>
  <c r="AG189" i="3"/>
  <c r="AH189" i="3"/>
  <c r="AT189" i="3" s="1"/>
  <c r="BJ185" i="3"/>
  <c r="BK185" i="3" s="1"/>
  <c r="AV188" i="3"/>
  <c r="BD186" i="3"/>
  <c r="BG186" i="3"/>
  <c r="BH186" i="3" s="1"/>
  <c r="BI186" i="3" s="1"/>
  <c r="BN189" i="3"/>
  <c r="BA187" i="3"/>
  <c r="AV187" i="3"/>
  <c r="BC187" i="3" s="1"/>
  <c r="AR190" i="3"/>
  <c r="B190" i="3"/>
  <c r="A191" i="3"/>
  <c r="AQ190" i="3"/>
  <c r="D190" i="3"/>
  <c r="C190" i="3"/>
  <c r="F190" i="3"/>
  <c r="BM190" i="3" s="1"/>
  <c r="G190" i="3"/>
  <c r="H190" i="3" s="1"/>
  <c r="BN190" i="3" s="1"/>
  <c r="Q190" i="3"/>
  <c r="S190" i="3"/>
  <c r="O190" i="3"/>
  <c r="U190" i="3"/>
  <c r="AM190" i="3"/>
  <c r="AK190" i="3"/>
  <c r="AF190" i="3"/>
  <c r="M190" i="3"/>
  <c r="AE190" i="3"/>
  <c r="AD190" i="3"/>
  <c r="T190" i="3"/>
  <c r="P190" i="3"/>
  <c r="V190" i="3"/>
  <c r="R190" i="3"/>
  <c r="AX188" i="3"/>
  <c r="AN189" i="3"/>
  <c r="AW188" i="3"/>
  <c r="X189" i="3"/>
  <c r="AU189" i="3" l="1"/>
  <c r="AY188" i="3"/>
  <c r="AO190" i="3"/>
  <c r="BC188" i="3"/>
  <c r="BA188" i="3"/>
  <c r="AX189" i="3"/>
  <c r="BF187" i="3"/>
  <c r="BJ186" i="3" s="1"/>
  <c r="BK186" i="3" s="1"/>
  <c r="BB187" i="3"/>
  <c r="BQ187" i="3"/>
  <c r="AW189" i="3"/>
  <c r="AQ191" i="3"/>
  <c r="A192" i="3"/>
  <c r="B191" i="3"/>
  <c r="AR191" i="3"/>
  <c r="C191" i="3"/>
  <c r="D191" i="3"/>
  <c r="G191" i="3"/>
  <c r="H191" i="3" s="1"/>
  <c r="F191" i="3"/>
  <c r="Q191" i="3"/>
  <c r="S191" i="3"/>
  <c r="O191" i="3"/>
  <c r="U191" i="3"/>
  <c r="AM191" i="3"/>
  <c r="M191" i="3"/>
  <c r="AF191" i="3"/>
  <c r="AK191" i="3"/>
  <c r="AD191" i="3"/>
  <c r="AE191" i="3"/>
  <c r="V191" i="3"/>
  <c r="T191" i="3"/>
  <c r="P191" i="3"/>
  <c r="R191" i="3"/>
  <c r="AG190" i="3"/>
  <c r="AV189" i="3"/>
  <c r="AH190" i="3"/>
  <c r="BD187" i="3"/>
  <c r="BG187" i="3"/>
  <c r="BH187" i="3" s="1"/>
  <c r="BI187" i="3" s="1"/>
  <c r="X190" i="3"/>
  <c r="Y190" i="3"/>
  <c r="Z190" i="3" s="1"/>
  <c r="AN190" i="3"/>
  <c r="AH191" i="3" l="1"/>
  <c r="BN191" i="3"/>
  <c r="AN191" i="3"/>
  <c r="BA189" i="3"/>
  <c r="BB189" i="3" s="1"/>
  <c r="AT190" i="3"/>
  <c r="BF189" i="3"/>
  <c r="AG191" i="3"/>
  <c r="B192" i="3"/>
  <c r="AR192" i="3"/>
  <c r="AQ192" i="3"/>
  <c r="A193" i="3"/>
  <c r="D192" i="3"/>
  <c r="C192" i="3"/>
  <c r="F192" i="3"/>
  <c r="BM192" i="3" s="1"/>
  <c r="G192" i="3"/>
  <c r="H192" i="3" s="1"/>
  <c r="BN192" i="3" s="1"/>
  <c r="S192" i="3"/>
  <c r="Q192" i="3"/>
  <c r="O192" i="3"/>
  <c r="U192" i="3"/>
  <c r="AM192" i="3"/>
  <c r="AK192" i="3"/>
  <c r="AO192" i="3" s="1"/>
  <c r="AD192" i="3"/>
  <c r="AE192" i="3"/>
  <c r="AF192" i="3"/>
  <c r="M192" i="3"/>
  <c r="P192" i="3"/>
  <c r="V192" i="3"/>
  <c r="T192" i="3"/>
  <c r="R192" i="3"/>
  <c r="X191" i="3"/>
  <c r="Y191" i="3"/>
  <c r="Z191" i="3" s="1"/>
  <c r="BF188" i="3"/>
  <c r="BJ187" i="3" s="1"/>
  <c r="BK187" i="3" s="1"/>
  <c r="BB188" i="3"/>
  <c r="BQ188" i="3"/>
  <c r="BD188" i="3"/>
  <c r="BG188" i="3"/>
  <c r="BH188" i="3" s="1"/>
  <c r="BI188" i="3" s="1"/>
  <c r="AW190" i="3"/>
  <c r="AX190" i="3"/>
  <c r="AO191" i="3"/>
  <c r="BM191" i="3"/>
  <c r="AY189" i="3"/>
  <c r="BC189" i="3" s="1"/>
  <c r="AU190" i="3"/>
  <c r="BQ189" i="3" l="1"/>
  <c r="AW191" i="3"/>
  <c r="BA190" i="3"/>
  <c r="BF190" i="3" s="1"/>
  <c r="BJ189" i="3" s="1"/>
  <c r="BK189" i="3" s="1"/>
  <c r="BD189" i="3"/>
  <c r="BG189" i="3"/>
  <c r="BH189" i="3" s="1"/>
  <c r="BI189" i="3" s="1"/>
  <c r="X192" i="3"/>
  <c r="AR193" i="3"/>
  <c r="AQ193" i="3"/>
  <c r="A194" i="3"/>
  <c r="B193" i="3"/>
  <c r="C193" i="3"/>
  <c r="D193" i="3"/>
  <c r="F193" i="3"/>
  <c r="BM193" i="3" s="1"/>
  <c r="G193" i="3"/>
  <c r="H193" i="3" s="1"/>
  <c r="BN193" i="3" s="1"/>
  <c r="S193" i="3"/>
  <c r="Q193" i="3"/>
  <c r="O193" i="3"/>
  <c r="U193" i="3"/>
  <c r="AD193" i="3"/>
  <c r="AK193" i="3"/>
  <c r="AM193" i="3"/>
  <c r="AN193" i="3" s="1"/>
  <c r="AF193" i="3"/>
  <c r="M193" i="3"/>
  <c r="AE193" i="3"/>
  <c r="R193" i="3"/>
  <c r="V193" i="3"/>
  <c r="P193" i="3"/>
  <c r="T193" i="3"/>
  <c r="BJ188" i="3"/>
  <c r="BK188" i="3" s="1"/>
  <c r="AG192" i="3"/>
  <c r="AU191" i="3"/>
  <c r="AN192" i="3"/>
  <c r="AY190" i="3"/>
  <c r="AV190" i="3"/>
  <c r="AH192" i="3"/>
  <c r="AX191" i="3"/>
  <c r="AY191" i="3" s="1"/>
  <c r="Y192" i="3"/>
  <c r="Z192" i="3" s="1"/>
  <c r="AT191" i="3"/>
  <c r="BQ190" i="3" l="1"/>
  <c r="BC190" i="3"/>
  <c r="BB190" i="3"/>
  <c r="AT192" i="3"/>
  <c r="AG193" i="3"/>
  <c r="AO193" i="3"/>
  <c r="BD190" i="3"/>
  <c r="BG190" i="3"/>
  <c r="BH190" i="3" s="1"/>
  <c r="BI190" i="3" s="1"/>
  <c r="BA191" i="3"/>
  <c r="AV191" i="3"/>
  <c r="BC191" i="3" s="1"/>
  <c r="Y193" i="3"/>
  <c r="Z193" i="3" s="1"/>
  <c r="X193" i="3"/>
  <c r="AW192" i="3"/>
  <c r="AX192" i="3"/>
  <c r="AH193" i="3"/>
  <c r="AX193" i="3" s="1"/>
  <c r="AU192" i="3"/>
  <c r="AV192" i="3" s="1"/>
  <c r="D194" i="3"/>
  <c r="A195" i="3"/>
  <c r="AQ194" i="3"/>
  <c r="B194" i="3"/>
  <c r="AR194" i="3"/>
  <c r="C194" i="3"/>
  <c r="F194" i="3"/>
  <c r="BM194" i="3" s="1"/>
  <c r="G194" i="3"/>
  <c r="H194" i="3" s="1"/>
  <c r="Q194" i="3"/>
  <c r="S194" i="3"/>
  <c r="O194" i="3"/>
  <c r="U194" i="3"/>
  <c r="AK194" i="3"/>
  <c r="AM194" i="3"/>
  <c r="AN194" i="3" s="1"/>
  <c r="AD194" i="3"/>
  <c r="AE194" i="3"/>
  <c r="AF194" i="3"/>
  <c r="M194" i="3"/>
  <c r="R194" i="3"/>
  <c r="V194" i="3"/>
  <c r="T194" i="3"/>
  <c r="P194" i="3"/>
  <c r="AH194" i="3" l="1"/>
  <c r="BA192" i="3"/>
  <c r="BQ192" i="3"/>
  <c r="BF192" i="3"/>
  <c r="BB192" i="3"/>
  <c r="BQ191" i="3"/>
  <c r="BF191" i="3"/>
  <c r="BJ190" i="3" s="1"/>
  <c r="BK190" i="3" s="1"/>
  <c r="BB191" i="3"/>
  <c r="AT193" i="3"/>
  <c r="X194" i="3"/>
  <c r="B195" i="3"/>
  <c r="AQ195" i="3"/>
  <c r="A196" i="3"/>
  <c r="AR195" i="3"/>
  <c r="D195" i="3"/>
  <c r="C195" i="3"/>
  <c r="G195" i="3"/>
  <c r="H195" i="3" s="1"/>
  <c r="F195" i="3"/>
  <c r="S195" i="3"/>
  <c r="Q195" i="3"/>
  <c r="O195" i="3"/>
  <c r="U195" i="3"/>
  <c r="AK195" i="3"/>
  <c r="AM195" i="3"/>
  <c r="AF195" i="3"/>
  <c r="AD195" i="3"/>
  <c r="M195" i="3"/>
  <c r="AE195" i="3"/>
  <c r="AG195" i="3" s="1"/>
  <c r="R195" i="3"/>
  <c r="P195" i="3"/>
  <c r="V195" i="3"/>
  <c r="T195" i="3"/>
  <c r="AW193" i="3"/>
  <c r="AY193" i="3" s="1"/>
  <c r="AO194" i="3"/>
  <c r="Y194" i="3"/>
  <c r="Z194" i="3" s="1"/>
  <c r="AY192" i="3"/>
  <c r="BC192" i="3" s="1"/>
  <c r="AG194" i="3"/>
  <c r="AT194" i="3" s="1"/>
  <c r="BN194" i="3"/>
  <c r="BD191" i="3"/>
  <c r="BG191" i="3"/>
  <c r="BH191" i="3" s="1"/>
  <c r="BI191" i="3" s="1"/>
  <c r="AU193" i="3"/>
  <c r="BM195" i="3" l="1"/>
  <c r="BN195" i="3"/>
  <c r="AX194" i="3"/>
  <c r="AN195" i="3"/>
  <c r="BG192" i="3"/>
  <c r="BH192" i="3" s="1"/>
  <c r="BI192" i="3" s="1"/>
  <c r="BD192" i="3"/>
  <c r="AQ196" i="3"/>
  <c r="A197" i="3"/>
  <c r="B196" i="3"/>
  <c r="AR196" i="3"/>
  <c r="C196" i="3"/>
  <c r="D196" i="3"/>
  <c r="F196" i="3"/>
  <c r="G196" i="3"/>
  <c r="H196" i="3" s="1"/>
  <c r="Q196" i="3"/>
  <c r="S196" i="3"/>
  <c r="O196" i="3"/>
  <c r="U196" i="3"/>
  <c r="AF196" i="3"/>
  <c r="AK196" i="3"/>
  <c r="AE196" i="3"/>
  <c r="AM196" i="3"/>
  <c r="AD196" i="3"/>
  <c r="M196" i="3"/>
  <c r="P196" i="3"/>
  <c r="V196" i="3"/>
  <c r="R196" i="3"/>
  <c r="T196" i="3"/>
  <c r="AH195" i="3"/>
  <c r="AT195" i="3" s="1"/>
  <c r="AO195" i="3"/>
  <c r="Y195" i="3"/>
  <c r="Z195" i="3" s="1"/>
  <c r="AV193" i="3"/>
  <c r="BC193" i="3" s="1"/>
  <c r="BA193" i="3"/>
  <c r="BJ191" i="3"/>
  <c r="BK191" i="3" s="1"/>
  <c r="AW194" i="3"/>
  <c r="AY194" i="3" s="1"/>
  <c r="X195" i="3"/>
  <c r="AU194" i="3"/>
  <c r="AV194" i="3" s="1"/>
  <c r="AO196" i="3" l="1"/>
  <c r="AH196" i="3"/>
  <c r="X196" i="3"/>
  <c r="Y196" i="3"/>
  <c r="Z196" i="3" s="1"/>
  <c r="BB193" i="3"/>
  <c r="BQ193" i="3"/>
  <c r="BF193" i="3"/>
  <c r="BJ192" i="3" s="1"/>
  <c r="BK192" i="3" s="1"/>
  <c r="B197" i="3"/>
  <c r="AQ197" i="3"/>
  <c r="A198" i="3"/>
  <c r="C197" i="3"/>
  <c r="AR197" i="3"/>
  <c r="D197" i="3"/>
  <c r="F197" i="3"/>
  <c r="BM197" i="3" s="1"/>
  <c r="G197" i="3"/>
  <c r="H197" i="3" s="1"/>
  <c r="BN197" i="3" s="1"/>
  <c r="S197" i="3"/>
  <c r="Q197" i="3"/>
  <c r="O197" i="3"/>
  <c r="U197" i="3"/>
  <c r="AK197" i="3"/>
  <c r="AM197" i="3"/>
  <c r="AN197" i="3" s="1"/>
  <c r="AF197" i="3"/>
  <c r="AE197" i="3"/>
  <c r="AG197" i="3" s="1"/>
  <c r="M197" i="3"/>
  <c r="AD197" i="3"/>
  <c r="R197" i="3"/>
  <c r="V197" i="3"/>
  <c r="P197" i="3"/>
  <c r="T197" i="3"/>
  <c r="BD193" i="3"/>
  <c r="BG193" i="3"/>
  <c r="BH193" i="3" s="1"/>
  <c r="BI193" i="3" s="1"/>
  <c r="BC194" i="3"/>
  <c r="BA194" i="3"/>
  <c r="AN196" i="3"/>
  <c r="BN196" i="3"/>
  <c r="AW195" i="3"/>
  <c r="AX195" i="3"/>
  <c r="AU195" i="3"/>
  <c r="AV195" i="3" s="1"/>
  <c r="AG196" i="3"/>
  <c r="AX196" i="3" s="1"/>
  <c r="BM196" i="3"/>
  <c r="BA195" i="3" l="1"/>
  <c r="AU196" i="3"/>
  <c r="AT196" i="3"/>
  <c r="AV196" i="3" s="1"/>
  <c r="AY195" i="3"/>
  <c r="BC195" i="3" s="1"/>
  <c r="BQ195" i="3"/>
  <c r="BB195" i="3"/>
  <c r="BF195" i="3"/>
  <c r="AO197" i="3"/>
  <c r="Y197" i="3"/>
  <c r="Z197" i="3" s="1"/>
  <c r="X197" i="3"/>
  <c r="BB194" i="3"/>
  <c r="BF194" i="3"/>
  <c r="BJ193" i="3" s="1"/>
  <c r="BK193" i="3" s="1"/>
  <c r="BQ194" i="3"/>
  <c r="AW196" i="3"/>
  <c r="BA196" i="3" s="1"/>
  <c r="BD194" i="3"/>
  <c r="BG194" i="3"/>
  <c r="BH194" i="3" s="1"/>
  <c r="BI194" i="3" s="1"/>
  <c r="AQ198" i="3"/>
  <c r="B198" i="3"/>
  <c r="A199" i="3"/>
  <c r="AR198" i="3"/>
  <c r="D198" i="3"/>
  <c r="C198" i="3"/>
  <c r="F198" i="3"/>
  <c r="BM198" i="3" s="1"/>
  <c r="G198" i="3"/>
  <c r="H198" i="3" s="1"/>
  <c r="Q198" i="3"/>
  <c r="S198" i="3"/>
  <c r="O198" i="3"/>
  <c r="U198" i="3"/>
  <c r="AK198" i="3"/>
  <c r="AD198" i="3"/>
  <c r="AF198" i="3"/>
  <c r="AM198" i="3"/>
  <c r="AE198" i="3"/>
  <c r="M198" i="3"/>
  <c r="T198" i="3"/>
  <c r="P198" i="3"/>
  <c r="R198" i="3"/>
  <c r="V198" i="3"/>
  <c r="AH197" i="3"/>
  <c r="AT197" i="3" s="1"/>
  <c r="AU197" i="3"/>
  <c r="AO198" i="3" l="1"/>
  <c r="X198" i="3"/>
  <c r="AY196" i="3"/>
  <c r="AG198" i="3"/>
  <c r="AW197" i="3"/>
  <c r="BN198" i="3"/>
  <c r="BD195" i="3"/>
  <c r="BG195" i="3"/>
  <c r="BH195" i="3" s="1"/>
  <c r="BI195" i="3" s="1"/>
  <c r="BJ194" i="3"/>
  <c r="BK194" i="3" s="1"/>
  <c r="AV197" i="3"/>
  <c r="BF196" i="3"/>
  <c r="BJ195" i="3" s="1"/>
  <c r="BK195" i="3" s="1"/>
  <c r="BQ196" i="3"/>
  <c r="BB196" i="3"/>
  <c r="AQ199" i="3"/>
  <c r="AR199" i="3"/>
  <c r="A200" i="3"/>
  <c r="B199" i="3"/>
  <c r="D199" i="3"/>
  <c r="C199" i="3"/>
  <c r="G199" i="3"/>
  <c r="H199" i="3" s="1"/>
  <c r="F199" i="3"/>
  <c r="Q199" i="3"/>
  <c r="S199" i="3"/>
  <c r="O199" i="3"/>
  <c r="U199" i="3"/>
  <c r="AM199" i="3"/>
  <c r="AF199" i="3"/>
  <c r="M199" i="3"/>
  <c r="AK199" i="3"/>
  <c r="AD199" i="3"/>
  <c r="AE199" i="3"/>
  <c r="V199" i="3"/>
  <c r="R199" i="3"/>
  <c r="P199" i="3"/>
  <c r="T199" i="3"/>
  <c r="AN198" i="3"/>
  <c r="AX197" i="3"/>
  <c r="Y198" i="3"/>
  <c r="Z198" i="3" s="1"/>
  <c r="AH198" i="3"/>
  <c r="BC196" i="3"/>
  <c r="AY197" i="3" l="1"/>
  <c r="BM199" i="3"/>
  <c r="BN199" i="3"/>
  <c r="BA197" i="3"/>
  <c r="BB197" i="3" s="1"/>
  <c r="Y199" i="3"/>
  <c r="Z199" i="3" s="1"/>
  <c r="AX198" i="3"/>
  <c r="AO199" i="3"/>
  <c r="AR200" i="3"/>
  <c r="A201" i="3"/>
  <c r="B200" i="3"/>
  <c r="AQ200" i="3"/>
  <c r="C200" i="3"/>
  <c r="D200" i="3"/>
  <c r="G200" i="3"/>
  <c r="H200" i="3" s="1"/>
  <c r="BN200" i="3" s="1"/>
  <c r="F200" i="3"/>
  <c r="BM200" i="3" s="1"/>
  <c r="Q200" i="3"/>
  <c r="S200" i="3"/>
  <c r="O200" i="3"/>
  <c r="U200" i="3"/>
  <c r="AD200" i="3"/>
  <c r="AK200" i="3"/>
  <c r="AM200" i="3"/>
  <c r="AN200" i="3" s="1"/>
  <c r="AF200" i="3"/>
  <c r="AE200" i="3"/>
  <c r="M200" i="3"/>
  <c r="V200" i="3"/>
  <c r="R200" i="3"/>
  <c r="P200" i="3"/>
  <c r="T200" i="3"/>
  <c r="BC197" i="3"/>
  <c r="AH199" i="3"/>
  <c r="AG199" i="3"/>
  <c r="AT198" i="3"/>
  <c r="AW198" i="3"/>
  <c r="AN199" i="3"/>
  <c r="BD196" i="3"/>
  <c r="BG196" i="3"/>
  <c r="BH196" i="3" s="1"/>
  <c r="BI196" i="3" s="1"/>
  <c r="X199" i="3"/>
  <c r="AU198" i="3"/>
  <c r="BQ197" i="3" l="1"/>
  <c r="BF197" i="3"/>
  <c r="BJ196" i="3" s="1"/>
  <c r="BK196" i="3" s="1"/>
  <c r="AY198" i="3"/>
  <c r="AU199" i="3"/>
  <c r="AT199" i="3"/>
  <c r="Y200" i="3"/>
  <c r="Z200" i="3" s="1"/>
  <c r="BA198" i="3"/>
  <c r="AV198" i="3"/>
  <c r="BC198" i="3" s="1"/>
  <c r="BD197" i="3"/>
  <c r="BG197" i="3"/>
  <c r="BH197" i="3" s="1"/>
  <c r="BI197" i="3" s="1"/>
  <c r="AO200" i="3"/>
  <c r="AH200" i="3"/>
  <c r="X200" i="3"/>
  <c r="AW199" i="3"/>
  <c r="AR201" i="3"/>
  <c r="B201" i="3"/>
  <c r="AQ201" i="3"/>
  <c r="A202" i="3"/>
  <c r="D201" i="3"/>
  <c r="C201" i="3"/>
  <c r="G201" i="3"/>
  <c r="H201" i="3" s="1"/>
  <c r="F201" i="3"/>
  <c r="Q201" i="3"/>
  <c r="S201" i="3"/>
  <c r="O201" i="3"/>
  <c r="U201" i="3"/>
  <c r="AM201" i="3"/>
  <c r="AK201" i="3"/>
  <c r="AF201" i="3"/>
  <c r="AD201" i="3"/>
  <c r="M201" i="3"/>
  <c r="AE201" i="3"/>
  <c r="P201" i="3"/>
  <c r="V201" i="3"/>
  <c r="R201" i="3"/>
  <c r="T201" i="3"/>
  <c r="AV199" i="3"/>
  <c r="AX199" i="3"/>
  <c r="BA199" i="3" s="1"/>
  <c r="AG200" i="3"/>
  <c r="AG201" i="3" l="1"/>
  <c r="AO201" i="3"/>
  <c r="X201" i="3"/>
  <c r="AX200" i="3"/>
  <c r="BF199" i="3"/>
  <c r="BB199" i="3"/>
  <c r="BQ199" i="3"/>
  <c r="AN201" i="3"/>
  <c r="Y201" i="3"/>
  <c r="Z201" i="3" s="1"/>
  <c r="AQ202" i="3"/>
  <c r="C202" i="3"/>
  <c r="B202" i="3"/>
  <c r="A203" i="3"/>
  <c r="AR202" i="3"/>
  <c r="D202" i="3"/>
  <c r="F202" i="3"/>
  <c r="G202" i="3"/>
  <c r="H202" i="3" s="1"/>
  <c r="Q202" i="3"/>
  <c r="S202" i="3"/>
  <c r="O202" i="3"/>
  <c r="U202" i="3"/>
  <c r="AF202" i="3"/>
  <c r="AK202" i="3"/>
  <c r="AM202" i="3"/>
  <c r="AD202" i="3"/>
  <c r="AE202" i="3"/>
  <c r="M202" i="3"/>
  <c r="V202" i="3"/>
  <c r="T202" i="3"/>
  <c r="P202" i="3"/>
  <c r="R202" i="3"/>
  <c r="AW200" i="3"/>
  <c r="BD198" i="3"/>
  <c r="BG198" i="3"/>
  <c r="BH198" i="3" s="1"/>
  <c r="BI198" i="3" s="1"/>
  <c r="AU200" i="3"/>
  <c r="BB198" i="3"/>
  <c r="BQ198" i="3"/>
  <c r="BF198" i="3"/>
  <c r="BJ197" i="3" s="1"/>
  <c r="BK197" i="3" s="1"/>
  <c r="BM201" i="3"/>
  <c r="AY199" i="3"/>
  <c r="BC199" i="3" s="1"/>
  <c r="AT200" i="3"/>
  <c r="AH201" i="3"/>
  <c r="AU201" i="3" s="1"/>
  <c r="BN201" i="3"/>
  <c r="AN202" i="3" l="1"/>
  <c r="BN202" i="3"/>
  <c r="AY200" i="3"/>
  <c r="AG202" i="3"/>
  <c r="AT201" i="3"/>
  <c r="AV201" i="3" s="1"/>
  <c r="BG199" i="3"/>
  <c r="BH199" i="3" s="1"/>
  <c r="BI199" i="3" s="1"/>
  <c r="BD199" i="3"/>
  <c r="BM202" i="3"/>
  <c r="Y202" i="3"/>
  <c r="Z202" i="3" s="1"/>
  <c r="AO202" i="3"/>
  <c r="AH202" i="3"/>
  <c r="AW201" i="3"/>
  <c r="AX201" i="3"/>
  <c r="AY201" i="3" s="1"/>
  <c r="AV200" i="3"/>
  <c r="BA200" i="3"/>
  <c r="X202" i="3"/>
  <c r="AQ203" i="3"/>
  <c r="A204" i="3"/>
  <c r="AR203" i="3"/>
  <c r="B203" i="3"/>
  <c r="D203" i="3"/>
  <c r="C203" i="3"/>
  <c r="F203" i="3"/>
  <c r="BM203" i="3" s="1"/>
  <c r="G203" i="3"/>
  <c r="H203" i="3" s="1"/>
  <c r="Q203" i="3"/>
  <c r="S203" i="3"/>
  <c r="O203" i="3"/>
  <c r="U203" i="3"/>
  <c r="AK203" i="3"/>
  <c r="M203" i="3"/>
  <c r="AF203" i="3"/>
  <c r="AD203" i="3"/>
  <c r="AM203" i="3"/>
  <c r="AE203" i="3"/>
  <c r="P203" i="3"/>
  <c r="V203" i="3"/>
  <c r="T203" i="3"/>
  <c r="R203" i="3"/>
  <c r="BJ198" i="3"/>
  <c r="BK198" i="3" s="1"/>
  <c r="BC200" i="3" l="1"/>
  <c r="AW202" i="3"/>
  <c r="BA201" i="3"/>
  <c r="BB201" i="3" s="1"/>
  <c r="AO203" i="3"/>
  <c r="AX202" i="3"/>
  <c r="AG203" i="3"/>
  <c r="B204" i="3"/>
  <c r="AQ204" i="3"/>
  <c r="AR204" i="3"/>
  <c r="A205" i="3"/>
  <c r="C204" i="3"/>
  <c r="D204" i="3"/>
  <c r="G204" i="3"/>
  <c r="H204" i="3" s="1"/>
  <c r="BN204" i="3" s="1"/>
  <c r="F204" i="3"/>
  <c r="BM204" i="3" s="1"/>
  <c r="S204" i="3"/>
  <c r="Q204" i="3"/>
  <c r="O204" i="3"/>
  <c r="U204" i="3"/>
  <c r="AD204" i="3"/>
  <c r="AE204" i="3"/>
  <c r="AM204" i="3"/>
  <c r="AK204" i="3"/>
  <c r="AO204" i="3" s="1"/>
  <c r="AF204" i="3"/>
  <c r="M204" i="3"/>
  <c r="V204" i="3"/>
  <c r="P204" i="3"/>
  <c r="T204" i="3"/>
  <c r="R204" i="3"/>
  <c r="AU202" i="3"/>
  <c r="BC201" i="3"/>
  <c r="BD200" i="3"/>
  <c r="BG200" i="3"/>
  <c r="BH200" i="3" s="1"/>
  <c r="BI200" i="3" s="1"/>
  <c r="X203" i="3"/>
  <c r="AN203" i="3"/>
  <c r="AT202" i="3"/>
  <c r="BF200" i="3"/>
  <c r="BJ199" i="3" s="1"/>
  <c r="BK199" i="3" s="1"/>
  <c r="BQ200" i="3"/>
  <c r="BB200" i="3"/>
  <c r="Y203" i="3"/>
  <c r="Z203" i="3" s="1"/>
  <c r="AH203" i="3"/>
  <c r="BN203" i="3"/>
  <c r="BQ201" i="3" l="1"/>
  <c r="BF201" i="3"/>
  <c r="AY202" i="3"/>
  <c r="AT203" i="3"/>
  <c r="AG204" i="3"/>
  <c r="AR205" i="3"/>
  <c r="B205" i="3"/>
  <c r="AQ205" i="3"/>
  <c r="D205" i="3"/>
  <c r="A206" i="3"/>
  <c r="C205" i="3"/>
  <c r="G205" i="3"/>
  <c r="H205" i="3" s="1"/>
  <c r="BN205" i="3" s="1"/>
  <c r="F205" i="3"/>
  <c r="BM205" i="3" s="1"/>
  <c r="Q205" i="3"/>
  <c r="S205" i="3"/>
  <c r="O205" i="3"/>
  <c r="U205" i="3"/>
  <c r="AK205" i="3"/>
  <c r="AF205" i="3"/>
  <c r="AM205" i="3"/>
  <c r="AD205" i="3"/>
  <c r="M205" i="3"/>
  <c r="AE205" i="3"/>
  <c r="V205" i="3"/>
  <c r="R205" i="3"/>
  <c r="T205" i="3"/>
  <c r="P205" i="3"/>
  <c r="Y204" i="3"/>
  <c r="Z204" i="3" s="1"/>
  <c r="BD201" i="3"/>
  <c r="BG201" i="3"/>
  <c r="BH201" i="3" s="1"/>
  <c r="BI201" i="3" s="1"/>
  <c r="AN204" i="3"/>
  <c r="AV202" i="3"/>
  <c r="BC202" i="3" s="1"/>
  <c r="BA202" i="3"/>
  <c r="BJ200" i="3"/>
  <c r="BK200" i="3" s="1"/>
  <c r="AW203" i="3"/>
  <c r="AX203" i="3"/>
  <c r="AU203" i="3"/>
  <c r="AV203" i="3" s="1"/>
  <c r="AH204" i="3"/>
  <c r="X204" i="3"/>
  <c r="BA203" i="3" l="1"/>
  <c r="AN205" i="3"/>
  <c r="AY203" i="3"/>
  <c r="BC203" i="3" s="1"/>
  <c r="AH205" i="3"/>
  <c r="BQ203" i="3"/>
  <c r="BF203" i="3"/>
  <c r="BB203" i="3"/>
  <c r="BB202" i="3"/>
  <c r="BQ202" i="3"/>
  <c r="BF202" i="3"/>
  <c r="BJ201" i="3" s="1"/>
  <c r="BK201" i="3" s="1"/>
  <c r="AO205" i="3"/>
  <c r="AR206" i="3"/>
  <c r="AQ206" i="3"/>
  <c r="B206" i="3"/>
  <c r="A207" i="3"/>
  <c r="C206" i="3"/>
  <c r="D206" i="3"/>
  <c r="G206" i="3"/>
  <c r="H206" i="3" s="1"/>
  <c r="F206" i="3"/>
  <c r="Q206" i="3"/>
  <c r="S206" i="3"/>
  <c r="O206" i="3"/>
  <c r="U206" i="3"/>
  <c r="AF206" i="3"/>
  <c r="AK206" i="3"/>
  <c r="AM206" i="3"/>
  <c r="AE206" i="3"/>
  <c r="AD206" i="3"/>
  <c r="M206" i="3"/>
  <c r="P206" i="3"/>
  <c r="R206" i="3"/>
  <c r="V206" i="3"/>
  <c r="T206" i="3"/>
  <c r="AW204" i="3"/>
  <c r="AX204" i="3"/>
  <c r="AY204" i="3" s="1"/>
  <c r="X205" i="3"/>
  <c r="Y205" i="3"/>
  <c r="Z205" i="3" s="1"/>
  <c r="AU204" i="3"/>
  <c r="AG205" i="3"/>
  <c r="AW205" i="3" s="1"/>
  <c r="BD202" i="3"/>
  <c r="BG202" i="3"/>
  <c r="BH202" i="3" s="1"/>
  <c r="BI202" i="3" s="1"/>
  <c r="AT204" i="3"/>
  <c r="BN206" i="3" l="1"/>
  <c r="BM206" i="3"/>
  <c r="BD203" i="3"/>
  <c r="BG203" i="3"/>
  <c r="BH203" i="3" s="1"/>
  <c r="BI203" i="3" s="1"/>
  <c r="AH206" i="3"/>
  <c r="AN206" i="3"/>
  <c r="X206" i="3"/>
  <c r="B207" i="3"/>
  <c r="A208" i="3"/>
  <c r="AR207" i="3"/>
  <c r="AQ207" i="3"/>
  <c r="C207" i="3"/>
  <c r="D207" i="3"/>
  <c r="G207" i="3"/>
  <c r="H207" i="3" s="1"/>
  <c r="F207" i="3"/>
  <c r="BM207" i="3" s="1"/>
  <c r="Q207" i="3"/>
  <c r="S207" i="3"/>
  <c r="O207" i="3"/>
  <c r="U207" i="3"/>
  <c r="AE207" i="3"/>
  <c r="AM207" i="3"/>
  <c r="AK207" i="3"/>
  <c r="AO207" i="3" s="1"/>
  <c r="AF207" i="3"/>
  <c r="AD207" i="3"/>
  <c r="M207" i="3"/>
  <c r="V207" i="3"/>
  <c r="T207" i="3"/>
  <c r="P207" i="3"/>
  <c r="R207" i="3"/>
  <c r="AG206" i="3"/>
  <c r="AO206" i="3"/>
  <c r="AT205" i="3"/>
  <c r="BJ202" i="3"/>
  <c r="BK202" i="3" s="1"/>
  <c r="AX205" i="3"/>
  <c r="AY205" i="3" s="1"/>
  <c r="AU205" i="3"/>
  <c r="Y206" i="3"/>
  <c r="Z206" i="3" s="1"/>
  <c r="AV204" i="3"/>
  <c r="BC204" i="3" s="1"/>
  <c r="BA204" i="3"/>
  <c r="BN207" i="3" l="1"/>
  <c r="AU206" i="3"/>
  <c r="AH207" i="3"/>
  <c r="BQ204" i="3"/>
  <c r="BF204" i="3"/>
  <c r="BJ203" i="3" s="1"/>
  <c r="BK203" i="3" s="1"/>
  <c r="BB204" i="3"/>
  <c r="A209" i="3"/>
  <c r="AR208" i="3"/>
  <c r="AQ208" i="3"/>
  <c r="B208" i="3"/>
  <c r="C208" i="3"/>
  <c r="D208" i="3"/>
  <c r="F208" i="3"/>
  <c r="BM208" i="3" s="1"/>
  <c r="G208" i="3"/>
  <c r="H208" i="3" s="1"/>
  <c r="BN208" i="3" s="1"/>
  <c r="Q208" i="3"/>
  <c r="S208" i="3"/>
  <c r="O208" i="3"/>
  <c r="U208" i="3"/>
  <c r="AM208" i="3"/>
  <c r="AK208" i="3"/>
  <c r="AF208" i="3"/>
  <c r="AD208" i="3"/>
  <c r="M208" i="3"/>
  <c r="AE208" i="3"/>
  <c r="V208" i="3"/>
  <c r="P208" i="3"/>
  <c r="T208" i="3"/>
  <c r="R208" i="3"/>
  <c r="BA205" i="3"/>
  <c r="AV205" i="3"/>
  <c r="BC205" i="3" s="1"/>
  <c r="BD204" i="3"/>
  <c r="BG204" i="3"/>
  <c r="BH204" i="3" s="1"/>
  <c r="BI204" i="3" s="1"/>
  <c r="AW206" i="3"/>
  <c r="AN207" i="3"/>
  <c r="Y207" i="3"/>
  <c r="Z207" i="3" s="1"/>
  <c r="AT206" i="3"/>
  <c r="AG207" i="3"/>
  <c r="AU207" i="3" s="1"/>
  <c r="X207" i="3"/>
  <c r="AX206" i="3"/>
  <c r="AY206" i="3" l="1"/>
  <c r="AX207" i="3"/>
  <c r="AG208" i="3"/>
  <c r="Y208" i="3"/>
  <c r="Z208" i="3" s="1"/>
  <c r="AO208" i="3"/>
  <c r="X208" i="3"/>
  <c r="AW207" i="3"/>
  <c r="AY207" i="3" s="1"/>
  <c r="BD205" i="3"/>
  <c r="BG205" i="3"/>
  <c r="BH205" i="3" s="1"/>
  <c r="BI205" i="3" s="1"/>
  <c r="BA206" i="3"/>
  <c r="AV206" i="3"/>
  <c r="BC206" i="3" s="1"/>
  <c r="BQ205" i="3"/>
  <c r="BF205" i="3"/>
  <c r="BJ204" i="3" s="1"/>
  <c r="BK204" i="3" s="1"/>
  <c r="BB205" i="3"/>
  <c r="A210" i="3"/>
  <c r="AQ209" i="3"/>
  <c r="AR209" i="3"/>
  <c r="B209" i="3"/>
  <c r="C209" i="3"/>
  <c r="D209" i="3"/>
  <c r="F209" i="3"/>
  <c r="BM209" i="3" s="1"/>
  <c r="G209" i="3"/>
  <c r="H209" i="3" s="1"/>
  <c r="BN209" i="3" s="1"/>
  <c r="S209" i="3"/>
  <c r="Q209" i="3"/>
  <c r="O209" i="3"/>
  <c r="U209" i="3"/>
  <c r="AM209" i="3"/>
  <c r="AE209" i="3"/>
  <c r="AD209" i="3"/>
  <c r="AK209" i="3"/>
  <c r="AO209" i="3" s="1"/>
  <c r="AF209" i="3"/>
  <c r="M209" i="3"/>
  <c r="P209" i="3"/>
  <c r="V209" i="3"/>
  <c r="R209" i="3"/>
  <c r="T209" i="3"/>
  <c r="AT207" i="3"/>
  <c r="AH208" i="3"/>
  <c r="AT208" i="3" s="1"/>
  <c r="AN208" i="3"/>
  <c r="BQ206" i="3" l="1"/>
  <c r="BB206" i="3"/>
  <c r="BF206" i="3"/>
  <c r="BJ205" i="3" s="1"/>
  <c r="BK205" i="3" s="1"/>
  <c r="AR210" i="3"/>
  <c r="AQ210" i="3"/>
  <c r="B210" i="3"/>
  <c r="A211" i="3"/>
  <c r="D210" i="3"/>
  <c r="C210" i="3"/>
  <c r="F210" i="3"/>
  <c r="BM210" i="3" s="1"/>
  <c r="G210" i="3"/>
  <c r="H210" i="3" s="1"/>
  <c r="Q210" i="3"/>
  <c r="S210" i="3"/>
  <c r="O210" i="3"/>
  <c r="U210" i="3"/>
  <c r="M210" i="3"/>
  <c r="AF210" i="3"/>
  <c r="AK210" i="3"/>
  <c r="AM210" i="3"/>
  <c r="AD210" i="3"/>
  <c r="AE210" i="3"/>
  <c r="V210" i="3"/>
  <c r="P210" i="3"/>
  <c r="R210" i="3"/>
  <c r="T210" i="3"/>
  <c r="AX208" i="3"/>
  <c r="BA207" i="3"/>
  <c r="AV207" i="3"/>
  <c r="BC207" i="3" s="1"/>
  <c r="AN209" i="3"/>
  <c r="AW208" i="3"/>
  <c r="AH209" i="3"/>
  <c r="AG209" i="3"/>
  <c r="X209" i="3"/>
  <c r="AU208" i="3"/>
  <c r="Y209" i="3"/>
  <c r="Z209" i="3" s="1"/>
  <c r="BD206" i="3"/>
  <c r="BG206" i="3"/>
  <c r="BH206" i="3" s="1"/>
  <c r="BI206" i="3" s="1"/>
  <c r="AN210" i="3" l="1"/>
  <c r="AG210" i="3"/>
  <c r="AT209" i="3"/>
  <c r="X210" i="3"/>
  <c r="BA208" i="3"/>
  <c r="BF208" i="3" s="1"/>
  <c r="AY208" i="3"/>
  <c r="BB208" i="3"/>
  <c r="BD207" i="3"/>
  <c r="BG207" i="3"/>
  <c r="BH207" i="3" s="1"/>
  <c r="BI207" i="3" s="1"/>
  <c r="BQ207" i="3"/>
  <c r="BF207" i="3"/>
  <c r="BB207" i="3"/>
  <c r="BN210" i="3"/>
  <c r="AR211" i="3"/>
  <c r="AQ211" i="3"/>
  <c r="B211" i="3"/>
  <c r="A212" i="3"/>
  <c r="C211" i="3"/>
  <c r="D211" i="3"/>
  <c r="F211" i="3"/>
  <c r="G211" i="3"/>
  <c r="H211" i="3" s="1"/>
  <c r="BN211" i="3" s="1"/>
  <c r="Q211" i="3"/>
  <c r="S211" i="3"/>
  <c r="O211" i="3"/>
  <c r="U211" i="3"/>
  <c r="AM211" i="3"/>
  <c r="AF211" i="3"/>
  <c r="AD211" i="3"/>
  <c r="AK211" i="3"/>
  <c r="AE211" i="3"/>
  <c r="AG211" i="3" s="1"/>
  <c r="M211" i="3"/>
  <c r="R211" i="3"/>
  <c r="V211" i="3"/>
  <c r="P211" i="3"/>
  <c r="T211" i="3"/>
  <c r="Y210" i="3"/>
  <c r="Z210" i="3" s="1"/>
  <c r="AH210" i="3"/>
  <c r="AX209" i="3"/>
  <c r="AV208" i="3"/>
  <c r="BC208" i="3" s="1"/>
  <c r="AW209" i="3"/>
  <c r="AO210" i="3"/>
  <c r="AU209" i="3"/>
  <c r="AV209" i="3" l="1"/>
  <c r="BM211" i="3"/>
  <c r="AX210" i="3"/>
  <c r="AO211" i="3"/>
  <c r="BQ208" i="3"/>
  <c r="AW210" i="3"/>
  <c r="Y211" i="3"/>
  <c r="Z211" i="3" s="1"/>
  <c r="X211" i="3"/>
  <c r="BD208" i="3"/>
  <c r="BG208" i="3"/>
  <c r="BH208" i="3" s="1"/>
  <c r="BI208" i="3" s="1"/>
  <c r="AU210" i="3"/>
  <c r="BA209" i="3"/>
  <c r="BJ207" i="3"/>
  <c r="BK207" i="3" s="1"/>
  <c r="BJ206" i="3"/>
  <c r="BK206" i="3" s="1"/>
  <c r="AT210" i="3"/>
  <c r="B212" i="3"/>
  <c r="AR212" i="3"/>
  <c r="AQ212" i="3"/>
  <c r="A213" i="3"/>
  <c r="D212" i="3"/>
  <c r="C212" i="3"/>
  <c r="F212" i="3"/>
  <c r="BM212" i="3" s="1"/>
  <c r="G212" i="3"/>
  <c r="H212" i="3" s="1"/>
  <c r="BN212" i="3" s="1"/>
  <c r="Q212" i="3"/>
  <c r="S212" i="3"/>
  <c r="O212" i="3"/>
  <c r="U212" i="3"/>
  <c r="AK212" i="3"/>
  <c r="M212" i="3"/>
  <c r="AD212" i="3"/>
  <c r="AM212" i="3"/>
  <c r="AF212" i="3"/>
  <c r="AE212" i="3"/>
  <c r="V212" i="3"/>
  <c r="R212" i="3"/>
  <c r="T212" i="3"/>
  <c r="P212" i="3"/>
  <c r="AY210" i="3"/>
  <c r="AH211" i="3"/>
  <c r="AY209" i="3"/>
  <c r="BC209" i="3" s="1"/>
  <c r="AN211" i="3"/>
  <c r="AW211" i="3" l="1"/>
  <c r="AN212" i="3"/>
  <c r="X212" i="3"/>
  <c r="AG212" i="3"/>
  <c r="BD209" i="3"/>
  <c r="BG209" i="3"/>
  <c r="BH209" i="3" s="1"/>
  <c r="BI209" i="3" s="1"/>
  <c r="A214" i="3"/>
  <c r="AR213" i="3"/>
  <c r="AQ213" i="3"/>
  <c r="C213" i="3"/>
  <c r="B213" i="3"/>
  <c r="D213" i="3"/>
  <c r="G213" i="3"/>
  <c r="H213" i="3" s="1"/>
  <c r="BN213" i="3" s="1"/>
  <c r="F213" i="3"/>
  <c r="S213" i="3"/>
  <c r="Q213" i="3"/>
  <c r="O213" i="3"/>
  <c r="U213" i="3"/>
  <c r="AF213" i="3"/>
  <c r="AD213" i="3"/>
  <c r="AK213" i="3"/>
  <c r="AM213" i="3"/>
  <c r="AN213" i="3" s="1"/>
  <c r="M213" i="3"/>
  <c r="AE213" i="3"/>
  <c r="V213" i="3"/>
  <c r="R213" i="3"/>
  <c r="T213" i="3"/>
  <c r="P213" i="3"/>
  <c r="AT211" i="3"/>
  <c r="Y212" i="3"/>
  <c r="Z212" i="3" s="1"/>
  <c r="BF209" i="3"/>
  <c r="BJ208" i="3" s="1"/>
  <c r="BK208" i="3" s="1"/>
  <c r="BB209" i="3"/>
  <c r="BQ209" i="3"/>
  <c r="AH212" i="3"/>
  <c r="AX211" i="3"/>
  <c r="AY211" i="3" s="1"/>
  <c r="BA210" i="3"/>
  <c r="AV210" i="3"/>
  <c r="BC210" i="3" s="1"/>
  <c r="AO212" i="3"/>
  <c r="AU211" i="3"/>
  <c r="AX212" i="3" l="1"/>
  <c r="X213" i="3"/>
  <c r="BF210" i="3"/>
  <c r="BJ209" i="3" s="1"/>
  <c r="BK209" i="3" s="1"/>
  <c r="BQ210" i="3"/>
  <c r="BB210" i="3"/>
  <c r="AW212" i="3"/>
  <c r="AY212" i="3" s="1"/>
  <c r="BM213" i="3"/>
  <c r="AG213" i="3"/>
  <c r="AQ214" i="3"/>
  <c r="A215" i="3"/>
  <c r="B214" i="3"/>
  <c r="AR214" i="3"/>
  <c r="D214" i="3"/>
  <c r="C214" i="3"/>
  <c r="G214" i="3"/>
  <c r="H214" i="3" s="1"/>
  <c r="BN214" i="3" s="1"/>
  <c r="F214" i="3"/>
  <c r="BM214" i="3" s="1"/>
  <c r="Q214" i="3"/>
  <c r="S214" i="3"/>
  <c r="O214" i="3"/>
  <c r="U214" i="3"/>
  <c r="AF214" i="3"/>
  <c r="AM214" i="3"/>
  <c r="AK214" i="3"/>
  <c r="AO214" i="3" s="1"/>
  <c r="AD214" i="3"/>
  <c r="M214" i="3"/>
  <c r="AE214" i="3"/>
  <c r="V214" i="3"/>
  <c r="T214" i="3"/>
  <c r="P214" i="3"/>
  <c r="R214" i="3"/>
  <c r="Y213" i="3"/>
  <c r="Z213" i="3" s="1"/>
  <c r="BD210" i="3"/>
  <c r="BG210" i="3"/>
  <c r="BH210" i="3" s="1"/>
  <c r="BI210" i="3" s="1"/>
  <c r="AT212" i="3"/>
  <c r="AV211" i="3"/>
  <c r="BC211" i="3" s="1"/>
  <c r="BA211" i="3"/>
  <c r="AO213" i="3"/>
  <c r="AU212" i="3"/>
  <c r="AH213" i="3"/>
  <c r="AX213" i="3" l="1"/>
  <c r="AH214" i="3"/>
  <c r="BB211" i="3"/>
  <c r="BF211" i="3"/>
  <c r="BJ210" i="3" s="1"/>
  <c r="BK210" i="3" s="1"/>
  <c r="BQ211" i="3"/>
  <c r="X214" i="3"/>
  <c r="BD211" i="3"/>
  <c r="BG211" i="3"/>
  <c r="BH211" i="3" s="1"/>
  <c r="BI211" i="3" s="1"/>
  <c r="AW213" i="3"/>
  <c r="AY213" i="3" s="1"/>
  <c r="Y214" i="3"/>
  <c r="Z214" i="3" s="1"/>
  <c r="BA212" i="3"/>
  <c r="AV212" i="3"/>
  <c r="BC212" i="3" s="1"/>
  <c r="AN214" i="3"/>
  <c r="AT213" i="3"/>
  <c r="AG214" i="3"/>
  <c r="A216" i="3"/>
  <c r="AQ215" i="3"/>
  <c r="AR215" i="3"/>
  <c r="B215" i="3"/>
  <c r="C215" i="3"/>
  <c r="D215" i="3"/>
  <c r="G215" i="3"/>
  <c r="H215" i="3" s="1"/>
  <c r="BN215" i="3" s="1"/>
  <c r="F215" i="3"/>
  <c r="Q215" i="3"/>
  <c r="S215" i="3"/>
  <c r="O215" i="3"/>
  <c r="U215" i="3"/>
  <c r="AF215" i="3"/>
  <c r="AE215" i="3"/>
  <c r="AM215" i="3"/>
  <c r="AK215" i="3"/>
  <c r="M215" i="3"/>
  <c r="AD215" i="3"/>
  <c r="P215" i="3"/>
  <c r="V215" i="3"/>
  <c r="R215" i="3"/>
  <c r="T215" i="3"/>
  <c r="AU213" i="3"/>
  <c r="AN215" i="3" l="1"/>
  <c r="AG215" i="3"/>
  <c r="AX214" i="3"/>
  <c r="X215" i="3"/>
  <c r="Y215" i="3"/>
  <c r="Z215" i="3" s="1"/>
  <c r="BB212" i="3"/>
  <c r="BQ212" i="3"/>
  <c r="BF212" i="3"/>
  <c r="BJ211" i="3" s="1"/>
  <c r="BK211" i="3" s="1"/>
  <c r="AH215" i="3"/>
  <c r="AQ216" i="3"/>
  <c r="AR216" i="3"/>
  <c r="A217" i="3"/>
  <c r="B216" i="3"/>
  <c r="C216" i="3"/>
  <c r="D216" i="3"/>
  <c r="G216" i="3"/>
  <c r="H216" i="3" s="1"/>
  <c r="BN216" i="3" s="1"/>
  <c r="F216" i="3"/>
  <c r="Q216" i="3"/>
  <c r="S216" i="3"/>
  <c r="O216" i="3"/>
  <c r="U216" i="3"/>
  <c r="AM216" i="3"/>
  <c r="AK216" i="3"/>
  <c r="AO216" i="3" s="1"/>
  <c r="AE216" i="3"/>
  <c r="M216" i="3"/>
  <c r="AD216" i="3"/>
  <c r="AF216" i="3"/>
  <c r="P216" i="3"/>
  <c r="V216" i="3"/>
  <c r="R216" i="3"/>
  <c r="T216" i="3"/>
  <c r="BA213" i="3"/>
  <c r="AV213" i="3"/>
  <c r="BC213" i="3" s="1"/>
  <c r="BD212" i="3"/>
  <c r="BG212" i="3"/>
  <c r="BH212" i="3" s="1"/>
  <c r="BI212" i="3" s="1"/>
  <c r="AO215" i="3"/>
  <c r="BM215" i="3"/>
  <c r="AW214" i="3"/>
  <c r="AT214" i="3"/>
  <c r="AU214" i="3"/>
  <c r="BM216" i="3" l="1"/>
  <c r="AG216" i="3"/>
  <c r="AY214" i="3"/>
  <c r="AX215" i="3"/>
  <c r="BD213" i="3"/>
  <c r="BG213" i="3"/>
  <c r="BH213" i="3" s="1"/>
  <c r="BI213" i="3" s="1"/>
  <c r="BF213" i="3"/>
  <c r="BJ212" i="3" s="1"/>
  <c r="BK212" i="3" s="1"/>
  <c r="BB213" i="3"/>
  <c r="BQ213" i="3"/>
  <c r="AN216" i="3"/>
  <c r="AQ217" i="3"/>
  <c r="AR217" i="3"/>
  <c r="B217" i="3"/>
  <c r="A218" i="3"/>
  <c r="C217" i="3"/>
  <c r="D217" i="3"/>
  <c r="G217" i="3"/>
  <c r="H217" i="3" s="1"/>
  <c r="F217" i="3"/>
  <c r="S217" i="3"/>
  <c r="Q217" i="3"/>
  <c r="O217" i="3"/>
  <c r="U217" i="3"/>
  <c r="AE217" i="3"/>
  <c r="M217" i="3"/>
  <c r="AK217" i="3"/>
  <c r="AM217" i="3"/>
  <c r="AD217" i="3"/>
  <c r="AF217" i="3"/>
  <c r="T217" i="3"/>
  <c r="V217" i="3"/>
  <c r="P217" i="3"/>
  <c r="R217" i="3"/>
  <c r="AW215" i="3"/>
  <c r="AU215" i="3"/>
  <c r="X216" i="3"/>
  <c r="AT215" i="3"/>
  <c r="AV214" i="3"/>
  <c r="BC214" i="3" s="1"/>
  <c r="BA214" i="3"/>
  <c r="Y216" i="3"/>
  <c r="Z216" i="3" s="1"/>
  <c r="AH216" i="3"/>
  <c r="AU216" i="3" s="1"/>
  <c r="BM217" i="3" l="1"/>
  <c r="AY215" i="3"/>
  <c r="BN217" i="3"/>
  <c r="AX216" i="3"/>
  <c r="AN217" i="3"/>
  <c r="BD214" i="3"/>
  <c r="BG214" i="3"/>
  <c r="BH214" i="3" s="1"/>
  <c r="BI214" i="3" s="1"/>
  <c r="AO217" i="3"/>
  <c r="AV215" i="3"/>
  <c r="BA215" i="3"/>
  <c r="Y217" i="3"/>
  <c r="Z217" i="3" s="1"/>
  <c r="AH217" i="3"/>
  <c r="BB214" i="3"/>
  <c r="BF214" i="3"/>
  <c r="BJ213" i="3" s="1"/>
  <c r="BK213" i="3" s="1"/>
  <c r="BQ214" i="3"/>
  <c r="AG217" i="3"/>
  <c r="AW216" i="3"/>
  <c r="X217" i="3"/>
  <c r="C218" i="3"/>
  <c r="A219" i="3"/>
  <c r="AR218" i="3"/>
  <c r="B218" i="3"/>
  <c r="AQ218" i="3"/>
  <c r="D218" i="3"/>
  <c r="G218" i="3"/>
  <c r="H218" i="3" s="1"/>
  <c r="F218" i="3"/>
  <c r="Q218" i="3"/>
  <c r="S218" i="3"/>
  <c r="O218" i="3"/>
  <c r="U218" i="3"/>
  <c r="AE218" i="3"/>
  <c r="AF218" i="3"/>
  <c r="AM218" i="3"/>
  <c r="AK218" i="3"/>
  <c r="AD218" i="3"/>
  <c r="M218" i="3"/>
  <c r="T218" i="3"/>
  <c r="R218" i="3"/>
  <c r="P218" i="3"/>
  <c r="V218" i="3"/>
  <c r="AT216" i="3"/>
  <c r="BC215" i="3" l="1"/>
  <c r="BN218" i="3"/>
  <c r="AY216" i="3"/>
  <c r="AN218" i="3"/>
  <c r="AH218" i="3"/>
  <c r="AW217" i="3"/>
  <c r="X218" i="3"/>
  <c r="BG215" i="3"/>
  <c r="BH215" i="3" s="1"/>
  <c r="BI215" i="3" s="1"/>
  <c r="BD215" i="3"/>
  <c r="Y218" i="3"/>
  <c r="Z218" i="3" s="1"/>
  <c r="AX217" i="3"/>
  <c r="AU217" i="3"/>
  <c r="AG218" i="3"/>
  <c r="AU218" i="3" s="1"/>
  <c r="AT218" i="3"/>
  <c r="BA216" i="3"/>
  <c r="AV216" i="3"/>
  <c r="BC216" i="3" s="1"/>
  <c r="B219" i="3"/>
  <c r="AQ219" i="3"/>
  <c r="A220" i="3"/>
  <c r="AR219" i="3"/>
  <c r="D219" i="3"/>
  <c r="C219" i="3"/>
  <c r="F219" i="3"/>
  <c r="BM219" i="3" s="1"/>
  <c r="G219" i="3"/>
  <c r="H219" i="3" s="1"/>
  <c r="BN219" i="3" s="1"/>
  <c r="Q219" i="3"/>
  <c r="S219" i="3"/>
  <c r="O219" i="3"/>
  <c r="U219" i="3"/>
  <c r="AM219" i="3"/>
  <c r="AK219" i="3"/>
  <c r="AO219" i="3" s="1"/>
  <c r="AE219" i="3"/>
  <c r="AF219" i="3"/>
  <c r="AD219" i="3"/>
  <c r="M219" i="3"/>
  <c r="V219" i="3"/>
  <c r="R219" i="3"/>
  <c r="P219" i="3"/>
  <c r="T219" i="3"/>
  <c r="AO218" i="3"/>
  <c r="BM218" i="3"/>
  <c r="BQ215" i="3"/>
  <c r="BB215" i="3"/>
  <c r="BF215" i="3"/>
  <c r="BJ214" i="3" s="1"/>
  <c r="BK214" i="3" s="1"/>
  <c r="AT217" i="3"/>
  <c r="AH219" i="3" l="1"/>
  <c r="AX218" i="3"/>
  <c r="AY217" i="3"/>
  <c r="Y219" i="3"/>
  <c r="Z219" i="3" s="1"/>
  <c r="AQ220" i="3"/>
  <c r="A221" i="3"/>
  <c r="B220" i="3"/>
  <c r="AR220" i="3"/>
  <c r="D220" i="3"/>
  <c r="C220" i="3"/>
  <c r="G220" i="3"/>
  <c r="H220" i="3" s="1"/>
  <c r="F220" i="3"/>
  <c r="BM220" i="3" s="1"/>
  <c r="S220" i="3"/>
  <c r="Q220" i="3"/>
  <c r="O220" i="3"/>
  <c r="U220" i="3"/>
  <c r="AM220" i="3"/>
  <c r="AK220" i="3"/>
  <c r="AF220" i="3"/>
  <c r="AD220" i="3"/>
  <c r="M220" i="3"/>
  <c r="AE220" i="3"/>
  <c r="V220" i="3"/>
  <c r="R220" i="3"/>
  <c r="P220" i="3"/>
  <c r="T220" i="3"/>
  <c r="AG219" i="3"/>
  <c r="BD216" i="3"/>
  <c r="BG216" i="3"/>
  <c r="BH216" i="3" s="1"/>
  <c r="BI216" i="3" s="1"/>
  <c r="BQ216" i="3"/>
  <c r="BF216" i="3"/>
  <c r="BJ215" i="3" s="1"/>
  <c r="BK215" i="3" s="1"/>
  <c r="BB216" i="3"/>
  <c r="AN219" i="3"/>
  <c r="AV218" i="3"/>
  <c r="BA217" i="3"/>
  <c r="AV217" i="3"/>
  <c r="BC217" i="3" s="1"/>
  <c r="X219" i="3"/>
  <c r="AW218" i="3"/>
  <c r="BA218" i="3" s="1"/>
  <c r="BN220" i="3" l="1"/>
  <c r="AO220" i="3"/>
  <c r="AX219" i="3"/>
  <c r="AH220" i="3"/>
  <c r="BB218" i="3"/>
  <c r="BF218" i="3"/>
  <c r="BQ218" i="3"/>
  <c r="AY218" i="3"/>
  <c r="BC218" i="3" s="1"/>
  <c r="Y220" i="3"/>
  <c r="Z220" i="3" s="1"/>
  <c r="AW219" i="3"/>
  <c r="AT219" i="3"/>
  <c r="BD217" i="3"/>
  <c r="BG217" i="3"/>
  <c r="BH217" i="3" s="1"/>
  <c r="BI217" i="3" s="1"/>
  <c r="BQ217" i="3"/>
  <c r="BF217" i="3"/>
  <c r="BJ216" i="3" s="1"/>
  <c r="BK216" i="3" s="1"/>
  <c r="BB217" i="3"/>
  <c r="X220" i="3"/>
  <c r="AG220" i="3"/>
  <c r="B221" i="3"/>
  <c r="AR221" i="3"/>
  <c r="AQ221" i="3"/>
  <c r="A222" i="3"/>
  <c r="C221" i="3"/>
  <c r="D221" i="3"/>
  <c r="F221" i="3"/>
  <c r="G221" i="3"/>
  <c r="H221" i="3" s="1"/>
  <c r="Q221" i="3"/>
  <c r="S221" i="3"/>
  <c r="O221" i="3"/>
  <c r="U221" i="3"/>
  <c r="AM221" i="3"/>
  <c r="AD221" i="3"/>
  <c r="AK221" i="3"/>
  <c r="AF221" i="3"/>
  <c r="AE221" i="3"/>
  <c r="M221" i="3"/>
  <c r="V221" i="3"/>
  <c r="T221" i="3"/>
  <c r="R221" i="3"/>
  <c r="P221" i="3"/>
  <c r="AU219" i="3"/>
  <c r="AN220" i="3"/>
  <c r="BN221" i="3" l="1"/>
  <c r="AO221" i="3"/>
  <c r="BM221" i="3"/>
  <c r="AY219" i="3"/>
  <c r="AW220" i="3"/>
  <c r="BD218" i="3"/>
  <c r="BG218" i="3"/>
  <c r="BH218" i="3" s="1"/>
  <c r="BI218" i="3" s="1"/>
  <c r="BA219" i="3"/>
  <c r="AV219" i="3"/>
  <c r="AX220" i="3"/>
  <c r="AN221" i="3"/>
  <c r="AU220" i="3"/>
  <c r="AH221" i="3"/>
  <c r="AT220" i="3"/>
  <c r="A223" i="3"/>
  <c r="C222" i="3"/>
  <c r="D222" i="3"/>
  <c r="AQ222" i="3"/>
  <c r="B222" i="3"/>
  <c r="AR222" i="3"/>
  <c r="F222" i="3"/>
  <c r="G222" i="3"/>
  <c r="H222" i="3" s="1"/>
  <c r="S222" i="3"/>
  <c r="Q222" i="3"/>
  <c r="O222" i="3"/>
  <c r="U222" i="3"/>
  <c r="AK222" i="3"/>
  <c r="AF222" i="3"/>
  <c r="AM222" i="3"/>
  <c r="AE222" i="3"/>
  <c r="AD222" i="3"/>
  <c r="M222" i="3"/>
  <c r="V222" i="3"/>
  <c r="P222" i="3"/>
  <c r="T222" i="3"/>
  <c r="R222" i="3"/>
  <c r="BJ217" i="3"/>
  <c r="BK217" i="3" s="1"/>
  <c r="X221" i="3"/>
  <c r="Y221" i="3"/>
  <c r="Z221" i="3" s="1"/>
  <c r="AG221" i="3"/>
  <c r="AH222" i="3" l="1"/>
  <c r="BC219" i="3"/>
  <c r="AW221" i="3"/>
  <c r="AN222" i="3"/>
  <c r="AY220" i="3"/>
  <c r="BD219" i="3"/>
  <c r="BG219" i="3"/>
  <c r="BH219" i="3" s="1"/>
  <c r="BI219" i="3" s="1"/>
  <c r="AG222" i="3"/>
  <c r="BM222" i="3"/>
  <c r="AX221" i="3"/>
  <c r="Y222" i="3"/>
  <c r="Z222" i="3" s="1"/>
  <c r="BN222" i="3"/>
  <c r="BA220" i="3"/>
  <c r="AV220" i="3"/>
  <c r="BC220" i="3" s="1"/>
  <c r="BF219" i="3"/>
  <c r="BJ218" i="3" s="1"/>
  <c r="BK218" i="3" s="1"/>
  <c r="BQ219" i="3"/>
  <c r="BB219" i="3"/>
  <c r="AT221" i="3"/>
  <c r="AU221" i="3"/>
  <c r="X222" i="3"/>
  <c r="D223" i="3"/>
  <c r="AQ223" i="3"/>
  <c r="A224" i="3"/>
  <c r="AR223" i="3"/>
  <c r="B223" i="3"/>
  <c r="C223" i="3"/>
  <c r="F223" i="3"/>
  <c r="BM223" i="3" s="1"/>
  <c r="G223" i="3"/>
  <c r="H223" i="3" s="1"/>
  <c r="Q223" i="3"/>
  <c r="S223" i="3"/>
  <c r="O223" i="3"/>
  <c r="U223" i="3"/>
  <c r="AF223" i="3"/>
  <c r="AM223" i="3"/>
  <c r="AK223" i="3"/>
  <c r="AE223" i="3"/>
  <c r="M223" i="3"/>
  <c r="AD223" i="3"/>
  <c r="V223" i="3"/>
  <c r="P223" i="3"/>
  <c r="R223" i="3"/>
  <c r="T223" i="3"/>
  <c r="AO222" i="3"/>
  <c r="AY221" i="3" l="1"/>
  <c r="AO223" i="3"/>
  <c r="X223" i="3"/>
  <c r="AW222" i="3"/>
  <c r="AH223" i="3"/>
  <c r="BF220" i="3"/>
  <c r="BJ219" i="3" s="1"/>
  <c r="BK219" i="3" s="1"/>
  <c r="BQ220" i="3"/>
  <c r="BB220" i="3"/>
  <c r="AX222" i="3"/>
  <c r="BN223" i="3"/>
  <c r="Y223" i="3"/>
  <c r="Z223" i="3" s="1"/>
  <c r="BD220" i="3"/>
  <c r="BG220" i="3"/>
  <c r="BH220" i="3" s="1"/>
  <c r="BI220" i="3" s="1"/>
  <c r="AT222" i="3"/>
  <c r="B224" i="3"/>
  <c r="AR224" i="3"/>
  <c r="AQ224" i="3"/>
  <c r="A225" i="3"/>
  <c r="D224" i="3"/>
  <c r="C224" i="3"/>
  <c r="G224" i="3"/>
  <c r="H224" i="3" s="1"/>
  <c r="F224" i="3"/>
  <c r="BM224" i="3" s="1"/>
  <c r="S224" i="3"/>
  <c r="Q224" i="3"/>
  <c r="O224" i="3"/>
  <c r="U224" i="3"/>
  <c r="AK224" i="3"/>
  <c r="AE224" i="3"/>
  <c r="AF224" i="3"/>
  <c r="AM224" i="3"/>
  <c r="M224" i="3"/>
  <c r="AD224" i="3"/>
  <c r="V224" i="3"/>
  <c r="T224" i="3"/>
  <c r="P224" i="3"/>
  <c r="R224" i="3"/>
  <c r="AG223" i="3"/>
  <c r="AN223" i="3"/>
  <c r="BA221" i="3"/>
  <c r="AV221" i="3"/>
  <c r="BC221" i="3" s="1"/>
  <c r="AU222" i="3"/>
  <c r="AY222" i="3" l="1"/>
  <c r="AH224" i="3"/>
  <c r="X224" i="3"/>
  <c r="AO224" i="3"/>
  <c r="AN224" i="3"/>
  <c r="AV222" i="3"/>
  <c r="BC222" i="3" s="1"/>
  <c r="BA222" i="3"/>
  <c r="Y224" i="3"/>
  <c r="Z224" i="3" s="1"/>
  <c r="BQ221" i="3"/>
  <c r="BB221" i="3"/>
  <c r="BF221" i="3"/>
  <c r="BJ220" i="3" s="1"/>
  <c r="BK220" i="3" s="1"/>
  <c r="AW223" i="3"/>
  <c r="AU223" i="3"/>
  <c r="BN224" i="3"/>
  <c r="AX223" i="3"/>
  <c r="B225" i="3"/>
  <c r="D225" i="3"/>
  <c r="C225" i="3"/>
  <c r="A226" i="3"/>
  <c r="AR225" i="3"/>
  <c r="AQ225" i="3"/>
  <c r="F225" i="3"/>
  <c r="BM225" i="3" s="1"/>
  <c r="G225" i="3"/>
  <c r="H225" i="3" s="1"/>
  <c r="BN225" i="3" s="1"/>
  <c r="Q225" i="3"/>
  <c r="S225" i="3"/>
  <c r="O225" i="3"/>
  <c r="U225" i="3"/>
  <c r="AE225" i="3"/>
  <c r="AM225" i="3"/>
  <c r="AK225" i="3"/>
  <c r="AO225" i="3" s="1"/>
  <c r="AF225" i="3"/>
  <c r="AD225" i="3"/>
  <c r="M225" i="3"/>
  <c r="P225" i="3"/>
  <c r="T225" i="3"/>
  <c r="V225" i="3"/>
  <c r="R225" i="3"/>
  <c r="BD221" i="3"/>
  <c r="BG221" i="3"/>
  <c r="BH221" i="3" s="1"/>
  <c r="BI221" i="3" s="1"/>
  <c r="AG224" i="3"/>
  <c r="AW224" i="3" s="1"/>
  <c r="AT223" i="3"/>
  <c r="AH225" i="3" l="1"/>
  <c r="AT224" i="3"/>
  <c r="AU224" i="3"/>
  <c r="AX224" i="3"/>
  <c r="AY224" i="3" s="1"/>
  <c r="BQ222" i="3"/>
  <c r="BF222" i="3"/>
  <c r="BJ221" i="3" s="1"/>
  <c r="BK221" i="3" s="1"/>
  <c r="BB222" i="3"/>
  <c r="BD222" i="3"/>
  <c r="BG222" i="3"/>
  <c r="BH222" i="3" s="1"/>
  <c r="BI222" i="3" s="1"/>
  <c r="Y225" i="3"/>
  <c r="Z225" i="3" s="1"/>
  <c r="AY223" i="3"/>
  <c r="AN225" i="3"/>
  <c r="AG225" i="3"/>
  <c r="AU225" i="3" s="1"/>
  <c r="BA223" i="3"/>
  <c r="AV223" i="3"/>
  <c r="X225" i="3"/>
  <c r="A227" i="3"/>
  <c r="AR226" i="3"/>
  <c r="AQ226" i="3"/>
  <c r="C226" i="3"/>
  <c r="B226" i="3"/>
  <c r="D226" i="3"/>
  <c r="F226" i="3"/>
  <c r="BM226" i="3" s="1"/>
  <c r="G226" i="3"/>
  <c r="H226" i="3" s="1"/>
  <c r="BN226" i="3" s="1"/>
  <c r="Q226" i="3"/>
  <c r="S226" i="3"/>
  <c r="O226" i="3"/>
  <c r="U226" i="3"/>
  <c r="AM226" i="3"/>
  <c r="AK226" i="3"/>
  <c r="AD226" i="3"/>
  <c r="AE226" i="3"/>
  <c r="M226" i="3"/>
  <c r="AF226" i="3"/>
  <c r="V226" i="3"/>
  <c r="T226" i="3"/>
  <c r="P226" i="3"/>
  <c r="R226" i="3"/>
  <c r="AV224" i="3" l="1"/>
  <c r="BC224" i="3"/>
  <c r="BD224" i="3" s="1"/>
  <c r="BA224" i="3"/>
  <c r="BB224" i="3" s="1"/>
  <c r="AO226" i="3"/>
  <c r="AX225" i="3"/>
  <c r="AG226" i="3"/>
  <c r="AW225" i="3"/>
  <c r="BC223" i="3"/>
  <c r="BG223" i="3" s="1"/>
  <c r="BH223" i="3" s="1"/>
  <c r="BI223" i="3" s="1"/>
  <c r="AN226" i="3"/>
  <c r="X226" i="3"/>
  <c r="BF224" i="3"/>
  <c r="AH226" i="3"/>
  <c r="Y226" i="3"/>
  <c r="Z226" i="3" s="1"/>
  <c r="AT225" i="3"/>
  <c r="BG224" i="3"/>
  <c r="BH224" i="3" s="1"/>
  <c r="BI224" i="3" s="1"/>
  <c r="BF223" i="3"/>
  <c r="BJ222" i="3" s="1"/>
  <c r="BK222" i="3" s="1"/>
  <c r="BB223" i="3"/>
  <c r="BQ223" i="3"/>
  <c r="C227" i="3"/>
  <c r="B227" i="3"/>
  <c r="A228" i="3"/>
  <c r="AR227" i="3"/>
  <c r="AQ227" i="3"/>
  <c r="D227" i="3"/>
  <c r="G227" i="3"/>
  <c r="H227" i="3" s="1"/>
  <c r="BN227" i="3" s="1"/>
  <c r="F227" i="3"/>
  <c r="Q227" i="3"/>
  <c r="S227" i="3"/>
  <c r="O227" i="3"/>
  <c r="U227" i="3"/>
  <c r="AK227" i="3"/>
  <c r="AF227" i="3"/>
  <c r="AD227" i="3"/>
  <c r="M227" i="3"/>
  <c r="AM227" i="3"/>
  <c r="AE227" i="3"/>
  <c r="AG227" i="3" s="1"/>
  <c r="V227" i="3"/>
  <c r="P227" i="3"/>
  <c r="T227" i="3"/>
  <c r="R227" i="3"/>
  <c r="BQ224" i="3" l="1"/>
  <c r="AY225" i="3"/>
  <c r="BM227" i="3"/>
  <c r="AT226" i="3"/>
  <c r="AU226" i="3"/>
  <c r="AO227" i="3"/>
  <c r="BD223" i="3"/>
  <c r="X227" i="3"/>
  <c r="BJ223" i="3"/>
  <c r="BK223" i="3" s="1"/>
  <c r="BA225" i="3"/>
  <c r="AV225" i="3"/>
  <c r="Y227" i="3"/>
  <c r="Z227" i="3" s="1"/>
  <c r="D228" i="3"/>
  <c r="C228" i="3"/>
  <c r="AQ228" i="3"/>
  <c r="A229" i="3"/>
  <c r="AR228" i="3"/>
  <c r="B228" i="3"/>
  <c r="F228" i="3"/>
  <c r="G228" i="3"/>
  <c r="H228" i="3" s="1"/>
  <c r="Q228" i="3"/>
  <c r="S228" i="3"/>
  <c r="O228" i="3"/>
  <c r="U228" i="3"/>
  <c r="AF228" i="3"/>
  <c r="AE228" i="3"/>
  <c r="AK228" i="3"/>
  <c r="AM228" i="3"/>
  <c r="AD228" i="3"/>
  <c r="M228" i="3"/>
  <c r="V228" i="3"/>
  <c r="T228" i="3"/>
  <c r="P228" i="3"/>
  <c r="R228" i="3"/>
  <c r="AN227" i="3"/>
  <c r="AH227" i="3"/>
  <c r="AX226" i="3"/>
  <c r="AW226" i="3"/>
  <c r="AY226" i="3" s="1"/>
  <c r="AV226" i="3" l="1"/>
  <c r="BN228" i="3"/>
  <c r="BA226" i="3"/>
  <c r="BF226" i="3" s="1"/>
  <c r="BM228" i="3"/>
  <c r="BC225" i="3"/>
  <c r="AG228" i="3"/>
  <c r="BC226" i="3"/>
  <c r="BD226" i="3" s="1"/>
  <c r="AX227" i="3"/>
  <c r="AN228" i="3"/>
  <c r="AU227" i="3"/>
  <c r="B229" i="3"/>
  <c r="AR229" i="3"/>
  <c r="A230" i="3"/>
  <c r="C229" i="3"/>
  <c r="AQ229" i="3"/>
  <c r="D229" i="3"/>
  <c r="G229" i="3"/>
  <c r="H229" i="3" s="1"/>
  <c r="F229" i="3"/>
  <c r="Q229" i="3"/>
  <c r="S229" i="3"/>
  <c r="O229" i="3"/>
  <c r="U229" i="3"/>
  <c r="AK229" i="3"/>
  <c r="AF229" i="3"/>
  <c r="M229" i="3"/>
  <c r="AM229" i="3"/>
  <c r="AD229" i="3"/>
  <c r="AE229" i="3"/>
  <c r="R229" i="3"/>
  <c r="T229" i="3"/>
  <c r="P229" i="3"/>
  <c r="V229" i="3"/>
  <c r="AT227" i="3"/>
  <c r="X228" i="3"/>
  <c r="AW227" i="3"/>
  <c r="Y228" i="3"/>
  <c r="Z228" i="3" s="1"/>
  <c r="BD225" i="3"/>
  <c r="BG225" i="3"/>
  <c r="BH225" i="3" s="1"/>
  <c r="BI225" i="3" s="1"/>
  <c r="AO228" i="3"/>
  <c r="BG226" i="3"/>
  <c r="BH226" i="3" s="1"/>
  <c r="BI226" i="3" s="1"/>
  <c r="AH228" i="3"/>
  <c r="BQ225" i="3"/>
  <c r="BB225" i="3"/>
  <c r="BF225" i="3"/>
  <c r="BJ224" i="3" s="1"/>
  <c r="BK224" i="3" s="1"/>
  <c r="BB226" i="3" l="1"/>
  <c r="BQ226" i="3"/>
  <c r="AY227" i="3"/>
  <c r="X229" i="3"/>
  <c r="AO229" i="3"/>
  <c r="AX228" i="3"/>
  <c r="BJ225" i="3"/>
  <c r="BK225" i="3" s="1"/>
  <c r="Y229" i="3"/>
  <c r="Z229" i="3" s="1"/>
  <c r="AG229" i="3"/>
  <c r="AH229" i="3"/>
  <c r="AV227" i="3"/>
  <c r="BA227" i="3"/>
  <c r="BM229" i="3"/>
  <c r="AT228" i="3"/>
  <c r="A231" i="3"/>
  <c r="B230" i="3"/>
  <c r="AQ230" i="3"/>
  <c r="C230" i="3"/>
  <c r="AR230" i="3"/>
  <c r="D230" i="3"/>
  <c r="G230" i="3"/>
  <c r="H230" i="3" s="1"/>
  <c r="F230" i="3"/>
  <c r="Q230" i="3"/>
  <c r="S230" i="3"/>
  <c r="O230" i="3"/>
  <c r="U230" i="3"/>
  <c r="AE230" i="3"/>
  <c r="AK230" i="3"/>
  <c r="M230" i="3"/>
  <c r="AM230" i="3"/>
  <c r="AD230" i="3"/>
  <c r="AF230" i="3"/>
  <c r="T230" i="3"/>
  <c r="V230" i="3"/>
  <c r="P230" i="3"/>
  <c r="R230" i="3"/>
  <c r="AW228" i="3"/>
  <c r="AN229" i="3"/>
  <c r="AU228" i="3"/>
  <c r="BN229" i="3"/>
  <c r="BC227" i="3" l="1"/>
  <c r="AX229" i="3"/>
  <c r="AG230" i="3"/>
  <c r="AO230" i="3"/>
  <c r="AY228" i="3"/>
  <c r="X230" i="3"/>
  <c r="AT229" i="3"/>
  <c r="BB227" i="3"/>
  <c r="BQ227" i="3"/>
  <c r="BF227" i="3"/>
  <c r="Y230" i="3"/>
  <c r="Z230" i="3" s="1"/>
  <c r="AW229" i="3"/>
  <c r="AY229" i="3" s="1"/>
  <c r="AH230" i="3"/>
  <c r="AU230" i="3" s="1"/>
  <c r="D231" i="3"/>
  <c r="C231" i="3"/>
  <c r="AR231" i="3"/>
  <c r="AQ231" i="3"/>
  <c r="B231" i="3"/>
  <c r="A232" i="3"/>
  <c r="G231" i="3"/>
  <c r="H231" i="3" s="1"/>
  <c r="F231" i="3"/>
  <c r="Q231" i="3"/>
  <c r="S231" i="3"/>
  <c r="O231" i="3"/>
  <c r="U231" i="3"/>
  <c r="AD231" i="3"/>
  <c r="AK231" i="3"/>
  <c r="AM231" i="3"/>
  <c r="M231" i="3"/>
  <c r="AE231" i="3"/>
  <c r="AF231" i="3"/>
  <c r="V231" i="3"/>
  <c r="P231" i="3"/>
  <c r="T231" i="3"/>
  <c r="R231" i="3"/>
  <c r="AU229" i="3"/>
  <c r="BD227" i="3"/>
  <c r="BG227" i="3"/>
  <c r="BH227" i="3" s="1"/>
  <c r="BI227" i="3" s="1"/>
  <c r="AN230" i="3"/>
  <c r="BM230" i="3"/>
  <c r="BA228" i="3"/>
  <c r="AV228" i="3"/>
  <c r="BN230" i="3"/>
  <c r="BC228" i="3" l="1"/>
  <c r="X231" i="3"/>
  <c r="AV229" i="3"/>
  <c r="BC229" i="3" s="1"/>
  <c r="BA229" i="3"/>
  <c r="BQ229" i="3" s="1"/>
  <c r="AW230" i="3"/>
  <c r="AT230" i="3"/>
  <c r="AV230" i="3" s="1"/>
  <c r="AO231" i="3"/>
  <c r="AH231" i="3"/>
  <c r="A233" i="3"/>
  <c r="B232" i="3"/>
  <c r="AQ232" i="3"/>
  <c r="C232" i="3"/>
  <c r="AR232" i="3"/>
  <c r="D232" i="3"/>
  <c r="G232" i="3"/>
  <c r="H232" i="3" s="1"/>
  <c r="BN232" i="3" s="1"/>
  <c r="F232" i="3"/>
  <c r="BM232" i="3" s="1"/>
  <c r="Q232" i="3"/>
  <c r="S232" i="3"/>
  <c r="O232" i="3"/>
  <c r="U232" i="3"/>
  <c r="AE232" i="3"/>
  <c r="AF232" i="3"/>
  <c r="AK232" i="3"/>
  <c r="AM232" i="3"/>
  <c r="M232" i="3"/>
  <c r="AD232" i="3"/>
  <c r="P232" i="3"/>
  <c r="V232" i="3"/>
  <c r="R232" i="3"/>
  <c r="T232" i="3"/>
  <c r="AG231" i="3"/>
  <c r="BJ226" i="3"/>
  <c r="BK226" i="3" s="1"/>
  <c r="Y231" i="3"/>
  <c r="Z231" i="3" s="1"/>
  <c r="BM231" i="3"/>
  <c r="AX230" i="3"/>
  <c r="BD228" i="3"/>
  <c r="BG228" i="3"/>
  <c r="BH228" i="3" s="1"/>
  <c r="BI228" i="3" s="1"/>
  <c r="BF228" i="3"/>
  <c r="BJ227" i="3" s="1"/>
  <c r="BK227" i="3" s="1"/>
  <c r="BB228" i="3"/>
  <c r="BQ228" i="3"/>
  <c r="AN231" i="3"/>
  <c r="BN231" i="3"/>
  <c r="BG229" i="3" l="1"/>
  <c r="BH229" i="3" s="1"/>
  <c r="BI229" i="3" s="1"/>
  <c r="BD229" i="3"/>
  <c r="AN232" i="3"/>
  <c r="BF229" i="3"/>
  <c r="BB229" i="3"/>
  <c r="AY230" i="3"/>
  <c r="BC230" i="3" s="1"/>
  <c r="BJ228" i="3"/>
  <c r="BK228" i="3" s="1"/>
  <c r="AX231" i="3"/>
  <c r="AW231" i="3"/>
  <c r="BA230" i="3"/>
  <c r="Y232" i="3"/>
  <c r="Z232" i="3" s="1"/>
  <c r="AU231" i="3"/>
  <c r="AG232" i="3"/>
  <c r="X232" i="3"/>
  <c r="AT231" i="3"/>
  <c r="AH232" i="3"/>
  <c r="AO232" i="3"/>
  <c r="B233" i="3"/>
  <c r="AQ233" i="3"/>
  <c r="A234" i="3"/>
  <c r="D233" i="3"/>
  <c r="AR233" i="3"/>
  <c r="C233" i="3"/>
  <c r="F233" i="3"/>
  <c r="G233" i="3"/>
  <c r="H233" i="3" s="1"/>
  <c r="S233" i="3"/>
  <c r="Q233" i="3"/>
  <c r="O233" i="3"/>
  <c r="U233" i="3"/>
  <c r="AK233" i="3"/>
  <c r="AM233" i="3"/>
  <c r="AN233" i="3" s="1"/>
  <c r="AD233" i="3"/>
  <c r="AE233" i="3"/>
  <c r="M233" i="3"/>
  <c r="AF233" i="3"/>
  <c r="P233" i="3"/>
  <c r="V233" i="3"/>
  <c r="R233" i="3"/>
  <c r="T233" i="3"/>
  <c r="BN233" i="3" l="1"/>
  <c r="BM233" i="3"/>
  <c r="AY231" i="3"/>
  <c r="AW232" i="3"/>
  <c r="AU232" i="3"/>
  <c r="BD230" i="3"/>
  <c r="BG230" i="3"/>
  <c r="BH230" i="3" s="1"/>
  <c r="BI230" i="3" s="1"/>
  <c r="AG233" i="3"/>
  <c r="AT233" i="3" s="1"/>
  <c r="AT232" i="3"/>
  <c r="AO233" i="3"/>
  <c r="AX232" i="3"/>
  <c r="A235" i="3"/>
  <c r="C234" i="3"/>
  <c r="D234" i="3"/>
  <c r="AR234" i="3"/>
  <c r="AQ234" i="3"/>
  <c r="B234" i="3"/>
  <c r="G234" i="3"/>
  <c r="H234" i="3" s="1"/>
  <c r="F234" i="3"/>
  <c r="Q234" i="3"/>
  <c r="S234" i="3"/>
  <c r="O234" i="3"/>
  <c r="U234" i="3"/>
  <c r="AK234" i="3"/>
  <c r="AD234" i="3"/>
  <c r="AM234" i="3"/>
  <c r="AF234" i="3"/>
  <c r="AE234" i="3"/>
  <c r="M234" i="3"/>
  <c r="T234" i="3"/>
  <c r="V234" i="3"/>
  <c r="P234" i="3"/>
  <c r="R234" i="3"/>
  <c r="AH233" i="3"/>
  <c r="Y233" i="3"/>
  <c r="Z233" i="3" s="1"/>
  <c r="X233" i="3"/>
  <c r="AV231" i="3"/>
  <c r="BC231" i="3" s="1"/>
  <c r="BA231" i="3"/>
  <c r="BQ230" i="3"/>
  <c r="BB230" i="3"/>
  <c r="BF230" i="3"/>
  <c r="BJ229" i="3" s="1"/>
  <c r="BK229" i="3" s="1"/>
  <c r="BM234" i="3" l="1"/>
  <c r="AX233" i="3"/>
  <c r="AN234" i="3"/>
  <c r="BN234" i="3"/>
  <c r="AY232" i="3"/>
  <c r="AG234" i="3"/>
  <c r="C235" i="3"/>
  <c r="AQ235" i="3"/>
  <c r="B235" i="3"/>
  <c r="AR235" i="3"/>
  <c r="D235" i="3"/>
  <c r="A236" i="3"/>
  <c r="F235" i="3"/>
  <c r="G235" i="3"/>
  <c r="H235" i="3" s="1"/>
  <c r="S235" i="3"/>
  <c r="Q235" i="3"/>
  <c r="O235" i="3"/>
  <c r="U235" i="3"/>
  <c r="AE235" i="3"/>
  <c r="AM235" i="3"/>
  <c r="AK235" i="3"/>
  <c r="AF235" i="3"/>
  <c r="M235" i="3"/>
  <c r="AD235" i="3"/>
  <c r="V235" i="3"/>
  <c r="R235" i="3"/>
  <c r="T235" i="3"/>
  <c r="P235" i="3"/>
  <c r="BF231" i="3"/>
  <c r="BJ230" i="3" s="1"/>
  <c r="BK230" i="3" s="1"/>
  <c r="BB231" i="3"/>
  <c r="BQ231" i="3"/>
  <c r="BD231" i="3"/>
  <c r="BG231" i="3"/>
  <c r="BH231" i="3" s="1"/>
  <c r="BI231" i="3" s="1"/>
  <c r="Y234" i="3"/>
  <c r="Z234" i="3" s="1"/>
  <c r="AO234" i="3"/>
  <c r="AU233" i="3"/>
  <c r="AV233" i="3" s="1"/>
  <c r="AH234" i="3"/>
  <c r="AV232" i="3"/>
  <c r="BA232" i="3"/>
  <c r="AW233" i="3"/>
  <c r="AY233" i="3" s="1"/>
  <c r="X234" i="3"/>
  <c r="BM235" i="3" l="1"/>
  <c r="AX234" i="3"/>
  <c r="AO235" i="3"/>
  <c r="BC232" i="3"/>
  <c r="AG235" i="3"/>
  <c r="BB232" i="3"/>
  <c r="BF232" i="3"/>
  <c r="BJ231" i="3" s="1"/>
  <c r="BK231" i="3" s="1"/>
  <c r="BQ232" i="3"/>
  <c r="AR236" i="3"/>
  <c r="AQ236" i="3"/>
  <c r="C236" i="3"/>
  <c r="B236" i="3"/>
  <c r="A237" i="3"/>
  <c r="D236" i="3"/>
  <c r="F236" i="3"/>
  <c r="G236" i="3"/>
  <c r="H236" i="3" s="1"/>
  <c r="BN236" i="3" s="1"/>
  <c r="Q236" i="3"/>
  <c r="S236" i="3"/>
  <c r="O236" i="3"/>
  <c r="U236" i="3"/>
  <c r="AD236" i="3"/>
  <c r="AK236" i="3"/>
  <c r="AM236" i="3"/>
  <c r="AN236" i="3" s="1"/>
  <c r="AE236" i="3"/>
  <c r="AF236" i="3"/>
  <c r="M236" i="3"/>
  <c r="R236" i="3"/>
  <c r="V236" i="3"/>
  <c r="T236" i="3"/>
  <c r="P236" i="3"/>
  <c r="BD232" i="3"/>
  <c r="BG232" i="3"/>
  <c r="BH232" i="3" s="1"/>
  <c r="BI232" i="3" s="1"/>
  <c r="AU234" i="3"/>
  <c r="X235" i="3"/>
  <c r="Y235" i="3"/>
  <c r="Z235" i="3" s="1"/>
  <c r="BA233" i="3"/>
  <c r="AT234" i="3"/>
  <c r="BC233" i="3"/>
  <c r="AN235" i="3"/>
  <c r="AH235" i="3"/>
  <c r="AX235" i="3" s="1"/>
  <c r="BN235" i="3"/>
  <c r="AW234" i="3"/>
  <c r="AY234" i="3" s="1"/>
  <c r="AH236" i="3" l="1"/>
  <c r="B237" i="3"/>
  <c r="D237" i="3"/>
  <c r="C237" i="3"/>
  <c r="AR237" i="3"/>
  <c r="AQ237" i="3"/>
  <c r="A238" i="3"/>
  <c r="G237" i="3"/>
  <c r="H237" i="3" s="1"/>
  <c r="F237" i="3"/>
  <c r="Q237" i="3"/>
  <c r="S237" i="3"/>
  <c r="O237" i="3"/>
  <c r="U237" i="3"/>
  <c r="AK237" i="3"/>
  <c r="AF237" i="3"/>
  <c r="AM237" i="3"/>
  <c r="AD237" i="3"/>
  <c r="AE237" i="3"/>
  <c r="M237" i="3"/>
  <c r="P237" i="3"/>
  <c r="V237" i="3"/>
  <c r="R237" i="3"/>
  <c r="T237" i="3"/>
  <c r="BB233" i="3"/>
  <c r="BQ233" i="3"/>
  <c r="BF233" i="3"/>
  <c r="BJ232" i="3" s="1"/>
  <c r="BK232" i="3" s="1"/>
  <c r="AU235" i="3"/>
  <c r="BD233" i="3"/>
  <c r="BG233" i="3"/>
  <c r="BH233" i="3" s="1"/>
  <c r="BI233" i="3" s="1"/>
  <c r="AG236" i="3"/>
  <c r="X236" i="3"/>
  <c r="AT235" i="3"/>
  <c r="BM236" i="3"/>
  <c r="Y236" i="3"/>
  <c r="Z236" i="3" s="1"/>
  <c r="BA234" i="3"/>
  <c r="AV234" i="3"/>
  <c r="BC234" i="3" s="1"/>
  <c r="AW235" i="3"/>
  <c r="AY235" i="3" s="1"/>
  <c r="AO236" i="3"/>
  <c r="AW236" i="3" l="1"/>
  <c r="AO237" i="3"/>
  <c r="A239" i="3"/>
  <c r="AR238" i="3"/>
  <c r="B238" i="3"/>
  <c r="C238" i="3"/>
  <c r="D238" i="3"/>
  <c r="AQ238" i="3"/>
  <c r="G238" i="3"/>
  <c r="H238" i="3" s="1"/>
  <c r="F238" i="3"/>
  <c r="Q238" i="3"/>
  <c r="S238" i="3"/>
  <c r="O238" i="3"/>
  <c r="U238" i="3"/>
  <c r="AF238" i="3"/>
  <c r="AK238" i="3"/>
  <c r="AM238" i="3"/>
  <c r="AD238" i="3"/>
  <c r="AE238" i="3"/>
  <c r="M238" i="3"/>
  <c r="V238" i="3"/>
  <c r="R238" i="3"/>
  <c r="T238" i="3"/>
  <c r="P238" i="3"/>
  <c r="AG237" i="3"/>
  <c r="BQ234" i="3"/>
  <c r="BB234" i="3"/>
  <c r="BF234" i="3"/>
  <c r="BJ233" i="3" s="1"/>
  <c r="BK233" i="3" s="1"/>
  <c r="AU236" i="3"/>
  <c r="X237" i="3"/>
  <c r="AH237" i="3"/>
  <c r="BM237" i="3"/>
  <c r="AX236" i="3"/>
  <c r="AY236" i="3" s="1"/>
  <c r="BD234" i="3"/>
  <c r="BG234" i="3"/>
  <c r="BH234" i="3" s="1"/>
  <c r="BI234" i="3" s="1"/>
  <c r="AT236" i="3"/>
  <c r="Y237" i="3"/>
  <c r="Z237" i="3" s="1"/>
  <c r="BA235" i="3"/>
  <c r="AV235" i="3"/>
  <c r="BC235" i="3" s="1"/>
  <c r="AN237" i="3"/>
  <c r="BN237" i="3"/>
  <c r="BM238" i="3" l="1"/>
  <c r="BN238" i="3"/>
  <c r="AW237" i="3"/>
  <c r="AN238" i="3"/>
  <c r="AH238" i="3"/>
  <c r="BD235" i="3"/>
  <c r="BG235" i="3"/>
  <c r="BH235" i="3" s="1"/>
  <c r="BI235" i="3" s="1"/>
  <c r="BA236" i="3"/>
  <c r="AV236" i="3"/>
  <c r="BC236" i="3" s="1"/>
  <c r="Y238" i="3"/>
  <c r="Z238" i="3" s="1"/>
  <c r="AO238" i="3"/>
  <c r="BQ235" i="3"/>
  <c r="BB235" i="3"/>
  <c r="BF235" i="3"/>
  <c r="BJ234" i="3" s="1"/>
  <c r="BK234" i="3" s="1"/>
  <c r="AT237" i="3"/>
  <c r="AX237" i="3"/>
  <c r="AY237" i="3" s="1"/>
  <c r="X238" i="3"/>
  <c r="AU237" i="3"/>
  <c r="AG238" i="3"/>
  <c r="C239" i="3"/>
  <c r="A240" i="3"/>
  <c r="AR239" i="3"/>
  <c r="D239" i="3"/>
  <c r="B239" i="3"/>
  <c r="AQ239" i="3"/>
  <c r="G239" i="3"/>
  <c r="H239" i="3" s="1"/>
  <c r="F239" i="3"/>
  <c r="Q239" i="3"/>
  <c r="S239" i="3"/>
  <c r="O239" i="3"/>
  <c r="U239" i="3"/>
  <c r="AK239" i="3"/>
  <c r="AE239" i="3"/>
  <c r="AF239" i="3"/>
  <c r="AM239" i="3"/>
  <c r="M239" i="3"/>
  <c r="AD239" i="3"/>
  <c r="R239" i="3"/>
  <c r="V239" i="3"/>
  <c r="P239" i="3"/>
  <c r="T239" i="3"/>
  <c r="BM239" i="3" l="1"/>
  <c r="AU238" i="3"/>
  <c r="AO239" i="3"/>
  <c r="X239" i="3"/>
  <c r="AH239" i="3"/>
  <c r="C240" i="3"/>
  <c r="D240" i="3"/>
  <c r="B240" i="3"/>
  <c r="AQ240" i="3"/>
  <c r="AR240" i="3"/>
  <c r="A241" i="3"/>
  <c r="G240" i="3"/>
  <c r="H240" i="3" s="1"/>
  <c r="F240" i="3"/>
  <c r="Q240" i="3"/>
  <c r="S240" i="3"/>
  <c r="O240" i="3"/>
  <c r="U240" i="3"/>
  <c r="AM240" i="3"/>
  <c r="AK240" i="3"/>
  <c r="M240" i="3"/>
  <c r="AF240" i="3"/>
  <c r="AD240" i="3"/>
  <c r="AE240" i="3"/>
  <c r="V240" i="3"/>
  <c r="T240" i="3"/>
  <c r="P240" i="3"/>
  <c r="R240" i="3"/>
  <c r="AX238" i="3"/>
  <c r="Y239" i="3"/>
  <c r="Z239" i="3" s="1"/>
  <c r="BF236" i="3"/>
  <c r="BJ235" i="3" s="1"/>
  <c r="BK235" i="3" s="1"/>
  <c r="BQ236" i="3"/>
  <c r="BB236" i="3"/>
  <c r="AW238" i="3"/>
  <c r="BA237" i="3"/>
  <c r="AV237" i="3"/>
  <c r="BC237" i="3" s="1"/>
  <c r="BD236" i="3"/>
  <c r="BG236" i="3"/>
  <c r="BH236" i="3" s="1"/>
  <c r="BI236" i="3" s="1"/>
  <c r="AN239" i="3"/>
  <c r="BN239" i="3"/>
  <c r="AT238" i="3"/>
  <c r="AG239" i="3"/>
  <c r="BN240" i="3" l="1"/>
  <c r="AW239" i="3"/>
  <c r="AG240" i="3"/>
  <c r="AU239" i="3"/>
  <c r="AX239" i="3"/>
  <c r="AY239" i="3" s="1"/>
  <c r="AO240" i="3"/>
  <c r="BA238" i="3"/>
  <c r="AV238" i="3"/>
  <c r="AN240" i="3"/>
  <c r="Y240" i="3"/>
  <c r="Z240" i="3" s="1"/>
  <c r="AY238" i="3"/>
  <c r="X240" i="3"/>
  <c r="AH240" i="3"/>
  <c r="BD237" i="3"/>
  <c r="BG237" i="3"/>
  <c r="BH237" i="3" s="1"/>
  <c r="BI237" i="3" s="1"/>
  <c r="BB237" i="3"/>
  <c r="BF237" i="3"/>
  <c r="BJ236" i="3" s="1"/>
  <c r="BK236" i="3" s="1"/>
  <c r="BQ237" i="3"/>
  <c r="B241" i="3"/>
  <c r="AR241" i="3"/>
  <c r="AQ241" i="3"/>
  <c r="C241" i="3"/>
  <c r="D241" i="3"/>
  <c r="A242" i="3"/>
  <c r="F241" i="3"/>
  <c r="G241" i="3"/>
  <c r="H241" i="3" s="1"/>
  <c r="Q241" i="3"/>
  <c r="S241" i="3"/>
  <c r="O241" i="3"/>
  <c r="U241" i="3"/>
  <c r="AD241" i="3"/>
  <c r="AK241" i="3"/>
  <c r="AM241" i="3"/>
  <c r="AF241" i="3"/>
  <c r="M241" i="3"/>
  <c r="AE241" i="3"/>
  <c r="V241" i="3"/>
  <c r="T241" i="3"/>
  <c r="P241" i="3"/>
  <c r="R241" i="3"/>
  <c r="BM240" i="3"/>
  <c r="AT239" i="3"/>
  <c r="BN241" i="3" l="1"/>
  <c r="AN241" i="3"/>
  <c r="BM241" i="3"/>
  <c r="AG241" i="3"/>
  <c r="AX240" i="3"/>
  <c r="AT240" i="3"/>
  <c r="AO241" i="3"/>
  <c r="AW240" i="3"/>
  <c r="AY240" i="3" s="1"/>
  <c r="AU240" i="3"/>
  <c r="AH241" i="3"/>
  <c r="BC238" i="3"/>
  <c r="AV239" i="3"/>
  <c r="BC239" i="3" s="1"/>
  <c r="BA239" i="3"/>
  <c r="A243" i="3"/>
  <c r="AQ242" i="3"/>
  <c r="C242" i="3"/>
  <c r="D242" i="3"/>
  <c r="B242" i="3"/>
  <c r="AR242" i="3"/>
  <c r="F242" i="3"/>
  <c r="G242" i="3"/>
  <c r="H242" i="3" s="1"/>
  <c r="Q242" i="3"/>
  <c r="S242" i="3"/>
  <c r="O242" i="3"/>
  <c r="U242" i="3"/>
  <c r="AM242" i="3"/>
  <c r="AD242" i="3"/>
  <c r="AK242" i="3"/>
  <c r="M242" i="3"/>
  <c r="AF242" i="3"/>
  <c r="AE242" i="3"/>
  <c r="V242" i="3"/>
  <c r="P242" i="3"/>
  <c r="T242" i="3"/>
  <c r="R242" i="3"/>
  <c r="Y241" i="3"/>
  <c r="Z241" i="3" s="1"/>
  <c r="X241" i="3"/>
  <c r="BB238" i="3"/>
  <c r="BF238" i="3"/>
  <c r="BJ237" i="3" s="1"/>
  <c r="BK237" i="3" s="1"/>
  <c r="BQ238" i="3"/>
  <c r="AX241" i="3" l="1"/>
  <c r="X242" i="3"/>
  <c r="AN242" i="3"/>
  <c r="AG242" i="3"/>
  <c r="BD238" i="3"/>
  <c r="BG238" i="3"/>
  <c r="BH238" i="3" s="1"/>
  <c r="BI238" i="3" s="1"/>
  <c r="BN242" i="3"/>
  <c r="AU241" i="3"/>
  <c r="C243" i="3"/>
  <c r="D243" i="3"/>
  <c r="B243" i="3"/>
  <c r="A244" i="3"/>
  <c r="AQ243" i="3"/>
  <c r="AR243" i="3"/>
  <c r="G243" i="3"/>
  <c r="H243" i="3" s="1"/>
  <c r="F243" i="3"/>
  <c r="BM243" i="3" s="1"/>
  <c r="Q243" i="3"/>
  <c r="S243" i="3"/>
  <c r="O243" i="3"/>
  <c r="U243" i="3"/>
  <c r="AK243" i="3"/>
  <c r="AM243" i="3"/>
  <c r="AN243" i="3" s="1"/>
  <c r="M243" i="3"/>
  <c r="AE243" i="3"/>
  <c r="AF243" i="3"/>
  <c r="AD243" i="3"/>
  <c r="V243" i="3"/>
  <c r="T243" i="3"/>
  <c r="P243" i="3"/>
  <c r="R243" i="3"/>
  <c r="AT241" i="3"/>
  <c r="BM242" i="3"/>
  <c r="BB239" i="3"/>
  <c r="BF239" i="3"/>
  <c r="BJ238" i="3" s="1"/>
  <c r="BK238" i="3" s="1"/>
  <c r="BQ239" i="3"/>
  <c r="AV240" i="3"/>
  <c r="BC240" i="3" s="1"/>
  <c r="BA240" i="3"/>
  <c r="Y242" i="3"/>
  <c r="Z242" i="3" s="1"/>
  <c r="AO242" i="3"/>
  <c r="AH242" i="3"/>
  <c r="BD239" i="3"/>
  <c r="BG239" i="3"/>
  <c r="BH239" i="3" s="1"/>
  <c r="BI239" i="3" s="1"/>
  <c r="AW241" i="3"/>
  <c r="AY241" i="3" s="1"/>
  <c r="AX242" i="3" l="1"/>
  <c r="Y243" i="3"/>
  <c r="Z243" i="3" s="1"/>
  <c r="AV241" i="3"/>
  <c r="BC241" i="3" s="1"/>
  <c r="BA241" i="3"/>
  <c r="BB240" i="3"/>
  <c r="BQ240" i="3"/>
  <c r="BF240" i="3"/>
  <c r="BJ239" i="3" s="1"/>
  <c r="BK239" i="3" s="1"/>
  <c r="AH243" i="3"/>
  <c r="AG243" i="3"/>
  <c r="X243" i="3"/>
  <c r="AU242" i="3"/>
  <c r="BN243" i="3"/>
  <c r="AW242" i="3"/>
  <c r="AY242" i="3" s="1"/>
  <c r="AO243" i="3"/>
  <c r="BD240" i="3"/>
  <c r="BG240" i="3"/>
  <c r="BH240" i="3" s="1"/>
  <c r="BI240" i="3" s="1"/>
  <c r="A245" i="3"/>
  <c r="B244" i="3"/>
  <c r="AR244" i="3"/>
  <c r="D244" i="3"/>
  <c r="C244" i="3"/>
  <c r="AQ244" i="3"/>
  <c r="G244" i="3"/>
  <c r="H244" i="3" s="1"/>
  <c r="F244" i="3"/>
  <c r="Q244" i="3"/>
  <c r="S244" i="3"/>
  <c r="O244" i="3"/>
  <c r="U244" i="3"/>
  <c r="AK244" i="3"/>
  <c r="AD244" i="3"/>
  <c r="AM244" i="3"/>
  <c r="AF244" i="3"/>
  <c r="AE244" i="3"/>
  <c r="M244" i="3"/>
  <c r="R244" i="3"/>
  <c r="T244" i="3"/>
  <c r="V244" i="3"/>
  <c r="P244" i="3"/>
  <c r="AT242" i="3"/>
  <c r="AT243" i="3" l="1"/>
  <c r="AH244" i="3"/>
  <c r="AO244" i="3"/>
  <c r="X244" i="3"/>
  <c r="AG244" i="3"/>
  <c r="B245" i="3"/>
  <c r="A246" i="3"/>
  <c r="C245" i="3"/>
  <c r="D245" i="3"/>
  <c r="AQ245" i="3"/>
  <c r="AR245" i="3"/>
  <c r="F245" i="3"/>
  <c r="G245" i="3"/>
  <c r="H245" i="3" s="1"/>
  <c r="S245" i="3"/>
  <c r="Q245" i="3"/>
  <c r="O245" i="3"/>
  <c r="U245" i="3"/>
  <c r="AK245" i="3"/>
  <c r="AM245" i="3"/>
  <c r="AE245" i="3"/>
  <c r="M245" i="3"/>
  <c r="AF245" i="3"/>
  <c r="AD245" i="3"/>
  <c r="V245" i="3"/>
  <c r="P245" i="3"/>
  <c r="R245" i="3"/>
  <c r="T245" i="3"/>
  <c r="AW243" i="3"/>
  <c r="BD241" i="3"/>
  <c r="BG241" i="3"/>
  <c r="BH241" i="3" s="1"/>
  <c r="BI241" i="3" s="1"/>
  <c r="Y244" i="3"/>
  <c r="Z244" i="3" s="1"/>
  <c r="BM244" i="3"/>
  <c r="AX243" i="3"/>
  <c r="BF241" i="3"/>
  <c r="BJ240" i="3" s="1"/>
  <c r="BK240" i="3" s="1"/>
  <c r="BQ241" i="3"/>
  <c r="BB241" i="3"/>
  <c r="AV242" i="3"/>
  <c r="BC242" i="3" s="1"/>
  <c r="BA242" i="3"/>
  <c r="AN244" i="3"/>
  <c r="BN244" i="3"/>
  <c r="AU243" i="3"/>
  <c r="AV243" i="3" s="1"/>
  <c r="AT244" i="3" l="1"/>
  <c r="AN245" i="3"/>
  <c r="X245" i="3"/>
  <c r="AU244" i="3"/>
  <c r="AH245" i="3"/>
  <c r="AX244" i="3"/>
  <c r="AY243" i="3"/>
  <c r="BC243" i="3" s="1"/>
  <c r="BQ242" i="3"/>
  <c r="BF242" i="3"/>
  <c r="BJ241" i="3" s="1"/>
  <c r="BK241" i="3" s="1"/>
  <c r="BB242" i="3"/>
  <c r="BD242" i="3"/>
  <c r="BG242" i="3"/>
  <c r="BH242" i="3" s="1"/>
  <c r="BI242" i="3" s="1"/>
  <c r="Y245" i="3"/>
  <c r="Z245" i="3" s="1"/>
  <c r="A247" i="3"/>
  <c r="D246" i="3"/>
  <c r="B246" i="3"/>
  <c r="C246" i="3"/>
  <c r="AQ246" i="3"/>
  <c r="AR246" i="3"/>
  <c r="G246" i="3"/>
  <c r="H246" i="3" s="1"/>
  <c r="F246" i="3"/>
  <c r="Q246" i="3"/>
  <c r="S246" i="3"/>
  <c r="O246" i="3"/>
  <c r="U246" i="3"/>
  <c r="AE246" i="3"/>
  <c r="AM246" i="3"/>
  <c r="AK246" i="3"/>
  <c r="AO246" i="3" s="1"/>
  <c r="AD246" i="3"/>
  <c r="AF246" i="3"/>
  <c r="M246" i="3"/>
  <c r="V246" i="3"/>
  <c r="T246" i="3"/>
  <c r="R246" i="3"/>
  <c r="P246" i="3"/>
  <c r="BN245" i="3"/>
  <c r="AW244" i="3"/>
  <c r="AO245" i="3"/>
  <c r="BA243" i="3"/>
  <c r="AV244" i="3"/>
  <c r="AG245" i="3"/>
  <c r="BM245" i="3"/>
  <c r="BN246" i="3" l="1"/>
  <c r="AY244" i="3"/>
  <c r="BC244" i="3" s="1"/>
  <c r="BD243" i="3"/>
  <c r="BG243" i="3"/>
  <c r="BH243" i="3" s="1"/>
  <c r="BI243" i="3" s="1"/>
  <c r="AW245" i="3"/>
  <c r="AG246" i="3"/>
  <c r="BA244" i="3"/>
  <c r="BF244" i="3" s="1"/>
  <c r="X246" i="3"/>
  <c r="AX245" i="3"/>
  <c r="AU245" i="3"/>
  <c r="Y246" i="3"/>
  <c r="Z246" i="3" s="1"/>
  <c r="BF243" i="3"/>
  <c r="BJ242" i="3" s="1"/>
  <c r="BK242" i="3" s="1"/>
  <c r="BQ243" i="3"/>
  <c r="BB243" i="3"/>
  <c r="AT245" i="3"/>
  <c r="C247" i="3"/>
  <c r="AQ247" i="3"/>
  <c r="B247" i="3"/>
  <c r="A248" i="3"/>
  <c r="D247" i="3"/>
  <c r="AR247" i="3"/>
  <c r="G247" i="3"/>
  <c r="H247" i="3" s="1"/>
  <c r="BN247" i="3" s="1"/>
  <c r="F247" i="3"/>
  <c r="Q247" i="3"/>
  <c r="S247" i="3"/>
  <c r="O247" i="3"/>
  <c r="U247" i="3"/>
  <c r="AM247" i="3"/>
  <c r="M247" i="3"/>
  <c r="AE247" i="3"/>
  <c r="AK247" i="3"/>
  <c r="AF247" i="3"/>
  <c r="AD247" i="3"/>
  <c r="V247" i="3"/>
  <c r="P247" i="3"/>
  <c r="T247" i="3"/>
  <c r="R247" i="3"/>
  <c r="AN246" i="3"/>
  <c r="AH246" i="3"/>
  <c r="BM246" i="3"/>
  <c r="BM247" i="3" l="1"/>
  <c r="BG244" i="3"/>
  <c r="BH244" i="3" s="1"/>
  <c r="BI244" i="3" s="1"/>
  <c r="BD244" i="3"/>
  <c r="AW246" i="3"/>
  <c r="AY245" i="3"/>
  <c r="BB244" i="3"/>
  <c r="AU246" i="3"/>
  <c r="BQ244" i="3"/>
  <c r="AG247" i="3"/>
  <c r="AO247" i="3"/>
  <c r="X247" i="3"/>
  <c r="AQ248" i="3"/>
  <c r="D248" i="3"/>
  <c r="C248" i="3"/>
  <c r="AR248" i="3"/>
  <c r="A249" i="3"/>
  <c r="B248" i="3"/>
  <c r="G248" i="3"/>
  <c r="H248" i="3" s="1"/>
  <c r="F248" i="3"/>
  <c r="S248" i="3"/>
  <c r="Q248" i="3"/>
  <c r="O248" i="3"/>
  <c r="U248" i="3"/>
  <c r="AK248" i="3"/>
  <c r="AD248" i="3"/>
  <c r="M248" i="3"/>
  <c r="AM248" i="3"/>
  <c r="AF248" i="3"/>
  <c r="AE248" i="3"/>
  <c r="V248" i="3"/>
  <c r="P248" i="3"/>
  <c r="R248" i="3"/>
  <c r="T248" i="3"/>
  <c r="BJ243" i="3"/>
  <c r="BK243" i="3" s="1"/>
  <c r="Y247" i="3"/>
  <c r="Z247" i="3" s="1"/>
  <c r="AV245" i="3"/>
  <c r="BA245" i="3"/>
  <c r="AN247" i="3"/>
  <c r="AX246" i="3"/>
  <c r="AY246" i="3" s="1"/>
  <c r="AH247" i="3"/>
  <c r="AT246" i="3"/>
  <c r="AU247" i="3" l="1"/>
  <c r="BC245" i="3"/>
  <c r="BD245" i="3" s="1"/>
  <c r="AG248" i="3"/>
  <c r="AO248" i="3"/>
  <c r="AW247" i="3"/>
  <c r="X248" i="3"/>
  <c r="B249" i="3"/>
  <c r="D249" i="3"/>
  <c r="AQ249" i="3"/>
  <c r="A250" i="3"/>
  <c r="AR249" i="3"/>
  <c r="C249" i="3"/>
  <c r="G249" i="3"/>
  <c r="H249" i="3" s="1"/>
  <c r="F249" i="3"/>
  <c r="Q249" i="3"/>
  <c r="S249" i="3"/>
  <c r="O249" i="3"/>
  <c r="U249" i="3"/>
  <c r="AM249" i="3"/>
  <c r="AE249" i="3"/>
  <c r="M249" i="3"/>
  <c r="AK249" i="3"/>
  <c r="AF249" i="3"/>
  <c r="AD249" i="3"/>
  <c r="V249" i="3"/>
  <c r="P249" i="3"/>
  <c r="R249" i="3"/>
  <c r="T249" i="3"/>
  <c r="BQ245" i="3"/>
  <c r="BB245" i="3"/>
  <c r="BF245" i="3"/>
  <c r="BJ244" i="3" s="1"/>
  <c r="BK244" i="3" s="1"/>
  <c r="BM248" i="3"/>
  <c r="Y248" i="3"/>
  <c r="Z248" i="3" s="1"/>
  <c r="BA246" i="3"/>
  <c r="AV246" i="3"/>
  <c r="BC246" i="3" s="1"/>
  <c r="AN248" i="3"/>
  <c r="BN248" i="3"/>
  <c r="AX247" i="3"/>
  <c r="AY247" i="3" s="1"/>
  <c r="AH248" i="3"/>
  <c r="AX248" i="3" s="1"/>
  <c r="AT247" i="3"/>
  <c r="BN249" i="3" l="1"/>
  <c r="BG245" i="3"/>
  <c r="BH245" i="3" s="1"/>
  <c r="BI245" i="3" s="1"/>
  <c r="AN249" i="3"/>
  <c r="AG249" i="3"/>
  <c r="X249" i="3"/>
  <c r="A251" i="3"/>
  <c r="AR250" i="3"/>
  <c r="B250" i="3"/>
  <c r="AQ250" i="3"/>
  <c r="C250" i="3"/>
  <c r="D250" i="3"/>
  <c r="G250" i="3"/>
  <c r="H250" i="3" s="1"/>
  <c r="F250" i="3"/>
  <c r="Q250" i="3"/>
  <c r="S250" i="3"/>
  <c r="O250" i="3"/>
  <c r="U250" i="3"/>
  <c r="AF250" i="3"/>
  <c r="M250" i="3"/>
  <c r="AK250" i="3"/>
  <c r="AM250" i="3"/>
  <c r="AD250" i="3"/>
  <c r="AE250" i="3"/>
  <c r="R250" i="3"/>
  <c r="V250" i="3"/>
  <c r="P250" i="3"/>
  <c r="T250" i="3"/>
  <c r="Y249" i="3"/>
  <c r="Z249" i="3" s="1"/>
  <c r="AH249" i="3"/>
  <c r="BD246" i="3"/>
  <c r="BG246" i="3"/>
  <c r="BH246" i="3" s="1"/>
  <c r="BI246" i="3" s="1"/>
  <c r="AU248" i="3"/>
  <c r="AW248" i="3"/>
  <c r="AY248" i="3" s="1"/>
  <c r="AT248" i="3"/>
  <c r="AV247" i="3"/>
  <c r="BC247" i="3" s="1"/>
  <c r="BA247" i="3"/>
  <c r="BF246" i="3"/>
  <c r="BJ245" i="3" s="1"/>
  <c r="BK245" i="3" s="1"/>
  <c r="BQ246" i="3"/>
  <c r="BB246" i="3"/>
  <c r="AO249" i="3"/>
  <c r="BM249" i="3"/>
  <c r="AW249" i="3" l="1"/>
  <c r="AU249" i="3"/>
  <c r="AN250" i="3"/>
  <c r="AX249" i="3"/>
  <c r="AY249" i="3" s="1"/>
  <c r="X250" i="3"/>
  <c r="BQ247" i="3"/>
  <c r="BF247" i="3"/>
  <c r="BJ246" i="3" s="1"/>
  <c r="BK246" i="3" s="1"/>
  <c r="BB247" i="3"/>
  <c r="AH250" i="3"/>
  <c r="C251" i="3"/>
  <c r="AR251" i="3"/>
  <c r="D251" i="3"/>
  <c r="A252" i="3"/>
  <c r="AQ251" i="3"/>
  <c r="B251" i="3"/>
  <c r="F251" i="3"/>
  <c r="G251" i="3"/>
  <c r="H251" i="3" s="1"/>
  <c r="Q251" i="3"/>
  <c r="S251" i="3"/>
  <c r="O251" i="3"/>
  <c r="U251" i="3"/>
  <c r="AM251" i="3"/>
  <c r="AE251" i="3"/>
  <c r="AK251" i="3"/>
  <c r="M251" i="3"/>
  <c r="AD251" i="3"/>
  <c r="AF251" i="3"/>
  <c r="V251" i="3"/>
  <c r="T251" i="3"/>
  <c r="P251" i="3"/>
  <c r="R251" i="3"/>
  <c r="AG250" i="3"/>
  <c r="AV248" i="3"/>
  <c r="BC248" i="3" s="1"/>
  <c r="BA248" i="3"/>
  <c r="BM250" i="3"/>
  <c r="Y250" i="3"/>
  <c r="Z250" i="3" s="1"/>
  <c r="BD247" i="3"/>
  <c r="BG247" i="3"/>
  <c r="BH247" i="3" s="1"/>
  <c r="BI247" i="3" s="1"/>
  <c r="AO250" i="3"/>
  <c r="BN250" i="3"/>
  <c r="AT249" i="3"/>
  <c r="BN251" i="3" l="1"/>
  <c r="AH251" i="3"/>
  <c r="AO251" i="3"/>
  <c r="AW250" i="3"/>
  <c r="BM251" i="3"/>
  <c r="X251" i="3"/>
  <c r="A253" i="3"/>
  <c r="D252" i="3"/>
  <c r="AR252" i="3"/>
  <c r="C252" i="3"/>
  <c r="AQ252" i="3"/>
  <c r="B252" i="3"/>
  <c r="G252" i="3"/>
  <c r="H252" i="3" s="1"/>
  <c r="F252" i="3"/>
  <c r="BM252" i="3" s="1"/>
  <c r="Q252" i="3"/>
  <c r="S252" i="3"/>
  <c r="O252" i="3"/>
  <c r="U252" i="3"/>
  <c r="AF252" i="3"/>
  <c r="AD252" i="3"/>
  <c r="M252" i="3"/>
  <c r="AK252" i="3"/>
  <c r="AM252" i="3"/>
  <c r="AN252" i="3" s="1"/>
  <c r="AE252" i="3"/>
  <c r="V252" i="3"/>
  <c r="R252" i="3"/>
  <c r="T252" i="3"/>
  <c r="P252" i="3"/>
  <c r="BD248" i="3"/>
  <c r="BG248" i="3"/>
  <c r="BH248" i="3" s="1"/>
  <c r="BI248" i="3" s="1"/>
  <c r="AG251" i="3"/>
  <c r="AW251" i="3" s="1"/>
  <c r="Y251" i="3"/>
  <c r="Z251" i="3" s="1"/>
  <c r="AX250" i="3"/>
  <c r="AT250" i="3"/>
  <c r="AU250" i="3"/>
  <c r="AN251" i="3"/>
  <c r="BA249" i="3"/>
  <c r="AV249" i="3"/>
  <c r="BC249" i="3" s="1"/>
  <c r="BQ248" i="3"/>
  <c r="BB248" i="3"/>
  <c r="BF248" i="3"/>
  <c r="BJ247" i="3" s="1"/>
  <c r="BK247" i="3" s="1"/>
  <c r="AG252" i="3" l="1"/>
  <c r="Y252" i="3"/>
  <c r="Z252" i="3" s="1"/>
  <c r="AX251" i="3"/>
  <c r="BD249" i="3"/>
  <c r="BG249" i="3"/>
  <c r="BH249" i="3" s="1"/>
  <c r="BI249" i="3" s="1"/>
  <c r="B253" i="3"/>
  <c r="AR253" i="3"/>
  <c r="AQ253" i="3"/>
  <c r="A254" i="3"/>
  <c r="D253" i="3"/>
  <c r="C253" i="3"/>
  <c r="F253" i="3"/>
  <c r="BM253" i="3" s="1"/>
  <c r="G253" i="3"/>
  <c r="H253" i="3" s="1"/>
  <c r="Q253" i="3"/>
  <c r="S253" i="3"/>
  <c r="O253" i="3"/>
  <c r="U253" i="3"/>
  <c r="AK253" i="3"/>
  <c r="AE253" i="3"/>
  <c r="AM253" i="3"/>
  <c r="AF253" i="3"/>
  <c r="AD253" i="3"/>
  <c r="M253" i="3"/>
  <c r="V253" i="3"/>
  <c r="P253" i="3"/>
  <c r="R253" i="3"/>
  <c r="T253" i="3"/>
  <c r="AH252" i="3"/>
  <c r="AU252" i="3" s="1"/>
  <c r="BF249" i="3"/>
  <c r="BJ248" i="3" s="1"/>
  <c r="BK248" i="3" s="1"/>
  <c r="BQ249" i="3"/>
  <c r="BB249" i="3"/>
  <c r="AO252" i="3"/>
  <c r="AW252" i="3" s="1"/>
  <c r="BN252" i="3"/>
  <c r="BA250" i="3"/>
  <c r="AV250" i="3"/>
  <c r="AY250" i="3"/>
  <c r="AT252" i="3"/>
  <c r="AY251" i="3"/>
  <c r="AU251" i="3"/>
  <c r="AT251" i="3"/>
  <c r="X252" i="3"/>
  <c r="AH253" i="3" l="1"/>
  <c r="X253" i="3"/>
  <c r="AO253" i="3"/>
  <c r="BN253" i="3"/>
  <c r="AX252" i="3"/>
  <c r="AY252" i="3" s="1"/>
  <c r="AV251" i="3"/>
  <c r="BC251" i="3" s="1"/>
  <c r="BA251" i="3"/>
  <c r="A255" i="3"/>
  <c r="C254" i="3"/>
  <c r="D254" i="3"/>
  <c r="AQ254" i="3"/>
  <c r="AR254" i="3"/>
  <c r="B254" i="3"/>
  <c r="G254" i="3"/>
  <c r="H254" i="3" s="1"/>
  <c r="BN254" i="3" s="1"/>
  <c r="F254" i="3"/>
  <c r="BM254" i="3" s="1"/>
  <c r="Q254" i="3"/>
  <c r="S254" i="3"/>
  <c r="O254" i="3"/>
  <c r="U254" i="3"/>
  <c r="M254" i="3"/>
  <c r="AM254" i="3"/>
  <c r="AK254" i="3"/>
  <c r="AO254" i="3" s="1"/>
  <c r="AD254" i="3"/>
  <c r="AE254" i="3"/>
  <c r="AF254" i="3"/>
  <c r="V254" i="3"/>
  <c r="R254" i="3"/>
  <c r="P254" i="3"/>
  <c r="T254" i="3"/>
  <c r="Y253" i="3"/>
  <c r="Z253" i="3" s="1"/>
  <c r="BA252" i="3"/>
  <c r="AV252" i="3"/>
  <c r="BC252" i="3" s="1"/>
  <c r="BC250" i="3"/>
  <c r="AN253" i="3"/>
  <c r="BF250" i="3"/>
  <c r="BJ249" i="3" s="1"/>
  <c r="BK249" i="3" s="1"/>
  <c r="BQ250" i="3"/>
  <c r="BB250" i="3"/>
  <c r="AG253" i="3"/>
  <c r="AX253" i="3" l="1"/>
  <c r="AG254" i="3"/>
  <c r="AW253" i="3"/>
  <c r="AY253" i="3" s="1"/>
  <c r="C255" i="3"/>
  <c r="AQ255" i="3"/>
  <c r="A256" i="3"/>
  <c r="AR255" i="3"/>
  <c r="B255" i="3"/>
  <c r="D255" i="3"/>
  <c r="F255" i="3"/>
  <c r="G255" i="3"/>
  <c r="H255" i="3" s="1"/>
  <c r="Q255" i="3"/>
  <c r="S255" i="3"/>
  <c r="O255" i="3"/>
  <c r="U255" i="3"/>
  <c r="AM255" i="3"/>
  <c r="AN255" i="3" s="1"/>
  <c r="AF255" i="3"/>
  <c r="AD255" i="3"/>
  <c r="AK255" i="3"/>
  <c r="AE255" i="3"/>
  <c r="M255" i="3"/>
  <c r="P255" i="3"/>
  <c r="R255" i="3"/>
  <c r="T255" i="3"/>
  <c r="V255" i="3"/>
  <c r="AN254" i="3"/>
  <c r="AU253" i="3"/>
  <c r="BD250" i="3"/>
  <c r="BG250" i="3"/>
  <c r="BH250" i="3" s="1"/>
  <c r="BI250" i="3" s="1"/>
  <c r="BD252" i="3"/>
  <c r="BG252" i="3"/>
  <c r="BH252" i="3" s="1"/>
  <c r="BI252" i="3" s="1"/>
  <c r="BF252" i="3"/>
  <c r="BJ251" i="3" s="1"/>
  <c r="BK251" i="3" s="1"/>
  <c r="BB252" i="3"/>
  <c r="BQ252" i="3"/>
  <c r="BQ251" i="3"/>
  <c r="BB251" i="3"/>
  <c r="BF251" i="3"/>
  <c r="BJ250" i="3" s="1"/>
  <c r="BK250" i="3" s="1"/>
  <c r="BD251" i="3"/>
  <c r="BG251" i="3"/>
  <c r="BH251" i="3" s="1"/>
  <c r="BI251" i="3" s="1"/>
  <c r="AT254" i="3"/>
  <c r="Y254" i="3"/>
  <c r="Z254" i="3" s="1"/>
  <c r="AT253" i="3"/>
  <c r="AH254" i="3"/>
  <c r="AX254" i="3" s="1"/>
  <c r="X254" i="3"/>
  <c r="BM255" i="3" l="1"/>
  <c r="Y255" i="3"/>
  <c r="Z255" i="3" s="1"/>
  <c r="AH255" i="3"/>
  <c r="X255" i="3"/>
  <c r="AG255" i="3"/>
  <c r="B256" i="3"/>
  <c r="AR256" i="3"/>
  <c r="AQ256" i="3"/>
  <c r="A257" i="3"/>
  <c r="D256" i="3"/>
  <c r="C256" i="3"/>
  <c r="F256" i="3"/>
  <c r="BM256" i="3" s="1"/>
  <c r="G256" i="3"/>
  <c r="H256" i="3" s="1"/>
  <c r="Q256" i="3"/>
  <c r="S256" i="3"/>
  <c r="O256" i="3"/>
  <c r="U256" i="3"/>
  <c r="AE256" i="3"/>
  <c r="AF256" i="3"/>
  <c r="AM256" i="3"/>
  <c r="AK256" i="3"/>
  <c r="M256" i="3"/>
  <c r="AD256" i="3"/>
  <c r="R256" i="3"/>
  <c r="V256" i="3"/>
  <c r="P256" i="3"/>
  <c r="T256" i="3"/>
  <c r="AV253" i="3"/>
  <c r="BC253" i="3" s="1"/>
  <c r="BA253" i="3"/>
  <c r="AU254" i="3"/>
  <c r="AO255" i="3"/>
  <c r="BN255" i="3"/>
  <c r="AW254" i="3"/>
  <c r="AY254" i="3" s="1"/>
  <c r="AN256" i="3" l="1"/>
  <c r="BA254" i="3"/>
  <c r="AW255" i="3"/>
  <c r="BQ254" i="3"/>
  <c r="BB254" i="3"/>
  <c r="BF254" i="3"/>
  <c r="BD253" i="3"/>
  <c r="BG253" i="3"/>
  <c r="BH253" i="3" s="1"/>
  <c r="BI253" i="3" s="1"/>
  <c r="AU255" i="3"/>
  <c r="AX255" i="3"/>
  <c r="AG256" i="3"/>
  <c r="X256" i="3"/>
  <c r="AV254" i="3"/>
  <c r="BC254" i="3" s="1"/>
  <c r="Y256" i="3"/>
  <c r="Z256" i="3" s="1"/>
  <c r="B257" i="3"/>
  <c r="D257" i="3"/>
  <c r="C257" i="3"/>
  <c r="A258" i="3"/>
  <c r="AR257" i="3"/>
  <c r="AQ257" i="3"/>
  <c r="F257" i="3"/>
  <c r="G257" i="3"/>
  <c r="H257" i="3" s="1"/>
  <c r="Q257" i="3"/>
  <c r="S257" i="3"/>
  <c r="O257" i="3"/>
  <c r="U257" i="3"/>
  <c r="AK257" i="3"/>
  <c r="AF257" i="3"/>
  <c r="AE257" i="3"/>
  <c r="AM257" i="3"/>
  <c r="AN257" i="3" s="1"/>
  <c r="AD257" i="3"/>
  <c r="AH257" i="3" s="1"/>
  <c r="M257" i="3"/>
  <c r="V257" i="3"/>
  <c r="R257" i="3"/>
  <c r="P257" i="3"/>
  <c r="T257" i="3"/>
  <c r="AH256" i="3"/>
  <c r="AX256" i="3" s="1"/>
  <c r="BQ253" i="3"/>
  <c r="BB253" i="3"/>
  <c r="BF253" i="3"/>
  <c r="BJ252" i="3" s="1"/>
  <c r="BK252" i="3" s="1"/>
  <c r="AO256" i="3"/>
  <c r="BN256" i="3"/>
  <c r="AT255" i="3"/>
  <c r="AY255" i="3" l="1"/>
  <c r="AT256" i="3"/>
  <c r="Y257" i="3"/>
  <c r="Z257" i="3" s="1"/>
  <c r="BN257" i="3"/>
  <c r="AU256" i="3"/>
  <c r="AU257" i="3"/>
  <c r="BD254" i="3"/>
  <c r="BG254" i="3"/>
  <c r="BH254" i="3" s="1"/>
  <c r="BI254" i="3" s="1"/>
  <c r="BJ253" i="3"/>
  <c r="BK253" i="3" s="1"/>
  <c r="AG257" i="3"/>
  <c r="AT257" i="3"/>
  <c r="BM257" i="3"/>
  <c r="AV255" i="3"/>
  <c r="BC255" i="3" s="1"/>
  <c r="BA255" i="3"/>
  <c r="AO257" i="3"/>
  <c r="AX257" i="3" s="1"/>
  <c r="X257" i="3"/>
  <c r="A259" i="3"/>
  <c r="AR258" i="3"/>
  <c r="AQ258" i="3"/>
  <c r="C258" i="3"/>
  <c r="D258" i="3"/>
  <c r="B258" i="3"/>
  <c r="G258" i="3"/>
  <c r="H258" i="3" s="1"/>
  <c r="F258" i="3"/>
  <c r="S258" i="3"/>
  <c r="Q258" i="3"/>
  <c r="O258" i="3"/>
  <c r="U258" i="3"/>
  <c r="AF258" i="3"/>
  <c r="AD258" i="3"/>
  <c r="AK258" i="3"/>
  <c r="AM258" i="3"/>
  <c r="AN258" i="3" s="1"/>
  <c r="AE258" i="3"/>
  <c r="M258" i="3"/>
  <c r="V258" i="3"/>
  <c r="R258" i="3"/>
  <c r="P258" i="3"/>
  <c r="T258" i="3"/>
  <c r="AW256" i="3"/>
  <c r="AY256" i="3" s="1"/>
  <c r="X258" i="3" l="1"/>
  <c r="BA256" i="3"/>
  <c r="AW257" i="3"/>
  <c r="BB256" i="3"/>
  <c r="BF256" i="3"/>
  <c r="BQ256" i="3"/>
  <c r="BD255" i="3"/>
  <c r="BG255" i="3"/>
  <c r="BH255" i="3" s="1"/>
  <c r="BI255" i="3" s="1"/>
  <c r="AG258" i="3"/>
  <c r="BM258" i="3"/>
  <c r="Y258" i="3"/>
  <c r="Z258" i="3" s="1"/>
  <c r="AV257" i="3"/>
  <c r="BA257" i="3"/>
  <c r="D259" i="3"/>
  <c r="B259" i="3"/>
  <c r="A260" i="3"/>
  <c r="AR259" i="3"/>
  <c r="AQ259" i="3"/>
  <c r="C259" i="3"/>
  <c r="G259" i="3"/>
  <c r="H259" i="3" s="1"/>
  <c r="F259" i="3"/>
  <c r="BM259" i="3" s="1"/>
  <c r="Q259" i="3"/>
  <c r="S259" i="3"/>
  <c r="O259" i="3"/>
  <c r="U259" i="3"/>
  <c r="AF259" i="3"/>
  <c r="M259" i="3"/>
  <c r="AK259" i="3"/>
  <c r="AM259" i="3"/>
  <c r="AN259" i="3" s="1"/>
  <c r="AD259" i="3"/>
  <c r="AE259" i="3"/>
  <c r="T259" i="3"/>
  <c r="P259" i="3"/>
  <c r="V259" i="3"/>
  <c r="R259" i="3"/>
  <c r="BN258" i="3"/>
  <c r="AV256" i="3"/>
  <c r="BC256" i="3" s="1"/>
  <c r="AY257" i="3"/>
  <c r="AO258" i="3"/>
  <c r="AH258" i="3"/>
  <c r="AX258" i="3" s="1"/>
  <c r="BQ255" i="3"/>
  <c r="BF255" i="3"/>
  <c r="BJ254" i="3" s="1"/>
  <c r="BK254" i="3" s="1"/>
  <c r="BB255" i="3"/>
  <c r="AG259" i="3" l="1"/>
  <c r="X259" i="3"/>
  <c r="AW258" i="3"/>
  <c r="AY258" i="3" s="1"/>
  <c r="C260" i="3"/>
  <c r="D260" i="3"/>
  <c r="AQ260" i="3"/>
  <c r="A261" i="3"/>
  <c r="B260" i="3"/>
  <c r="AR260" i="3"/>
  <c r="F260" i="3"/>
  <c r="G260" i="3"/>
  <c r="H260" i="3" s="1"/>
  <c r="S260" i="3"/>
  <c r="Q260" i="3"/>
  <c r="O260" i="3"/>
  <c r="U260" i="3"/>
  <c r="AD260" i="3"/>
  <c r="M260" i="3"/>
  <c r="AK260" i="3"/>
  <c r="AM260" i="3"/>
  <c r="AN260" i="3" s="1"/>
  <c r="AF260" i="3"/>
  <c r="AE260" i="3"/>
  <c r="R260" i="3"/>
  <c r="T260" i="3"/>
  <c r="V260" i="3"/>
  <c r="P260" i="3"/>
  <c r="AT258" i="3"/>
  <c r="AU258" i="3"/>
  <c r="BN259" i="3"/>
  <c r="BC257" i="3"/>
  <c r="AH259" i="3"/>
  <c r="BD256" i="3"/>
  <c r="BG256" i="3"/>
  <c r="BH256" i="3" s="1"/>
  <c r="BI256" i="3" s="1"/>
  <c r="BF257" i="3"/>
  <c r="BJ256" i="3" s="1"/>
  <c r="BK256" i="3" s="1"/>
  <c r="BQ257" i="3"/>
  <c r="BB257" i="3"/>
  <c r="BJ255" i="3"/>
  <c r="BK255" i="3" s="1"/>
  <c r="AO259" i="3"/>
  <c r="Y259" i="3"/>
  <c r="Z259" i="3" s="1"/>
  <c r="AH260" i="3" l="1"/>
  <c r="AW259" i="3"/>
  <c r="AT259" i="3"/>
  <c r="X260" i="3"/>
  <c r="B261" i="3"/>
  <c r="AR261" i="3"/>
  <c r="A262" i="3"/>
  <c r="C261" i="3"/>
  <c r="AQ261" i="3"/>
  <c r="D261" i="3"/>
  <c r="G261" i="3"/>
  <c r="H261" i="3" s="1"/>
  <c r="BN261" i="3" s="1"/>
  <c r="F261" i="3"/>
  <c r="S261" i="3"/>
  <c r="Q261" i="3"/>
  <c r="O261" i="3"/>
  <c r="U261" i="3"/>
  <c r="AM261" i="3"/>
  <c r="AK261" i="3"/>
  <c r="AF261" i="3"/>
  <c r="AD261" i="3"/>
  <c r="M261" i="3"/>
  <c r="AE261" i="3"/>
  <c r="AG261" i="3" s="1"/>
  <c r="P261" i="3"/>
  <c r="R261" i="3"/>
  <c r="T261" i="3"/>
  <c r="V261" i="3"/>
  <c r="AG260" i="3"/>
  <c r="AU260" i="3" s="1"/>
  <c r="BD257" i="3"/>
  <c r="BG257" i="3"/>
  <c r="BH257" i="3" s="1"/>
  <c r="BI257" i="3" s="1"/>
  <c r="Y260" i="3"/>
  <c r="Z260" i="3" s="1"/>
  <c r="BN260" i="3"/>
  <c r="AT260" i="3"/>
  <c r="AX259" i="3"/>
  <c r="AU259" i="3"/>
  <c r="BA258" i="3"/>
  <c r="AV258" i="3"/>
  <c r="BC258" i="3" s="1"/>
  <c r="AO260" i="3"/>
  <c r="AW260" i="3" s="1"/>
  <c r="BM260" i="3"/>
  <c r="AY259" i="3" l="1"/>
  <c r="X261" i="3"/>
  <c r="AN261" i="3"/>
  <c r="BD258" i="3"/>
  <c r="BG258" i="3"/>
  <c r="BH258" i="3" s="1"/>
  <c r="BI258" i="3" s="1"/>
  <c r="BB258" i="3"/>
  <c r="BF258" i="3"/>
  <c r="BJ257" i="3" s="1"/>
  <c r="BK257" i="3" s="1"/>
  <c r="BQ258" i="3"/>
  <c r="BM261" i="3"/>
  <c r="AX260" i="3"/>
  <c r="AY260" i="3" s="1"/>
  <c r="AV260" i="3"/>
  <c r="BC260" i="3" s="1"/>
  <c r="BA260" i="3"/>
  <c r="BA259" i="3"/>
  <c r="AV259" i="3"/>
  <c r="BC259" i="3" s="1"/>
  <c r="A263" i="3"/>
  <c r="B262" i="3"/>
  <c r="AQ262" i="3"/>
  <c r="C262" i="3"/>
  <c r="AR262" i="3"/>
  <c r="D262" i="3"/>
  <c r="G262" i="3"/>
  <c r="H262" i="3" s="1"/>
  <c r="BN262" i="3" s="1"/>
  <c r="F262" i="3"/>
  <c r="BM262" i="3" s="1"/>
  <c r="S262" i="3"/>
  <c r="Q262" i="3"/>
  <c r="O262" i="3"/>
  <c r="U262" i="3"/>
  <c r="AK262" i="3"/>
  <c r="AF262" i="3"/>
  <c r="AM262" i="3"/>
  <c r="AN262" i="3" s="1"/>
  <c r="AD262" i="3"/>
  <c r="M262" i="3"/>
  <c r="AE262" i="3"/>
  <c r="P262" i="3"/>
  <c r="T262" i="3"/>
  <c r="V262" i="3"/>
  <c r="R262" i="3"/>
  <c r="AH261" i="3"/>
  <c r="AT261" i="3" s="1"/>
  <c r="AO261" i="3"/>
  <c r="Y261" i="3"/>
  <c r="Z261" i="3" s="1"/>
  <c r="AG262" i="3" l="1"/>
  <c r="BQ259" i="3"/>
  <c r="BB259" i="3"/>
  <c r="BF259" i="3"/>
  <c r="BJ258" i="3" s="1"/>
  <c r="BK258" i="3" s="1"/>
  <c r="D263" i="3"/>
  <c r="C263" i="3"/>
  <c r="AR263" i="3"/>
  <c r="AQ263" i="3"/>
  <c r="B263" i="3"/>
  <c r="A264" i="3"/>
  <c r="F263" i="3"/>
  <c r="G263" i="3"/>
  <c r="H263" i="3" s="1"/>
  <c r="S263" i="3"/>
  <c r="Q263" i="3"/>
  <c r="O263" i="3"/>
  <c r="U263" i="3"/>
  <c r="AF263" i="3"/>
  <c r="AK263" i="3"/>
  <c r="AD263" i="3"/>
  <c r="M263" i="3"/>
  <c r="AM263" i="3"/>
  <c r="AN263" i="3" s="1"/>
  <c r="AE263" i="3"/>
  <c r="V263" i="3"/>
  <c r="P263" i="3"/>
  <c r="T263" i="3"/>
  <c r="R263" i="3"/>
  <c r="BD259" i="3"/>
  <c r="BG259" i="3"/>
  <c r="BH259" i="3" s="1"/>
  <c r="BI259" i="3" s="1"/>
  <c r="AX261" i="3"/>
  <c r="AO262" i="3"/>
  <c r="AH262" i="3"/>
  <c r="AU262" i="3" s="1"/>
  <c r="BB260" i="3"/>
  <c r="BQ260" i="3"/>
  <c r="BF260" i="3"/>
  <c r="Y262" i="3"/>
  <c r="Z262" i="3" s="1"/>
  <c r="BD260" i="3"/>
  <c r="BG260" i="3"/>
  <c r="BH260" i="3" s="1"/>
  <c r="BI260" i="3" s="1"/>
  <c r="X262" i="3"/>
  <c r="AW261" i="3"/>
  <c r="AU261" i="3"/>
  <c r="AV261" i="3" s="1"/>
  <c r="AG263" i="3" l="1"/>
  <c r="Y263" i="3"/>
  <c r="Z263" i="3" s="1"/>
  <c r="AT262" i="3"/>
  <c r="BJ259" i="3"/>
  <c r="BK259" i="3" s="1"/>
  <c r="BM263" i="3"/>
  <c r="AO263" i="3"/>
  <c r="A265" i="3"/>
  <c r="B264" i="3"/>
  <c r="AQ264" i="3"/>
  <c r="C264" i="3"/>
  <c r="D264" i="3"/>
  <c r="AR264" i="3"/>
  <c r="F264" i="3"/>
  <c r="G264" i="3"/>
  <c r="H264" i="3" s="1"/>
  <c r="BN264" i="3" s="1"/>
  <c r="S264" i="3"/>
  <c r="Q264" i="3"/>
  <c r="O264" i="3"/>
  <c r="U264" i="3"/>
  <c r="AE264" i="3"/>
  <c r="AF264" i="3"/>
  <c r="AK264" i="3"/>
  <c r="AM264" i="3"/>
  <c r="AD264" i="3"/>
  <c r="AH264" i="3" s="1"/>
  <c r="M264" i="3"/>
  <c r="V264" i="3"/>
  <c r="T264" i="3"/>
  <c r="P264" i="3"/>
  <c r="R264" i="3"/>
  <c r="BN263" i="3"/>
  <c r="AV262" i="3"/>
  <c r="AY261" i="3"/>
  <c r="BC261" i="3" s="1"/>
  <c r="AH263" i="3"/>
  <c r="AT263" i="3" s="1"/>
  <c r="AX262" i="3"/>
  <c r="BA261" i="3"/>
  <c r="X263" i="3"/>
  <c r="AW262" i="3"/>
  <c r="BA262" i="3" s="1"/>
  <c r="AN264" i="3" l="1"/>
  <c r="AW263" i="3"/>
  <c r="AU263" i="3"/>
  <c r="AV263" i="3" s="1"/>
  <c r="X264" i="3"/>
  <c r="BD261" i="3"/>
  <c r="BG261" i="3"/>
  <c r="BH261" i="3" s="1"/>
  <c r="BI261" i="3" s="1"/>
  <c r="BF262" i="3"/>
  <c r="BB262" i="3"/>
  <c r="BQ262" i="3"/>
  <c r="BM264" i="3"/>
  <c r="B265" i="3"/>
  <c r="AQ265" i="3"/>
  <c r="A266" i="3"/>
  <c r="C265" i="3"/>
  <c r="AR265" i="3"/>
  <c r="D265" i="3"/>
  <c r="F265" i="3"/>
  <c r="G265" i="3"/>
  <c r="H265" i="3" s="1"/>
  <c r="S265" i="3"/>
  <c r="Q265" i="3"/>
  <c r="O265" i="3"/>
  <c r="U265" i="3"/>
  <c r="M265" i="3"/>
  <c r="AM265" i="3"/>
  <c r="AK265" i="3"/>
  <c r="AD265" i="3"/>
  <c r="AF265" i="3"/>
  <c r="AE265" i="3"/>
  <c r="R265" i="3"/>
  <c r="V265" i="3"/>
  <c r="T265" i="3"/>
  <c r="P265" i="3"/>
  <c r="AO264" i="3"/>
  <c r="Y264" i="3"/>
  <c r="Z264" i="3" s="1"/>
  <c r="BF261" i="3"/>
  <c r="BJ260" i="3" s="1"/>
  <c r="BK260" i="3" s="1"/>
  <c r="BB261" i="3"/>
  <c r="BQ261" i="3"/>
  <c r="AY262" i="3"/>
  <c r="BC262" i="3" s="1"/>
  <c r="AX263" i="3"/>
  <c r="AY263" i="3" s="1"/>
  <c r="AG264" i="3"/>
  <c r="BN265" i="3" l="1"/>
  <c r="AW264" i="3"/>
  <c r="AT264" i="3"/>
  <c r="AO265" i="3"/>
  <c r="AG265" i="3"/>
  <c r="AU264" i="3"/>
  <c r="AV264" i="3" s="1"/>
  <c r="BD262" i="3"/>
  <c r="BG262" i="3"/>
  <c r="BH262" i="3" s="1"/>
  <c r="BI262" i="3" s="1"/>
  <c r="X265" i="3"/>
  <c r="BJ261" i="3"/>
  <c r="BK261" i="3" s="1"/>
  <c r="AH265" i="3"/>
  <c r="BM265" i="3"/>
  <c r="BC263" i="3"/>
  <c r="Y265" i="3"/>
  <c r="Z265" i="3" s="1"/>
  <c r="A267" i="3"/>
  <c r="D266" i="3"/>
  <c r="C266" i="3"/>
  <c r="AR266" i="3"/>
  <c r="B266" i="3"/>
  <c r="AQ266" i="3"/>
  <c r="F266" i="3"/>
  <c r="G266" i="3"/>
  <c r="H266" i="3" s="1"/>
  <c r="Q266" i="3"/>
  <c r="S266" i="3"/>
  <c r="O266" i="3"/>
  <c r="U266" i="3"/>
  <c r="AM266" i="3"/>
  <c r="AK266" i="3"/>
  <c r="AO266" i="3" s="1"/>
  <c r="AF266" i="3"/>
  <c r="AE266" i="3"/>
  <c r="AD266" i="3"/>
  <c r="M266" i="3"/>
  <c r="V266" i="3"/>
  <c r="T266" i="3"/>
  <c r="P266" i="3"/>
  <c r="R266" i="3"/>
  <c r="AU265" i="3"/>
  <c r="AN265" i="3"/>
  <c r="AW265" i="3" s="1"/>
  <c r="AX264" i="3"/>
  <c r="BA263" i="3"/>
  <c r="AT265" i="3" l="1"/>
  <c r="BA264" i="3"/>
  <c r="AH266" i="3"/>
  <c r="X266" i="3"/>
  <c r="BF264" i="3"/>
  <c r="BQ264" i="3"/>
  <c r="BB264" i="3"/>
  <c r="BQ263" i="3"/>
  <c r="BB263" i="3"/>
  <c r="BF263" i="3"/>
  <c r="BJ262" i="3" s="1"/>
  <c r="BK262" i="3" s="1"/>
  <c r="C267" i="3"/>
  <c r="AQ267" i="3"/>
  <c r="B267" i="3"/>
  <c r="AR267" i="3"/>
  <c r="D267" i="3"/>
  <c r="A268" i="3"/>
  <c r="G267" i="3"/>
  <c r="H267" i="3" s="1"/>
  <c r="F267" i="3"/>
  <c r="Q267" i="3"/>
  <c r="S267" i="3"/>
  <c r="O267" i="3"/>
  <c r="U267" i="3"/>
  <c r="M267" i="3"/>
  <c r="AK267" i="3"/>
  <c r="AM267" i="3"/>
  <c r="AD267" i="3"/>
  <c r="AE267" i="3"/>
  <c r="AF267" i="3"/>
  <c r="T267" i="3"/>
  <c r="V267" i="3"/>
  <c r="R267" i="3"/>
  <c r="P267" i="3"/>
  <c r="AY264" i="3"/>
  <c r="BC264" i="3" s="1"/>
  <c r="BD263" i="3"/>
  <c r="BG263" i="3"/>
  <c r="BH263" i="3" s="1"/>
  <c r="BI263" i="3" s="1"/>
  <c r="Y266" i="3"/>
  <c r="Z266" i="3" s="1"/>
  <c r="BN266" i="3"/>
  <c r="AG266" i="3"/>
  <c r="BM266" i="3"/>
  <c r="AV265" i="3"/>
  <c r="AN266" i="3"/>
  <c r="AX265" i="3"/>
  <c r="BA265" i="3" s="1"/>
  <c r="BM267" i="3" l="1"/>
  <c r="AO267" i="3"/>
  <c r="AW266" i="3"/>
  <c r="BF265" i="3"/>
  <c r="BJ264" i="3" s="1"/>
  <c r="BK264" i="3" s="1"/>
  <c r="BQ265" i="3"/>
  <c r="BB265" i="3"/>
  <c r="Y267" i="3"/>
  <c r="Z267" i="3" s="1"/>
  <c r="AU266" i="3"/>
  <c r="AG267" i="3"/>
  <c r="AY265" i="3"/>
  <c r="AH267" i="3"/>
  <c r="AR268" i="3"/>
  <c r="AQ268" i="3"/>
  <c r="D268" i="3"/>
  <c r="B268" i="3"/>
  <c r="C268" i="3"/>
  <c r="A269" i="3"/>
  <c r="G268" i="3"/>
  <c r="H268" i="3" s="1"/>
  <c r="F268" i="3"/>
  <c r="Q268" i="3"/>
  <c r="S268" i="3"/>
  <c r="O268" i="3"/>
  <c r="U268" i="3"/>
  <c r="AE268" i="3"/>
  <c r="AF268" i="3"/>
  <c r="AK268" i="3"/>
  <c r="AM268" i="3"/>
  <c r="AN268" i="3" s="1"/>
  <c r="M268" i="3"/>
  <c r="AD268" i="3"/>
  <c r="P268" i="3"/>
  <c r="V268" i="3"/>
  <c r="T268" i="3"/>
  <c r="R268" i="3"/>
  <c r="AX266" i="3"/>
  <c r="X267" i="3"/>
  <c r="BD264" i="3"/>
  <c r="BG264" i="3"/>
  <c r="BH264" i="3" s="1"/>
  <c r="BI264" i="3" s="1"/>
  <c r="AT266" i="3"/>
  <c r="BC265" i="3"/>
  <c r="AN267" i="3"/>
  <c r="BN267" i="3"/>
  <c r="BJ263" i="3"/>
  <c r="BK263" i="3" s="1"/>
  <c r="AU267" i="3" l="1"/>
  <c r="BM268" i="3"/>
  <c r="AY266" i="3"/>
  <c r="AX267" i="3"/>
  <c r="BD265" i="3"/>
  <c r="BG265" i="3"/>
  <c r="BH265" i="3" s="1"/>
  <c r="BI265" i="3" s="1"/>
  <c r="X268" i="3"/>
  <c r="AV266" i="3"/>
  <c r="BC266" i="3" s="1"/>
  <c r="BA266" i="3"/>
  <c r="Y268" i="3"/>
  <c r="Z268" i="3" s="1"/>
  <c r="BN268" i="3"/>
  <c r="AO268" i="3"/>
  <c r="AH268" i="3"/>
  <c r="B269" i="3"/>
  <c r="C269" i="3"/>
  <c r="D269" i="3"/>
  <c r="AR269" i="3"/>
  <c r="AQ269" i="3"/>
  <c r="A270" i="3"/>
  <c r="G269" i="3"/>
  <c r="H269" i="3" s="1"/>
  <c r="F269" i="3"/>
  <c r="S269" i="3"/>
  <c r="Q269" i="3"/>
  <c r="O269" i="3"/>
  <c r="U269" i="3"/>
  <c r="AF269" i="3"/>
  <c r="AM269" i="3"/>
  <c r="AK269" i="3"/>
  <c r="AD269" i="3"/>
  <c r="M269" i="3"/>
  <c r="AE269" i="3"/>
  <c r="V269" i="3"/>
  <c r="T269" i="3"/>
  <c r="R269" i="3"/>
  <c r="P269" i="3"/>
  <c r="AT267" i="3"/>
  <c r="AG268" i="3"/>
  <c r="AW267" i="3"/>
  <c r="AY267" i="3" s="1"/>
  <c r="X269" i="3" l="1"/>
  <c r="AO269" i="3"/>
  <c r="AG269" i="3"/>
  <c r="AW268" i="3"/>
  <c r="Y269" i="3"/>
  <c r="Z269" i="3" s="1"/>
  <c r="BM269" i="3"/>
  <c r="BD266" i="3"/>
  <c r="BG266" i="3"/>
  <c r="BH266" i="3" s="1"/>
  <c r="BI266" i="3" s="1"/>
  <c r="BA267" i="3"/>
  <c r="AV267" i="3"/>
  <c r="BC267" i="3" s="1"/>
  <c r="AN269" i="3"/>
  <c r="A271" i="3"/>
  <c r="AR270" i="3"/>
  <c r="B270" i="3"/>
  <c r="C270" i="3"/>
  <c r="D270" i="3"/>
  <c r="AQ270" i="3"/>
  <c r="F270" i="3"/>
  <c r="G270" i="3"/>
  <c r="H270" i="3" s="1"/>
  <c r="Q270" i="3"/>
  <c r="S270" i="3"/>
  <c r="O270" i="3"/>
  <c r="U270" i="3"/>
  <c r="AD270" i="3"/>
  <c r="AH270" i="3" s="1"/>
  <c r="M270" i="3"/>
  <c r="AM270" i="3"/>
  <c r="AK270" i="3"/>
  <c r="AF270" i="3"/>
  <c r="AE270" i="3"/>
  <c r="V270" i="3"/>
  <c r="R270" i="3"/>
  <c r="T270" i="3"/>
  <c r="P270" i="3"/>
  <c r="BQ266" i="3"/>
  <c r="BF266" i="3"/>
  <c r="BJ265" i="3" s="1"/>
  <c r="BK265" i="3" s="1"/>
  <c r="BB266" i="3"/>
  <c r="AU268" i="3"/>
  <c r="AX268" i="3"/>
  <c r="AY268" i="3" s="1"/>
  <c r="BN269" i="3"/>
  <c r="AH269" i="3"/>
  <c r="AX269" i="3" s="1"/>
  <c r="AT268" i="3"/>
  <c r="AO270" i="3" l="1"/>
  <c r="BF267" i="3"/>
  <c r="BQ267" i="3"/>
  <c r="BB267" i="3"/>
  <c r="D271" i="3"/>
  <c r="A272" i="3"/>
  <c r="AR271" i="3"/>
  <c r="C271" i="3"/>
  <c r="B271" i="3"/>
  <c r="AQ271" i="3"/>
  <c r="F271" i="3"/>
  <c r="G271" i="3"/>
  <c r="H271" i="3" s="1"/>
  <c r="Q271" i="3"/>
  <c r="S271" i="3"/>
  <c r="O271" i="3"/>
  <c r="U271" i="3"/>
  <c r="AK271" i="3"/>
  <c r="AM271" i="3"/>
  <c r="AF271" i="3"/>
  <c r="AD271" i="3"/>
  <c r="M271" i="3"/>
  <c r="AE271" i="3"/>
  <c r="AG271" i="3" s="1"/>
  <c r="R271" i="3"/>
  <c r="T271" i="3"/>
  <c r="V271" i="3"/>
  <c r="P271" i="3"/>
  <c r="X270" i="3"/>
  <c r="Y270" i="3"/>
  <c r="Z270" i="3" s="1"/>
  <c r="BN270" i="3"/>
  <c r="AG270" i="3"/>
  <c r="AT270" i="3" s="1"/>
  <c r="AT269" i="3"/>
  <c r="BA268" i="3"/>
  <c r="AV268" i="3"/>
  <c r="BC268" i="3" s="1"/>
  <c r="AU269" i="3"/>
  <c r="AW269" i="3"/>
  <c r="AY269" i="3" s="1"/>
  <c r="AN270" i="3"/>
  <c r="BM270" i="3"/>
  <c r="BD267" i="3"/>
  <c r="BG267" i="3"/>
  <c r="BH267" i="3" s="1"/>
  <c r="BI267" i="3" s="1"/>
  <c r="BM271" i="3" l="1"/>
  <c r="AN271" i="3"/>
  <c r="AX270" i="3"/>
  <c r="BN271" i="3"/>
  <c r="BA269" i="3"/>
  <c r="AV269" i="3"/>
  <c r="BC269" i="3" s="1"/>
  <c r="BJ266" i="3"/>
  <c r="BK266" i="3" s="1"/>
  <c r="D272" i="3"/>
  <c r="C272" i="3"/>
  <c r="B272" i="3"/>
  <c r="AR272" i="3"/>
  <c r="A273" i="3"/>
  <c r="AQ272" i="3"/>
  <c r="F272" i="3"/>
  <c r="G272" i="3"/>
  <c r="H272" i="3" s="1"/>
  <c r="Q272" i="3"/>
  <c r="S272" i="3"/>
  <c r="O272" i="3"/>
  <c r="U272" i="3"/>
  <c r="AM272" i="3"/>
  <c r="AK272" i="3"/>
  <c r="AO272" i="3" s="1"/>
  <c r="AD272" i="3"/>
  <c r="AE272" i="3"/>
  <c r="AF272" i="3"/>
  <c r="M272" i="3"/>
  <c r="V272" i="3"/>
  <c r="P272" i="3"/>
  <c r="R272" i="3"/>
  <c r="T272" i="3"/>
  <c r="AH271" i="3"/>
  <c r="AU271" i="3" s="1"/>
  <c r="BF268" i="3"/>
  <c r="BJ267" i="3" s="1"/>
  <c r="BK267" i="3" s="1"/>
  <c r="BB268" i="3"/>
  <c r="BQ268" i="3"/>
  <c r="AW270" i="3"/>
  <c r="AO271" i="3"/>
  <c r="AU270" i="3"/>
  <c r="AV270" i="3" s="1"/>
  <c r="BD268" i="3"/>
  <c r="BG268" i="3"/>
  <c r="BH268" i="3" s="1"/>
  <c r="BI268" i="3" s="1"/>
  <c r="Y271" i="3"/>
  <c r="Z271" i="3" s="1"/>
  <c r="X271" i="3"/>
  <c r="AY270" i="3" l="1"/>
  <c r="BM272" i="3"/>
  <c r="BC270" i="3"/>
  <c r="AW271" i="3"/>
  <c r="BD270" i="3"/>
  <c r="BG270" i="3"/>
  <c r="BH270" i="3" s="1"/>
  <c r="BI270" i="3" s="1"/>
  <c r="BF269" i="3"/>
  <c r="BJ268" i="3" s="1"/>
  <c r="BK268" i="3" s="1"/>
  <c r="BQ269" i="3"/>
  <c r="BB269" i="3"/>
  <c r="BA270" i="3"/>
  <c r="AN272" i="3"/>
  <c r="Y272" i="3"/>
  <c r="Z272" i="3" s="1"/>
  <c r="AH272" i="3"/>
  <c r="B273" i="3"/>
  <c r="AR273" i="3"/>
  <c r="AQ273" i="3"/>
  <c r="D273" i="3"/>
  <c r="C273" i="3"/>
  <c r="A274" i="3"/>
  <c r="G273" i="3"/>
  <c r="H273" i="3" s="1"/>
  <c r="F273" i="3"/>
  <c r="BM273" i="3" s="1"/>
  <c r="Q273" i="3"/>
  <c r="S273" i="3"/>
  <c r="O273" i="3"/>
  <c r="U273" i="3"/>
  <c r="M273" i="3"/>
  <c r="AM273" i="3"/>
  <c r="AK273" i="3"/>
  <c r="AD273" i="3"/>
  <c r="AE273" i="3"/>
  <c r="AF273" i="3"/>
  <c r="P273" i="3"/>
  <c r="V273" i="3"/>
  <c r="R273" i="3"/>
  <c r="T273" i="3"/>
  <c r="BD269" i="3"/>
  <c r="BG269" i="3"/>
  <c r="BH269" i="3" s="1"/>
  <c r="BI269" i="3" s="1"/>
  <c r="X272" i="3"/>
  <c r="AX271" i="3"/>
  <c r="AY271" i="3" s="1"/>
  <c r="AG272" i="3"/>
  <c r="BN272" i="3"/>
  <c r="AT271" i="3"/>
  <c r="BN273" i="3" l="1"/>
  <c r="AW272" i="3"/>
  <c r="AT272" i="3"/>
  <c r="AO273" i="3"/>
  <c r="AH273" i="3"/>
  <c r="AN273" i="3"/>
  <c r="A275" i="3"/>
  <c r="AQ274" i="3"/>
  <c r="C274" i="3"/>
  <c r="D274" i="3"/>
  <c r="B274" i="3"/>
  <c r="AR274" i="3"/>
  <c r="F274" i="3"/>
  <c r="G274" i="3"/>
  <c r="H274" i="3" s="1"/>
  <c r="BN274" i="3" s="1"/>
  <c r="Q274" i="3"/>
  <c r="S274" i="3"/>
  <c r="O274" i="3"/>
  <c r="U274" i="3"/>
  <c r="AK274" i="3"/>
  <c r="AD274" i="3"/>
  <c r="AM274" i="3"/>
  <c r="AN274" i="3" s="1"/>
  <c r="AE274" i="3"/>
  <c r="M274" i="3"/>
  <c r="AF274" i="3"/>
  <c r="P274" i="3"/>
  <c r="V274" i="3"/>
  <c r="T274" i="3"/>
  <c r="R274" i="3"/>
  <c r="AU272" i="3"/>
  <c r="AV272" i="3" s="1"/>
  <c r="BA271" i="3"/>
  <c r="AV271" i="3"/>
  <c r="BC271" i="3" s="1"/>
  <c r="AU273" i="3"/>
  <c r="BF270" i="3"/>
  <c r="BJ269" i="3" s="1"/>
  <c r="BK269" i="3" s="1"/>
  <c r="BQ270" i="3"/>
  <c r="BB270" i="3"/>
  <c r="AG273" i="3"/>
  <c r="AX272" i="3"/>
  <c r="AY272" i="3" s="1"/>
  <c r="Y273" i="3"/>
  <c r="Z273" i="3" s="1"/>
  <c r="X273" i="3"/>
  <c r="BC272" i="3" l="1"/>
  <c r="BD272" i="3"/>
  <c r="BG272" i="3"/>
  <c r="BH272" i="3" s="1"/>
  <c r="BI272" i="3" s="1"/>
  <c r="BM274" i="3"/>
  <c r="AH274" i="3"/>
  <c r="AT274" i="3" s="1"/>
  <c r="C275" i="3"/>
  <c r="D275" i="3"/>
  <c r="B275" i="3"/>
  <c r="A276" i="3"/>
  <c r="AQ275" i="3"/>
  <c r="AR275" i="3"/>
  <c r="G275" i="3"/>
  <c r="H275" i="3" s="1"/>
  <c r="F275" i="3"/>
  <c r="S275" i="3"/>
  <c r="Q275" i="3"/>
  <c r="O275" i="3"/>
  <c r="U275" i="3"/>
  <c r="AD275" i="3"/>
  <c r="M275" i="3"/>
  <c r="AF275" i="3"/>
  <c r="AK275" i="3"/>
  <c r="AM275" i="3"/>
  <c r="AN275" i="3" s="1"/>
  <c r="AE275" i="3"/>
  <c r="AG275" i="3" s="1"/>
  <c r="R275" i="3"/>
  <c r="T275" i="3"/>
  <c r="V275" i="3"/>
  <c r="P275" i="3"/>
  <c r="BF271" i="3"/>
  <c r="BJ270" i="3" s="1"/>
  <c r="BK270" i="3" s="1"/>
  <c r="BQ271" i="3"/>
  <c r="BB271" i="3"/>
  <c r="AU274" i="3"/>
  <c r="BD271" i="3"/>
  <c r="BG271" i="3"/>
  <c r="BH271" i="3" s="1"/>
  <c r="BI271" i="3" s="1"/>
  <c r="AG274" i="3"/>
  <c r="AW273" i="3"/>
  <c r="AX273" i="3"/>
  <c r="AY273" i="3" s="1"/>
  <c r="AT273" i="3"/>
  <c r="AO274" i="3"/>
  <c r="BA272" i="3"/>
  <c r="Y274" i="3"/>
  <c r="Z274" i="3" s="1"/>
  <c r="X274" i="3"/>
  <c r="X275" i="3" l="1"/>
  <c r="A277" i="3"/>
  <c r="B276" i="3"/>
  <c r="AR276" i="3"/>
  <c r="C276" i="3"/>
  <c r="D276" i="3"/>
  <c r="AQ276" i="3"/>
  <c r="G276" i="3"/>
  <c r="H276" i="3" s="1"/>
  <c r="F276" i="3"/>
  <c r="Q276" i="3"/>
  <c r="S276" i="3"/>
  <c r="O276" i="3"/>
  <c r="U276" i="3"/>
  <c r="X276" i="3" s="1"/>
  <c r="AM276" i="3"/>
  <c r="AK276" i="3"/>
  <c r="AO276" i="3" s="1"/>
  <c r="AF276" i="3"/>
  <c r="M276" i="3"/>
  <c r="AD276" i="3"/>
  <c r="AE276" i="3"/>
  <c r="P276" i="3"/>
  <c r="V276" i="3"/>
  <c r="R276" i="3"/>
  <c r="T276" i="3"/>
  <c r="AV274" i="3"/>
  <c r="BM275" i="3"/>
  <c r="BN275" i="3"/>
  <c r="BF272" i="3"/>
  <c r="BJ271" i="3" s="1"/>
  <c r="BK271" i="3" s="1"/>
  <c r="BQ272" i="3"/>
  <c r="BB272" i="3"/>
  <c r="AO275" i="3"/>
  <c r="AX274" i="3"/>
  <c r="AV273" i="3"/>
  <c r="BC273" i="3" s="1"/>
  <c r="BA273" i="3"/>
  <c r="AW274" i="3"/>
  <c r="Y275" i="3"/>
  <c r="Z275" i="3" s="1"/>
  <c r="AH275" i="3"/>
  <c r="BN276" i="3" l="1"/>
  <c r="AX275" i="3"/>
  <c r="AY274" i="3"/>
  <c r="BC274" i="3" s="1"/>
  <c r="AN276" i="3"/>
  <c r="BD273" i="3"/>
  <c r="BG273" i="3"/>
  <c r="BH273" i="3" s="1"/>
  <c r="BI273" i="3" s="1"/>
  <c r="AG276" i="3"/>
  <c r="AW275" i="3"/>
  <c r="AY275" i="3" s="1"/>
  <c r="AT275" i="3"/>
  <c r="AH276" i="3"/>
  <c r="B277" i="3"/>
  <c r="A278" i="3"/>
  <c r="D277" i="3"/>
  <c r="C277" i="3"/>
  <c r="AQ277" i="3"/>
  <c r="AR277" i="3"/>
  <c r="F277" i="3"/>
  <c r="G277" i="3"/>
  <c r="H277" i="3" s="1"/>
  <c r="Q277" i="3"/>
  <c r="S277" i="3"/>
  <c r="O277" i="3"/>
  <c r="U277" i="3"/>
  <c r="AK277" i="3"/>
  <c r="AM277" i="3"/>
  <c r="AN277" i="3" s="1"/>
  <c r="AF277" i="3"/>
  <c r="M277" i="3"/>
  <c r="AD277" i="3"/>
  <c r="AE277" i="3"/>
  <c r="P277" i="3"/>
  <c r="R277" i="3"/>
  <c r="T277" i="3"/>
  <c r="V277" i="3"/>
  <c r="BB273" i="3"/>
  <c r="BQ273" i="3"/>
  <c r="BF273" i="3"/>
  <c r="BJ272" i="3" s="1"/>
  <c r="BK272" i="3" s="1"/>
  <c r="Y276" i="3"/>
  <c r="Z276" i="3" s="1"/>
  <c r="AU275" i="3"/>
  <c r="BA274" i="3"/>
  <c r="BM276" i="3"/>
  <c r="AG277" i="3" l="1"/>
  <c r="AU276" i="3"/>
  <c r="BD274" i="3"/>
  <c r="BG274" i="3"/>
  <c r="BH274" i="3" s="1"/>
  <c r="BI274" i="3" s="1"/>
  <c r="X277" i="3"/>
  <c r="AW276" i="3"/>
  <c r="AH277" i="3"/>
  <c r="AU277" i="3" s="1"/>
  <c r="AX276" i="3"/>
  <c r="BM277" i="3"/>
  <c r="AV275" i="3"/>
  <c r="BC275" i="3" s="1"/>
  <c r="BA275" i="3"/>
  <c r="A279" i="3"/>
  <c r="C278" i="3"/>
  <c r="B278" i="3"/>
  <c r="AQ278" i="3"/>
  <c r="AR278" i="3"/>
  <c r="D278" i="3"/>
  <c r="G278" i="3"/>
  <c r="H278" i="3" s="1"/>
  <c r="BN278" i="3" s="1"/>
  <c r="F278" i="3"/>
  <c r="Q278" i="3"/>
  <c r="S278" i="3"/>
  <c r="O278" i="3"/>
  <c r="U278" i="3"/>
  <c r="AF278" i="3"/>
  <c r="AM278" i="3"/>
  <c r="AK278" i="3"/>
  <c r="M278" i="3"/>
  <c r="AE278" i="3"/>
  <c r="AD278" i="3"/>
  <c r="V278" i="3"/>
  <c r="R278" i="3"/>
  <c r="T278" i="3"/>
  <c r="P278" i="3"/>
  <c r="BN277" i="3"/>
  <c r="Y277" i="3"/>
  <c r="Z277" i="3" s="1"/>
  <c r="BQ274" i="3"/>
  <c r="BB274" i="3"/>
  <c r="BF274" i="3"/>
  <c r="BJ273" i="3" s="1"/>
  <c r="BK273" i="3" s="1"/>
  <c r="AO277" i="3"/>
  <c r="AT276" i="3"/>
  <c r="BM278" i="3" l="1"/>
  <c r="AY276" i="3"/>
  <c r="AT277" i="3"/>
  <c r="AV277" i="3" s="1"/>
  <c r="AG278" i="3"/>
  <c r="AW277" i="3"/>
  <c r="AO278" i="3"/>
  <c r="C279" i="3"/>
  <c r="AQ279" i="3"/>
  <c r="B279" i="3"/>
  <c r="A280" i="3"/>
  <c r="D279" i="3"/>
  <c r="AR279" i="3"/>
  <c r="F279" i="3"/>
  <c r="G279" i="3"/>
  <c r="H279" i="3" s="1"/>
  <c r="BN279" i="3" s="1"/>
  <c r="Q279" i="3"/>
  <c r="S279" i="3"/>
  <c r="O279" i="3"/>
  <c r="U279" i="3"/>
  <c r="AK279" i="3"/>
  <c r="AD279" i="3"/>
  <c r="AM279" i="3"/>
  <c r="AN279" i="3" s="1"/>
  <c r="M279" i="3"/>
  <c r="AF279" i="3"/>
  <c r="AE279" i="3"/>
  <c r="T279" i="3"/>
  <c r="V279" i="3"/>
  <c r="P279" i="3"/>
  <c r="R279" i="3"/>
  <c r="AV276" i="3"/>
  <c r="BC276" i="3" s="1"/>
  <c r="BA276" i="3"/>
  <c r="BF275" i="3"/>
  <c r="BJ274" i="3" s="1"/>
  <c r="BK274" i="3" s="1"/>
  <c r="BQ275" i="3"/>
  <c r="BB275" i="3"/>
  <c r="Y278" i="3"/>
  <c r="Z278" i="3" s="1"/>
  <c r="BD275" i="3"/>
  <c r="BG275" i="3"/>
  <c r="BH275" i="3" s="1"/>
  <c r="BI275" i="3" s="1"/>
  <c r="AN278" i="3"/>
  <c r="X278" i="3"/>
  <c r="AX277" i="3"/>
  <c r="AT278" i="3"/>
  <c r="AH278" i="3"/>
  <c r="AU278" i="3" l="1"/>
  <c r="BM279" i="3"/>
  <c r="AY277" i="3"/>
  <c r="AW278" i="3"/>
  <c r="BA277" i="3"/>
  <c r="BQ277" i="3" s="1"/>
  <c r="AH279" i="3"/>
  <c r="BB277" i="3"/>
  <c r="BD276" i="3"/>
  <c r="BG276" i="3"/>
  <c r="BH276" i="3" s="1"/>
  <c r="BI276" i="3" s="1"/>
  <c r="Y279" i="3"/>
  <c r="Z279" i="3" s="1"/>
  <c r="BC277" i="3"/>
  <c r="AO279" i="3"/>
  <c r="AQ280" i="3"/>
  <c r="D280" i="3"/>
  <c r="C280" i="3"/>
  <c r="AR280" i="3"/>
  <c r="A281" i="3"/>
  <c r="B280" i="3"/>
  <c r="F280" i="3"/>
  <c r="G280" i="3"/>
  <c r="H280" i="3" s="1"/>
  <c r="Q280" i="3"/>
  <c r="S280" i="3"/>
  <c r="O280" i="3"/>
  <c r="U280" i="3"/>
  <c r="AE280" i="3"/>
  <c r="AK280" i="3"/>
  <c r="AM280" i="3"/>
  <c r="AD280" i="3"/>
  <c r="M280" i="3"/>
  <c r="AF280" i="3"/>
  <c r="P280" i="3"/>
  <c r="V280" i="3"/>
  <c r="T280" i="3"/>
  <c r="R280" i="3"/>
  <c r="AG279" i="3"/>
  <c r="AV278" i="3"/>
  <c r="AX278" i="3"/>
  <c r="BB276" i="3"/>
  <c r="BQ276" i="3"/>
  <c r="BF276" i="3"/>
  <c r="BJ275" i="3" s="1"/>
  <c r="BK275" i="3" s="1"/>
  <c r="X279" i="3"/>
  <c r="AT279" i="3" l="1"/>
  <c r="BA278" i="3"/>
  <c r="BQ278" i="3" s="1"/>
  <c r="AX279" i="3"/>
  <c r="BF277" i="3"/>
  <c r="BJ276" i="3" s="1"/>
  <c r="BK276" i="3" s="1"/>
  <c r="AU279" i="3"/>
  <c r="AV279" i="3" s="1"/>
  <c r="AG280" i="3"/>
  <c r="AW279" i="3"/>
  <c r="AY279" i="3" s="1"/>
  <c r="AN280" i="3"/>
  <c r="B281" i="3"/>
  <c r="C281" i="3"/>
  <c r="AQ281" i="3"/>
  <c r="A282" i="3"/>
  <c r="AR281" i="3"/>
  <c r="D281" i="3"/>
  <c r="G281" i="3"/>
  <c r="H281" i="3" s="1"/>
  <c r="F281" i="3"/>
  <c r="Q281" i="3"/>
  <c r="S281" i="3"/>
  <c r="O281" i="3"/>
  <c r="U281" i="3"/>
  <c r="AM281" i="3"/>
  <c r="AK281" i="3"/>
  <c r="M281" i="3"/>
  <c r="AD281" i="3"/>
  <c r="AE281" i="3"/>
  <c r="AF281" i="3"/>
  <c r="V281" i="3"/>
  <c r="P281" i="3"/>
  <c r="R281" i="3"/>
  <c r="T281" i="3"/>
  <c r="AY278" i="3"/>
  <c r="BC278" i="3" s="1"/>
  <c r="Y280" i="3"/>
  <c r="Z280" i="3" s="1"/>
  <c r="BN280" i="3"/>
  <c r="AH280" i="3"/>
  <c r="BM280" i="3"/>
  <c r="BD277" i="3"/>
  <c r="BG277" i="3"/>
  <c r="BH277" i="3" s="1"/>
  <c r="BI277" i="3" s="1"/>
  <c r="X280" i="3"/>
  <c r="AO280" i="3"/>
  <c r="BF278" i="3" l="1"/>
  <c r="BB278" i="3"/>
  <c r="BN281" i="3"/>
  <c r="AO281" i="3"/>
  <c r="AX280" i="3"/>
  <c r="AT280" i="3"/>
  <c r="BJ277" i="3"/>
  <c r="BK277" i="3" s="1"/>
  <c r="BA279" i="3"/>
  <c r="BF279" i="3" s="1"/>
  <c r="BJ278" i="3" s="1"/>
  <c r="BK278" i="3" s="1"/>
  <c r="BC279" i="3"/>
  <c r="BD279" i="3" s="1"/>
  <c r="BD278" i="3"/>
  <c r="BG278" i="3"/>
  <c r="BH278" i="3" s="1"/>
  <c r="BI278" i="3" s="1"/>
  <c r="X281" i="3"/>
  <c r="A283" i="3"/>
  <c r="AR282" i="3"/>
  <c r="B282" i="3"/>
  <c r="AQ282" i="3"/>
  <c r="D282" i="3"/>
  <c r="C282" i="3"/>
  <c r="G282" i="3"/>
  <c r="H282" i="3" s="1"/>
  <c r="F282" i="3"/>
  <c r="Q282" i="3"/>
  <c r="S282" i="3"/>
  <c r="O282" i="3"/>
  <c r="U282" i="3"/>
  <c r="AK282" i="3"/>
  <c r="AD282" i="3"/>
  <c r="M282" i="3"/>
  <c r="AM282" i="3"/>
  <c r="AF282" i="3"/>
  <c r="AE282" i="3"/>
  <c r="R282" i="3"/>
  <c r="T282" i="3"/>
  <c r="P282" i="3"/>
  <c r="V282" i="3"/>
  <c r="Y281" i="3"/>
  <c r="Z281" i="3" s="1"/>
  <c r="AG281" i="3"/>
  <c r="BM281" i="3"/>
  <c r="AH281" i="3"/>
  <c r="AW280" i="3"/>
  <c r="AY280" i="3" s="1"/>
  <c r="AU280" i="3"/>
  <c r="BA280" i="3" s="1"/>
  <c r="AN281" i="3"/>
  <c r="BQ279" i="3" l="1"/>
  <c r="BB279" i="3"/>
  <c r="BM282" i="3"/>
  <c r="BG279" i="3"/>
  <c r="BH279" i="3" s="1"/>
  <c r="BI279" i="3" s="1"/>
  <c r="AG282" i="3"/>
  <c r="X282" i="3"/>
  <c r="AW281" i="3"/>
  <c r="AO282" i="3"/>
  <c r="BQ280" i="3"/>
  <c r="BF280" i="3"/>
  <c r="BJ279" i="3" s="1"/>
  <c r="BK279" i="3" s="1"/>
  <c r="BB280" i="3"/>
  <c r="AU281" i="3"/>
  <c r="AX281" i="3"/>
  <c r="AN282" i="3"/>
  <c r="AT281" i="3"/>
  <c r="AV280" i="3"/>
  <c r="BC280" i="3" s="1"/>
  <c r="BN282" i="3"/>
  <c r="D283" i="3"/>
  <c r="AR283" i="3"/>
  <c r="C283" i="3"/>
  <c r="A284" i="3"/>
  <c r="B283" i="3"/>
  <c r="AQ283" i="3"/>
  <c r="G283" i="3"/>
  <c r="H283" i="3" s="1"/>
  <c r="F283" i="3"/>
  <c r="BM283" i="3" s="1"/>
  <c r="S283" i="3"/>
  <c r="Q283" i="3"/>
  <c r="O283" i="3"/>
  <c r="U283" i="3"/>
  <c r="AF283" i="3"/>
  <c r="AE283" i="3"/>
  <c r="M283" i="3"/>
  <c r="AM283" i="3"/>
  <c r="AK283" i="3"/>
  <c r="AD283" i="3"/>
  <c r="R283" i="3"/>
  <c r="T283" i="3"/>
  <c r="V283" i="3"/>
  <c r="P283" i="3"/>
  <c r="Y282" i="3"/>
  <c r="Z282" i="3" s="1"/>
  <c r="AH282" i="3"/>
  <c r="AX282" i="3" l="1"/>
  <c r="AH283" i="3"/>
  <c r="AO283" i="3"/>
  <c r="AT282" i="3"/>
  <c r="AY281" i="3"/>
  <c r="AN283" i="3"/>
  <c r="AW282" i="3"/>
  <c r="AY282" i="3" s="1"/>
  <c r="AG283" i="3"/>
  <c r="AW283" i="3" s="1"/>
  <c r="AU282" i="3"/>
  <c r="BN283" i="3"/>
  <c r="Y283" i="3"/>
  <c r="Z283" i="3" s="1"/>
  <c r="BD280" i="3"/>
  <c r="BG280" i="3"/>
  <c r="BH280" i="3" s="1"/>
  <c r="BI280" i="3" s="1"/>
  <c r="X283" i="3"/>
  <c r="A285" i="3"/>
  <c r="D284" i="3"/>
  <c r="AR284" i="3"/>
  <c r="AQ284" i="3"/>
  <c r="B284" i="3"/>
  <c r="C284" i="3"/>
  <c r="F284" i="3"/>
  <c r="BM284" i="3" s="1"/>
  <c r="G284" i="3"/>
  <c r="H284" i="3" s="1"/>
  <c r="Q284" i="3"/>
  <c r="S284" i="3"/>
  <c r="O284" i="3"/>
  <c r="U284" i="3"/>
  <c r="M284" i="3"/>
  <c r="AM284" i="3"/>
  <c r="AF284" i="3"/>
  <c r="AE284" i="3"/>
  <c r="AK284" i="3"/>
  <c r="AD284" i="3"/>
  <c r="V284" i="3"/>
  <c r="R284" i="3"/>
  <c r="P284" i="3"/>
  <c r="T284" i="3"/>
  <c r="AV281" i="3"/>
  <c r="BC281" i="3" s="1"/>
  <c r="BA281" i="3"/>
  <c r="BA282" i="3" l="1"/>
  <c r="BN284" i="3"/>
  <c r="AN284" i="3"/>
  <c r="AX283" i="3"/>
  <c r="AY283" i="3" s="1"/>
  <c r="AG284" i="3"/>
  <c r="AV282" i="3"/>
  <c r="BC282" i="3" s="1"/>
  <c r="BB282" i="3"/>
  <c r="BQ282" i="3"/>
  <c r="BF282" i="3"/>
  <c r="BD281" i="3"/>
  <c r="BG281" i="3"/>
  <c r="BH281" i="3" s="1"/>
  <c r="BI281" i="3" s="1"/>
  <c r="Y284" i="3"/>
  <c r="Z284" i="3" s="1"/>
  <c r="BB281" i="3"/>
  <c r="BQ281" i="3"/>
  <c r="BF281" i="3"/>
  <c r="BJ280" i="3" s="1"/>
  <c r="BK280" i="3" s="1"/>
  <c r="AH284" i="3"/>
  <c r="X284" i="3"/>
  <c r="AU283" i="3"/>
  <c r="AO284" i="3"/>
  <c r="B285" i="3"/>
  <c r="AR285" i="3"/>
  <c r="AQ285" i="3"/>
  <c r="A286" i="3"/>
  <c r="D285" i="3"/>
  <c r="C285" i="3"/>
  <c r="G285" i="3"/>
  <c r="H285" i="3" s="1"/>
  <c r="F285" i="3"/>
  <c r="BM285" i="3" s="1"/>
  <c r="Q285" i="3"/>
  <c r="S285" i="3"/>
  <c r="O285" i="3"/>
  <c r="U285" i="3"/>
  <c r="AK285" i="3"/>
  <c r="AM285" i="3"/>
  <c r="AD285" i="3"/>
  <c r="AE285" i="3"/>
  <c r="AF285" i="3"/>
  <c r="M285" i="3"/>
  <c r="P285" i="3"/>
  <c r="R285" i="3"/>
  <c r="T285" i="3"/>
  <c r="V285" i="3"/>
  <c r="AT283" i="3"/>
  <c r="AX284" i="3" l="1"/>
  <c r="X285" i="3"/>
  <c r="AO285" i="3"/>
  <c r="BJ281" i="3"/>
  <c r="BK281" i="3" s="1"/>
  <c r="AG285" i="3"/>
  <c r="BA283" i="3"/>
  <c r="AV283" i="3"/>
  <c r="BC283" i="3" s="1"/>
  <c r="BN285" i="3"/>
  <c r="BD282" i="3"/>
  <c r="BG282" i="3"/>
  <c r="BH282" i="3" s="1"/>
  <c r="BI282" i="3" s="1"/>
  <c r="A287" i="3"/>
  <c r="C286" i="3"/>
  <c r="D286" i="3"/>
  <c r="AQ286" i="3"/>
  <c r="AR286" i="3"/>
  <c r="B286" i="3"/>
  <c r="F286" i="3"/>
  <c r="G286" i="3"/>
  <c r="H286" i="3" s="1"/>
  <c r="Q286" i="3"/>
  <c r="S286" i="3"/>
  <c r="O286" i="3"/>
  <c r="U286" i="3"/>
  <c r="AM286" i="3"/>
  <c r="AF286" i="3"/>
  <c r="AD286" i="3"/>
  <c r="AK286" i="3"/>
  <c r="AE286" i="3"/>
  <c r="M286" i="3"/>
  <c r="P286" i="3"/>
  <c r="T286" i="3"/>
  <c r="R286" i="3"/>
  <c r="V286" i="3"/>
  <c r="AT284" i="3"/>
  <c r="AW284" i="3"/>
  <c r="AY284" i="3" s="1"/>
  <c r="AH285" i="3"/>
  <c r="Y285" i="3"/>
  <c r="Z285" i="3" s="1"/>
  <c r="AN285" i="3"/>
  <c r="AU284" i="3"/>
  <c r="X286" i="3" l="1"/>
  <c r="Y286" i="3"/>
  <c r="Z286" i="3" s="1"/>
  <c r="AN286" i="3"/>
  <c r="BF283" i="3"/>
  <c r="BJ282" i="3" s="1"/>
  <c r="BK282" i="3" s="1"/>
  <c r="BQ283" i="3"/>
  <c r="BB283" i="3"/>
  <c r="AX285" i="3"/>
  <c r="AG286" i="3"/>
  <c r="C287" i="3"/>
  <c r="AQ287" i="3"/>
  <c r="A288" i="3"/>
  <c r="AR287" i="3"/>
  <c r="B287" i="3"/>
  <c r="D287" i="3"/>
  <c r="F287" i="3"/>
  <c r="G287" i="3"/>
  <c r="H287" i="3" s="1"/>
  <c r="Q287" i="3"/>
  <c r="S287" i="3"/>
  <c r="O287" i="3"/>
  <c r="U287" i="3"/>
  <c r="AD287" i="3"/>
  <c r="M287" i="3"/>
  <c r="AK287" i="3"/>
  <c r="AM287" i="3"/>
  <c r="AF287" i="3"/>
  <c r="AE287" i="3"/>
  <c r="V287" i="3"/>
  <c r="P287" i="3"/>
  <c r="R287" i="3"/>
  <c r="T287" i="3"/>
  <c r="BD283" i="3"/>
  <c r="BG283" i="3"/>
  <c r="BH283" i="3" s="1"/>
  <c r="BI283" i="3" s="1"/>
  <c r="BA284" i="3"/>
  <c r="AV284" i="3"/>
  <c r="BC284" i="3" s="1"/>
  <c r="BN286" i="3"/>
  <c r="AW285" i="3"/>
  <c r="AT285" i="3"/>
  <c r="AO286" i="3"/>
  <c r="AU285" i="3"/>
  <c r="AH286" i="3"/>
  <c r="AX286" i="3" s="1"/>
  <c r="BM286" i="3"/>
  <c r="AN287" i="3" l="1"/>
  <c r="BN287" i="3"/>
  <c r="Y287" i="3"/>
  <c r="Z287" i="3" s="1"/>
  <c r="AG287" i="3"/>
  <c r="BD284" i="3"/>
  <c r="BG284" i="3"/>
  <c r="BH284" i="3" s="1"/>
  <c r="BI284" i="3" s="1"/>
  <c r="B288" i="3"/>
  <c r="AR288" i="3"/>
  <c r="AQ288" i="3"/>
  <c r="A289" i="3"/>
  <c r="C288" i="3"/>
  <c r="D288" i="3"/>
  <c r="G288" i="3"/>
  <c r="H288" i="3" s="1"/>
  <c r="F288" i="3"/>
  <c r="Q288" i="3"/>
  <c r="S288" i="3"/>
  <c r="O288" i="3"/>
  <c r="U288" i="3"/>
  <c r="AM288" i="3"/>
  <c r="AK288" i="3"/>
  <c r="AO288" i="3" s="1"/>
  <c r="AE288" i="3"/>
  <c r="AF288" i="3"/>
  <c r="AD288" i="3"/>
  <c r="M288" i="3"/>
  <c r="V288" i="3"/>
  <c r="P288" i="3"/>
  <c r="T288" i="3"/>
  <c r="R288" i="3"/>
  <c r="BM287" i="3"/>
  <c r="AV285" i="3"/>
  <c r="BA285" i="3"/>
  <c r="AO287" i="3"/>
  <c r="AH287" i="3"/>
  <c r="BB284" i="3"/>
  <c r="BF284" i="3"/>
  <c r="BJ283" i="3" s="1"/>
  <c r="BK283" i="3" s="1"/>
  <c r="BQ284" i="3"/>
  <c r="AW286" i="3"/>
  <c r="AY286" i="3" s="1"/>
  <c r="AY285" i="3"/>
  <c r="AU286" i="3"/>
  <c r="AT286" i="3"/>
  <c r="X287" i="3"/>
  <c r="AX287" i="3" l="1"/>
  <c r="AH288" i="3"/>
  <c r="AN288" i="3"/>
  <c r="X288" i="3"/>
  <c r="BC285" i="3"/>
  <c r="BA286" i="3"/>
  <c r="AV286" i="3"/>
  <c r="BC286" i="3" s="1"/>
  <c r="BF285" i="3"/>
  <c r="BJ284" i="3" s="1"/>
  <c r="BK284" i="3" s="1"/>
  <c r="BB285" i="3"/>
  <c r="BQ285" i="3"/>
  <c r="B289" i="3"/>
  <c r="D289" i="3"/>
  <c r="C289" i="3"/>
  <c r="A290" i="3"/>
  <c r="AQ289" i="3"/>
  <c r="AR289" i="3"/>
  <c r="F289" i="3"/>
  <c r="G289" i="3"/>
  <c r="H289" i="3" s="1"/>
  <c r="S289" i="3"/>
  <c r="Q289" i="3"/>
  <c r="O289" i="3"/>
  <c r="U289" i="3"/>
  <c r="AK289" i="3"/>
  <c r="AD289" i="3"/>
  <c r="AM289" i="3"/>
  <c r="AF289" i="3"/>
  <c r="AE289" i="3"/>
  <c r="M289" i="3"/>
  <c r="P289" i="3"/>
  <c r="V289" i="3"/>
  <c r="T289" i="3"/>
  <c r="R289" i="3"/>
  <c r="Y288" i="3"/>
  <c r="Z288" i="3" s="1"/>
  <c r="AW287" i="3"/>
  <c r="AY287" i="3" s="1"/>
  <c r="BM288" i="3"/>
  <c r="AT287" i="3"/>
  <c r="AU287" i="3"/>
  <c r="AG288" i="3"/>
  <c r="AW288" i="3" s="1"/>
  <c r="BN288" i="3"/>
  <c r="AO289" i="3" l="1"/>
  <c r="X289" i="3"/>
  <c r="AG289" i="3"/>
  <c r="Y289" i="3"/>
  <c r="Z289" i="3" s="1"/>
  <c r="A291" i="3"/>
  <c r="AR290" i="3"/>
  <c r="AQ290" i="3"/>
  <c r="C290" i="3"/>
  <c r="B290" i="3"/>
  <c r="D290" i="3"/>
  <c r="G290" i="3"/>
  <c r="H290" i="3" s="1"/>
  <c r="BN290" i="3" s="1"/>
  <c r="F290" i="3"/>
  <c r="Q290" i="3"/>
  <c r="S290" i="3"/>
  <c r="O290" i="3"/>
  <c r="U290" i="3"/>
  <c r="AK290" i="3"/>
  <c r="AM290" i="3"/>
  <c r="AD290" i="3"/>
  <c r="M290" i="3"/>
  <c r="AF290" i="3"/>
  <c r="AE290" i="3"/>
  <c r="P290" i="3"/>
  <c r="V290" i="3"/>
  <c r="R290" i="3"/>
  <c r="T290" i="3"/>
  <c r="AX288" i="3"/>
  <c r="AY288" i="3" s="1"/>
  <c r="BD285" i="3"/>
  <c r="BG285" i="3"/>
  <c r="BH285" i="3" s="1"/>
  <c r="BI285" i="3" s="1"/>
  <c r="AH289" i="3"/>
  <c r="AT289" i="3" s="1"/>
  <c r="BN289" i="3"/>
  <c r="BD286" i="3"/>
  <c r="BG286" i="3"/>
  <c r="BH286" i="3" s="1"/>
  <c r="BI286" i="3" s="1"/>
  <c r="AV287" i="3"/>
  <c r="BC287" i="3" s="1"/>
  <c r="BA287" i="3"/>
  <c r="BB286" i="3"/>
  <c r="BQ286" i="3"/>
  <c r="BF286" i="3"/>
  <c r="BJ285" i="3" s="1"/>
  <c r="BK285" i="3" s="1"/>
  <c r="AT288" i="3"/>
  <c r="AU288" i="3"/>
  <c r="AN289" i="3"/>
  <c r="BM289" i="3"/>
  <c r="AN290" i="3" l="1"/>
  <c r="Y290" i="3"/>
  <c r="Z290" i="3" s="1"/>
  <c r="X290" i="3"/>
  <c r="AX289" i="3"/>
  <c r="AG290" i="3"/>
  <c r="C291" i="3"/>
  <c r="B291" i="3"/>
  <c r="A292" i="3"/>
  <c r="AR291" i="3"/>
  <c r="AQ291" i="3"/>
  <c r="D291" i="3"/>
  <c r="F291" i="3"/>
  <c r="G291" i="3"/>
  <c r="H291" i="3" s="1"/>
  <c r="S291" i="3"/>
  <c r="Q291" i="3"/>
  <c r="O291" i="3"/>
  <c r="U291" i="3"/>
  <c r="AK291" i="3"/>
  <c r="AM291" i="3"/>
  <c r="AF291" i="3"/>
  <c r="AD291" i="3"/>
  <c r="M291" i="3"/>
  <c r="AE291" i="3"/>
  <c r="AG291" i="3" s="1"/>
  <c r="V291" i="3"/>
  <c r="R291" i="3"/>
  <c r="P291" i="3"/>
  <c r="T291" i="3"/>
  <c r="AU289" i="3"/>
  <c r="AV289" i="3" s="1"/>
  <c r="AV288" i="3"/>
  <c r="BC288" i="3" s="1"/>
  <c r="BA288" i="3"/>
  <c r="BM290" i="3"/>
  <c r="AW289" i="3"/>
  <c r="BF287" i="3"/>
  <c r="BJ286" i="3" s="1"/>
  <c r="BK286" i="3" s="1"/>
  <c r="BB287" i="3"/>
  <c r="BQ287" i="3"/>
  <c r="BD287" i="3"/>
  <c r="BG287" i="3"/>
  <c r="BH287" i="3" s="1"/>
  <c r="BI287" i="3" s="1"/>
  <c r="AH290" i="3"/>
  <c r="AO290" i="3"/>
  <c r="AY289" i="3" l="1"/>
  <c r="BA289" i="3"/>
  <c r="X291" i="3"/>
  <c r="AX290" i="3"/>
  <c r="AN291" i="3"/>
  <c r="BF289" i="3"/>
  <c r="BQ289" i="3"/>
  <c r="BB289" i="3"/>
  <c r="Y291" i="3"/>
  <c r="Z291" i="3" s="1"/>
  <c r="AO291" i="3"/>
  <c r="AH291" i="3"/>
  <c r="AT291" i="3" s="1"/>
  <c r="BN291" i="3"/>
  <c r="AW290" i="3"/>
  <c r="AY290" i="3" s="1"/>
  <c r="C292" i="3"/>
  <c r="D292" i="3"/>
  <c r="AQ292" i="3"/>
  <c r="A293" i="3"/>
  <c r="B292" i="3"/>
  <c r="AR292" i="3"/>
  <c r="G292" i="3"/>
  <c r="H292" i="3" s="1"/>
  <c r="F292" i="3"/>
  <c r="Q292" i="3"/>
  <c r="S292" i="3"/>
  <c r="O292" i="3"/>
  <c r="U292" i="3"/>
  <c r="AK292" i="3"/>
  <c r="AM292" i="3"/>
  <c r="AN292" i="3" s="1"/>
  <c r="AF292" i="3"/>
  <c r="M292" i="3"/>
  <c r="AE292" i="3"/>
  <c r="AD292" i="3"/>
  <c r="AH292" i="3" s="1"/>
  <c r="P292" i="3"/>
  <c r="R292" i="3"/>
  <c r="T292" i="3"/>
  <c r="V292" i="3"/>
  <c r="AT290" i="3"/>
  <c r="BF288" i="3"/>
  <c r="BJ287" i="3" s="1"/>
  <c r="BK287" i="3" s="1"/>
  <c r="BB288" i="3"/>
  <c r="BQ288" i="3"/>
  <c r="BD288" i="3"/>
  <c r="BG288" i="3"/>
  <c r="BH288" i="3" s="1"/>
  <c r="BI288" i="3" s="1"/>
  <c r="BC289" i="3"/>
  <c r="BM291" i="3"/>
  <c r="AU290" i="3"/>
  <c r="AU291" i="3" l="1"/>
  <c r="B293" i="3"/>
  <c r="AR293" i="3"/>
  <c r="A294" i="3"/>
  <c r="C293" i="3"/>
  <c r="AQ293" i="3"/>
  <c r="D293" i="3"/>
  <c r="F293" i="3"/>
  <c r="BM293" i="3" s="1"/>
  <c r="G293" i="3"/>
  <c r="H293" i="3" s="1"/>
  <c r="Q293" i="3"/>
  <c r="S293" i="3"/>
  <c r="O293" i="3"/>
  <c r="U293" i="3"/>
  <c r="AK293" i="3"/>
  <c r="AD293" i="3"/>
  <c r="AM293" i="3"/>
  <c r="AN293" i="3" s="1"/>
  <c r="AF293" i="3"/>
  <c r="AE293" i="3"/>
  <c r="M293" i="3"/>
  <c r="P293" i="3"/>
  <c r="V293" i="3"/>
  <c r="R293" i="3"/>
  <c r="T293" i="3"/>
  <c r="BM292" i="3"/>
  <c r="BN292" i="3"/>
  <c r="AV291" i="3"/>
  <c r="X292" i="3"/>
  <c r="AV290" i="3"/>
  <c r="BC290" i="3" s="1"/>
  <c r="BA290" i="3"/>
  <c r="BJ288" i="3"/>
  <c r="BK288" i="3" s="1"/>
  <c r="AG292" i="3"/>
  <c r="AT292" i="3" s="1"/>
  <c r="Y292" i="3"/>
  <c r="Z292" i="3" s="1"/>
  <c r="BD289" i="3"/>
  <c r="BG289" i="3"/>
  <c r="BH289" i="3" s="1"/>
  <c r="BI289" i="3" s="1"/>
  <c r="AO292" i="3"/>
  <c r="AX291" i="3"/>
  <c r="AW291" i="3"/>
  <c r="BN293" i="3" l="1"/>
  <c r="AU292" i="3"/>
  <c r="AY291" i="3"/>
  <c r="BC291" i="3" s="1"/>
  <c r="AV292" i="3"/>
  <c r="BF290" i="3"/>
  <c r="BJ289" i="3" s="1"/>
  <c r="BK289" i="3" s="1"/>
  <c r="BB290" i="3"/>
  <c r="BQ290" i="3"/>
  <c r="X293" i="3"/>
  <c r="A295" i="3"/>
  <c r="B294" i="3"/>
  <c r="AQ294" i="3"/>
  <c r="D294" i="3"/>
  <c r="AR294" i="3"/>
  <c r="C294" i="3"/>
  <c r="F294" i="3"/>
  <c r="BM294" i="3" s="1"/>
  <c r="G294" i="3"/>
  <c r="H294" i="3" s="1"/>
  <c r="Q294" i="3"/>
  <c r="S294" i="3"/>
  <c r="O294" i="3"/>
  <c r="U294" i="3"/>
  <c r="AE294" i="3"/>
  <c r="AD294" i="3"/>
  <c r="M294" i="3"/>
  <c r="AK294" i="3"/>
  <c r="AM294" i="3"/>
  <c r="AF294" i="3"/>
  <c r="V294" i="3"/>
  <c r="T294" i="3"/>
  <c r="P294" i="3"/>
  <c r="R294" i="3"/>
  <c r="AH293" i="3"/>
  <c r="BA291" i="3"/>
  <c r="BD290" i="3"/>
  <c r="BG290" i="3"/>
  <c r="BH290" i="3" s="1"/>
  <c r="BI290" i="3" s="1"/>
  <c r="AO293" i="3"/>
  <c r="Y293" i="3"/>
  <c r="Z293" i="3" s="1"/>
  <c r="AW292" i="3"/>
  <c r="AX292" i="3"/>
  <c r="AG293" i="3"/>
  <c r="BN294" i="3" l="1"/>
  <c r="AU293" i="3"/>
  <c r="AH294" i="3"/>
  <c r="AX293" i="3"/>
  <c r="AN294" i="3"/>
  <c r="C295" i="3"/>
  <c r="D295" i="3"/>
  <c r="AR295" i="3"/>
  <c r="AQ295" i="3"/>
  <c r="A296" i="3"/>
  <c r="B295" i="3"/>
  <c r="G295" i="3"/>
  <c r="H295" i="3" s="1"/>
  <c r="F295" i="3"/>
  <c r="S295" i="3"/>
  <c r="Q295" i="3"/>
  <c r="O295" i="3"/>
  <c r="U295" i="3"/>
  <c r="AF295" i="3"/>
  <c r="AK295" i="3"/>
  <c r="AM295" i="3"/>
  <c r="AD295" i="3"/>
  <c r="M295" i="3"/>
  <c r="AE295" i="3"/>
  <c r="P295" i="3"/>
  <c r="V295" i="3"/>
  <c r="T295" i="3"/>
  <c r="R295" i="3"/>
  <c r="X294" i="3"/>
  <c r="AG294" i="3"/>
  <c r="BQ291" i="3"/>
  <c r="BB291" i="3"/>
  <c r="BF291" i="3"/>
  <c r="BJ290" i="3" s="1"/>
  <c r="BK290" i="3" s="1"/>
  <c r="AO294" i="3"/>
  <c r="Y294" i="3"/>
  <c r="Z294" i="3" s="1"/>
  <c r="AY292" i="3"/>
  <c r="BC292" i="3" s="1"/>
  <c r="BD291" i="3"/>
  <c r="BG291" i="3"/>
  <c r="BH291" i="3" s="1"/>
  <c r="BI291" i="3" s="1"/>
  <c r="AW293" i="3"/>
  <c r="AY293" i="3" s="1"/>
  <c r="AT293" i="3"/>
  <c r="BA292" i="3"/>
  <c r="BM295" i="3" l="1"/>
  <c r="BN295" i="3"/>
  <c r="AT294" i="3"/>
  <c r="AW294" i="3"/>
  <c r="AH295" i="3"/>
  <c r="AT295" i="3" s="1"/>
  <c r="AN295" i="3"/>
  <c r="BD292" i="3"/>
  <c r="BG292" i="3"/>
  <c r="BH292" i="3" s="1"/>
  <c r="BI292" i="3" s="1"/>
  <c r="BA293" i="3"/>
  <c r="AV293" i="3"/>
  <c r="BC293" i="3" s="1"/>
  <c r="A297" i="3"/>
  <c r="B296" i="3"/>
  <c r="AQ296" i="3"/>
  <c r="D296" i="3"/>
  <c r="AR296" i="3"/>
  <c r="C296" i="3"/>
  <c r="G296" i="3"/>
  <c r="H296" i="3" s="1"/>
  <c r="F296" i="3"/>
  <c r="Q296" i="3"/>
  <c r="S296" i="3"/>
  <c r="O296" i="3"/>
  <c r="U296" i="3"/>
  <c r="AK296" i="3"/>
  <c r="AE296" i="3"/>
  <c r="AF296" i="3"/>
  <c r="AM296" i="3"/>
  <c r="AD296" i="3"/>
  <c r="M296" i="3"/>
  <c r="V296" i="3"/>
  <c r="P296" i="3"/>
  <c r="R296" i="3"/>
  <c r="T296" i="3"/>
  <c r="Y295" i="3"/>
  <c r="Z295" i="3" s="1"/>
  <c r="AO295" i="3"/>
  <c r="X295" i="3"/>
  <c r="AG295" i="3"/>
  <c r="AX294" i="3"/>
  <c r="AY294" i="3" s="1"/>
  <c r="AU295" i="3"/>
  <c r="AU294" i="3"/>
  <c r="AV294" i="3" s="1"/>
  <c r="BC294" i="3" s="1"/>
  <c r="BB292" i="3"/>
  <c r="BQ292" i="3"/>
  <c r="BF292" i="3"/>
  <c r="BJ291" i="3" s="1"/>
  <c r="BK291" i="3" s="1"/>
  <c r="BM296" i="3" l="1"/>
  <c r="AN296" i="3"/>
  <c r="BA294" i="3"/>
  <c r="X296" i="3"/>
  <c r="AX295" i="3"/>
  <c r="BD294" i="3"/>
  <c r="BG294" i="3"/>
  <c r="BH294" i="3" s="1"/>
  <c r="BI294" i="3" s="1"/>
  <c r="Y296" i="3"/>
  <c r="Z296" i="3" s="1"/>
  <c r="BN296" i="3"/>
  <c r="BB293" i="3"/>
  <c r="BQ293" i="3"/>
  <c r="BF293" i="3"/>
  <c r="BJ292" i="3" s="1"/>
  <c r="BK292" i="3" s="1"/>
  <c r="BF294" i="3"/>
  <c r="BQ294" i="3"/>
  <c r="BB294" i="3"/>
  <c r="AG296" i="3"/>
  <c r="B297" i="3"/>
  <c r="AQ297" i="3"/>
  <c r="A298" i="3"/>
  <c r="AR297" i="3"/>
  <c r="D297" i="3"/>
  <c r="C297" i="3"/>
  <c r="G297" i="3"/>
  <c r="H297" i="3" s="1"/>
  <c r="BN297" i="3" s="1"/>
  <c r="F297" i="3"/>
  <c r="BM297" i="3" s="1"/>
  <c r="Q297" i="3"/>
  <c r="S297" i="3"/>
  <c r="O297" i="3"/>
  <c r="U297" i="3"/>
  <c r="AM297" i="3"/>
  <c r="AF297" i="3"/>
  <c r="M297" i="3"/>
  <c r="AK297" i="3"/>
  <c r="AO297" i="3" s="1"/>
  <c r="AD297" i="3"/>
  <c r="AE297" i="3"/>
  <c r="V297" i="3"/>
  <c r="T297" i="3"/>
  <c r="R297" i="3"/>
  <c r="P297" i="3"/>
  <c r="BA295" i="3"/>
  <c r="AV295" i="3"/>
  <c r="BD293" i="3"/>
  <c r="BG293" i="3"/>
  <c r="BH293" i="3" s="1"/>
  <c r="BI293" i="3" s="1"/>
  <c r="AH296" i="3"/>
  <c r="AW295" i="3"/>
  <c r="AO296" i="3"/>
  <c r="AG297" i="3" l="1"/>
  <c r="AY295" i="3"/>
  <c r="BC295" i="3" s="1"/>
  <c r="AX296" i="3"/>
  <c r="Y297" i="3"/>
  <c r="Z297" i="3" s="1"/>
  <c r="AW296" i="3"/>
  <c r="BF295" i="3"/>
  <c r="BJ294" i="3" s="1"/>
  <c r="BK294" i="3" s="1"/>
  <c r="BB295" i="3"/>
  <c r="BQ295" i="3"/>
  <c r="AT296" i="3"/>
  <c r="AH297" i="3"/>
  <c r="AT297" i="3" s="1"/>
  <c r="BJ293" i="3"/>
  <c r="BK293" i="3" s="1"/>
  <c r="A299" i="3"/>
  <c r="C298" i="3"/>
  <c r="D298" i="3"/>
  <c r="AQ298" i="3"/>
  <c r="AR298" i="3"/>
  <c r="B298" i="3"/>
  <c r="G298" i="3"/>
  <c r="H298" i="3" s="1"/>
  <c r="F298" i="3"/>
  <c r="Q298" i="3"/>
  <c r="S298" i="3"/>
  <c r="O298" i="3"/>
  <c r="U298" i="3"/>
  <c r="M298" i="3"/>
  <c r="AM298" i="3"/>
  <c r="AK298" i="3"/>
  <c r="AD298" i="3"/>
  <c r="AE298" i="3"/>
  <c r="AF298" i="3"/>
  <c r="V298" i="3"/>
  <c r="P298" i="3"/>
  <c r="T298" i="3"/>
  <c r="R298" i="3"/>
  <c r="X297" i="3"/>
  <c r="AN297" i="3"/>
  <c r="AU296" i="3"/>
  <c r="AY296" i="3" l="1"/>
  <c r="BG295" i="3"/>
  <c r="BH295" i="3" s="1"/>
  <c r="BI295" i="3" s="1"/>
  <c r="BD295" i="3"/>
  <c r="AH298" i="3"/>
  <c r="AO298" i="3"/>
  <c r="AW297" i="3"/>
  <c r="BM298" i="3"/>
  <c r="BA296" i="3"/>
  <c r="AV296" i="3"/>
  <c r="BC296" i="3" s="1"/>
  <c r="AG298" i="3"/>
  <c r="BN298" i="3"/>
  <c r="X298" i="3"/>
  <c r="Y298" i="3"/>
  <c r="Z298" i="3" s="1"/>
  <c r="D299" i="3"/>
  <c r="C299" i="3"/>
  <c r="B299" i="3"/>
  <c r="A300" i="3"/>
  <c r="AQ299" i="3"/>
  <c r="AR299" i="3"/>
  <c r="G299" i="3"/>
  <c r="H299" i="3" s="1"/>
  <c r="F299" i="3"/>
  <c r="Q299" i="3"/>
  <c r="S299" i="3"/>
  <c r="O299" i="3"/>
  <c r="U299" i="3"/>
  <c r="AF299" i="3"/>
  <c r="AM299" i="3"/>
  <c r="AK299" i="3"/>
  <c r="AO299" i="3" s="1"/>
  <c r="M299" i="3"/>
  <c r="AD299" i="3"/>
  <c r="AE299" i="3"/>
  <c r="V299" i="3"/>
  <c r="P299" i="3"/>
  <c r="R299" i="3"/>
  <c r="T299" i="3"/>
  <c r="AN298" i="3"/>
  <c r="AX297" i="3"/>
  <c r="AU297" i="3"/>
  <c r="AT298" i="3" l="1"/>
  <c r="AY297" i="3"/>
  <c r="AX298" i="3"/>
  <c r="BA297" i="3"/>
  <c r="BF297" i="3" s="1"/>
  <c r="AG299" i="3"/>
  <c r="AH299" i="3"/>
  <c r="AT299" i="3" s="1"/>
  <c r="BM299" i="3"/>
  <c r="BN299" i="3"/>
  <c r="AV297" i="3"/>
  <c r="BQ296" i="3"/>
  <c r="BB296" i="3"/>
  <c r="BF296" i="3"/>
  <c r="BJ295" i="3" s="1"/>
  <c r="BK295" i="3" s="1"/>
  <c r="AN299" i="3"/>
  <c r="AV298" i="3"/>
  <c r="AW298" i="3"/>
  <c r="Y299" i="3"/>
  <c r="Z299" i="3" s="1"/>
  <c r="X299" i="3"/>
  <c r="A301" i="3"/>
  <c r="B300" i="3"/>
  <c r="AQ300" i="3"/>
  <c r="D300" i="3"/>
  <c r="C300" i="3"/>
  <c r="AR300" i="3"/>
  <c r="F300" i="3"/>
  <c r="BM300" i="3" s="1"/>
  <c r="G300" i="3"/>
  <c r="H300" i="3" s="1"/>
  <c r="S300" i="3"/>
  <c r="Q300" i="3"/>
  <c r="O300" i="3"/>
  <c r="U300" i="3"/>
  <c r="AF300" i="3"/>
  <c r="AM300" i="3"/>
  <c r="AD300" i="3"/>
  <c r="AK300" i="3"/>
  <c r="AE300" i="3"/>
  <c r="M300" i="3"/>
  <c r="P300" i="3"/>
  <c r="V300" i="3"/>
  <c r="T300" i="3"/>
  <c r="R300" i="3"/>
  <c r="BD296" i="3"/>
  <c r="BG296" i="3"/>
  <c r="BH296" i="3" s="1"/>
  <c r="BI296" i="3" s="1"/>
  <c r="AU298" i="3"/>
  <c r="BN300" i="3" l="1"/>
  <c r="BC297" i="3"/>
  <c r="BD297" i="3" s="1"/>
  <c r="BB297" i="3"/>
  <c r="BQ297" i="3"/>
  <c r="AY298" i="3"/>
  <c r="BC298" i="3" s="1"/>
  <c r="AO300" i="3"/>
  <c r="BA298" i="3"/>
  <c r="BQ298" i="3" s="1"/>
  <c r="AG300" i="3"/>
  <c r="AH300" i="3"/>
  <c r="BJ296" i="3"/>
  <c r="BK296" i="3" s="1"/>
  <c r="AX299" i="3"/>
  <c r="X300" i="3"/>
  <c r="B301" i="3"/>
  <c r="AQ301" i="3"/>
  <c r="A302" i="3"/>
  <c r="AR301" i="3"/>
  <c r="D301" i="3"/>
  <c r="C301" i="3"/>
  <c r="F301" i="3"/>
  <c r="BM301" i="3" s="1"/>
  <c r="G301" i="3"/>
  <c r="H301" i="3" s="1"/>
  <c r="BN301" i="3" s="1"/>
  <c r="Q301" i="3"/>
  <c r="S301" i="3"/>
  <c r="O301" i="3"/>
  <c r="U301" i="3"/>
  <c r="M301" i="3"/>
  <c r="AM301" i="3"/>
  <c r="AK301" i="3"/>
  <c r="AO301" i="3" s="1"/>
  <c r="AF301" i="3"/>
  <c r="AE301" i="3"/>
  <c r="AD301" i="3"/>
  <c r="T301" i="3"/>
  <c r="V301" i="3"/>
  <c r="P301" i="3"/>
  <c r="R301" i="3"/>
  <c r="AU299" i="3"/>
  <c r="AV299" i="3" s="1"/>
  <c r="AN300" i="3"/>
  <c r="Y300" i="3"/>
  <c r="Z300" i="3" s="1"/>
  <c r="AW299" i="3"/>
  <c r="AW300" i="3" l="1"/>
  <c r="BG297" i="3"/>
  <c r="BH297" i="3" s="1"/>
  <c r="BI297" i="3" s="1"/>
  <c r="AU300" i="3"/>
  <c r="BB298" i="3"/>
  <c r="AT300" i="3"/>
  <c r="BF298" i="3"/>
  <c r="BJ297" i="3" s="1"/>
  <c r="BK297" i="3" s="1"/>
  <c r="AG301" i="3"/>
  <c r="AH301" i="3"/>
  <c r="AT301" i="3" s="1"/>
  <c r="BD298" i="3"/>
  <c r="BG298" i="3"/>
  <c r="BH298" i="3" s="1"/>
  <c r="BI298" i="3" s="1"/>
  <c r="X301" i="3"/>
  <c r="BA299" i="3"/>
  <c r="Y301" i="3"/>
  <c r="Z301" i="3" s="1"/>
  <c r="AY299" i="3"/>
  <c r="BC299" i="3" s="1"/>
  <c r="A303" i="3"/>
  <c r="D302" i="3"/>
  <c r="C302" i="3"/>
  <c r="AQ302" i="3"/>
  <c r="AR302" i="3"/>
  <c r="B302" i="3"/>
  <c r="F302" i="3"/>
  <c r="G302" i="3"/>
  <c r="H302" i="3" s="1"/>
  <c r="Q302" i="3"/>
  <c r="S302" i="3"/>
  <c r="O302" i="3"/>
  <c r="U302" i="3"/>
  <c r="AK302" i="3"/>
  <c r="AM302" i="3"/>
  <c r="AF302" i="3"/>
  <c r="AD302" i="3"/>
  <c r="M302" i="3"/>
  <c r="AE302" i="3"/>
  <c r="V302" i="3"/>
  <c r="T302" i="3"/>
  <c r="P302" i="3"/>
  <c r="R302" i="3"/>
  <c r="AV300" i="3"/>
  <c r="AN301" i="3"/>
  <c r="AX300" i="3"/>
  <c r="AY300" i="3" s="1"/>
  <c r="AN302" i="3" l="1"/>
  <c r="AU301" i="3"/>
  <c r="AX301" i="3"/>
  <c r="X302" i="3"/>
  <c r="AG302" i="3"/>
  <c r="BD299" i="3"/>
  <c r="BG299" i="3"/>
  <c r="BH299" i="3" s="1"/>
  <c r="BI299" i="3" s="1"/>
  <c r="BQ299" i="3"/>
  <c r="BF299" i="3"/>
  <c r="BJ298" i="3" s="1"/>
  <c r="BK298" i="3" s="1"/>
  <c r="BB299" i="3"/>
  <c r="AO302" i="3"/>
  <c r="C303" i="3"/>
  <c r="D303" i="3"/>
  <c r="B303" i="3"/>
  <c r="A304" i="3"/>
  <c r="AQ303" i="3"/>
  <c r="AR303" i="3"/>
  <c r="F303" i="3"/>
  <c r="G303" i="3"/>
  <c r="H303" i="3" s="1"/>
  <c r="Q303" i="3"/>
  <c r="S303" i="3"/>
  <c r="O303" i="3"/>
  <c r="U303" i="3"/>
  <c r="AM303" i="3"/>
  <c r="AD303" i="3"/>
  <c r="AF303" i="3"/>
  <c r="AK303" i="3"/>
  <c r="AE303" i="3"/>
  <c r="M303" i="3"/>
  <c r="R303" i="3"/>
  <c r="V303" i="3"/>
  <c r="P303" i="3"/>
  <c r="T303" i="3"/>
  <c r="AW301" i="3"/>
  <c r="AV301" i="3"/>
  <c r="BC300" i="3"/>
  <c r="BN302" i="3"/>
  <c r="Y302" i="3"/>
  <c r="Z302" i="3" s="1"/>
  <c r="AH302" i="3"/>
  <c r="AX302" i="3" s="1"/>
  <c r="BA300" i="3"/>
  <c r="BM302" i="3"/>
  <c r="AY301" i="3" l="1"/>
  <c r="AG303" i="3"/>
  <c r="BA301" i="3"/>
  <c r="AO303" i="3"/>
  <c r="BF301" i="3"/>
  <c r="BQ301" i="3"/>
  <c r="BB301" i="3"/>
  <c r="BC301" i="3"/>
  <c r="BN303" i="3"/>
  <c r="BM303" i="3"/>
  <c r="X303" i="3"/>
  <c r="AW302" i="3"/>
  <c r="AY302" i="3" s="1"/>
  <c r="AU302" i="3"/>
  <c r="AT302" i="3"/>
  <c r="AH303" i="3"/>
  <c r="AN303" i="3"/>
  <c r="BD300" i="3"/>
  <c r="BG300" i="3"/>
  <c r="BH300" i="3" s="1"/>
  <c r="BI300" i="3" s="1"/>
  <c r="Y303" i="3"/>
  <c r="Z303" i="3" s="1"/>
  <c r="A305" i="3"/>
  <c r="B304" i="3"/>
  <c r="AQ304" i="3"/>
  <c r="C304" i="3"/>
  <c r="AR304" i="3"/>
  <c r="D304" i="3"/>
  <c r="G304" i="3"/>
  <c r="H304" i="3" s="1"/>
  <c r="BN304" i="3" s="1"/>
  <c r="F304" i="3"/>
  <c r="Q304" i="3"/>
  <c r="S304" i="3"/>
  <c r="O304" i="3"/>
  <c r="U304" i="3"/>
  <c r="AK304" i="3"/>
  <c r="AO304" i="3" s="1"/>
  <c r="AE304" i="3"/>
  <c r="AM304" i="3"/>
  <c r="AD304" i="3"/>
  <c r="AF304" i="3"/>
  <c r="M304" i="3"/>
  <c r="V304" i="3"/>
  <c r="R304" i="3"/>
  <c r="T304" i="3"/>
  <c r="P304" i="3"/>
  <c r="BQ300" i="3"/>
  <c r="BF300" i="3"/>
  <c r="BJ299" i="3" s="1"/>
  <c r="BK299" i="3" s="1"/>
  <c r="BB300" i="3"/>
  <c r="X304" i="3" l="1"/>
  <c r="AW303" i="3"/>
  <c r="AH304" i="3"/>
  <c r="AU303" i="3"/>
  <c r="AT303" i="3"/>
  <c r="B305" i="3"/>
  <c r="AQ305" i="3"/>
  <c r="A306" i="3"/>
  <c r="AR305" i="3"/>
  <c r="C305" i="3"/>
  <c r="D305" i="3"/>
  <c r="F305" i="3"/>
  <c r="BM305" i="3" s="1"/>
  <c r="G305" i="3"/>
  <c r="H305" i="3" s="1"/>
  <c r="BN305" i="3" s="1"/>
  <c r="Q305" i="3"/>
  <c r="S305" i="3"/>
  <c r="O305" i="3"/>
  <c r="U305" i="3"/>
  <c r="AM305" i="3"/>
  <c r="M305" i="3"/>
  <c r="AK305" i="3"/>
  <c r="AO305" i="3" s="1"/>
  <c r="AF305" i="3"/>
  <c r="AD305" i="3"/>
  <c r="AE305" i="3"/>
  <c r="AG305" i="3" s="1"/>
  <c r="P305" i="3"/>
  <c r="V305" i="3"/>
  <c r="T305" i="3"/>
  <c r="R305" i="3"/>
  <c r="BM304" i="3"/>
  <c r="AX303" i="3"/>
  <c r="AY303" i="3" s="1"/>
  <c r="Y304" i="3"/>
  <c r="Z304" i="3" s="1"/>
  <c r="BD301" i="3"/>
  <c r="BG301" i="3"/>
  <c r="BH301" i="3" s="1"/>
  <c r="BI301" i="3" s="1"/>
  <c r="AN304" i="3"/>
  <c r="BJ300" i="3"/>
  <c r="BK300" i="3" s="1"/>
  <c r="AV302" i="3"/>
  <c r="BC302" i="3" s="1"/>
  <c r="BA302" i="3"/>
  <c r="AG304" i="3"/>
  <c r="X305" i="3" l="1"/>
  <c r="Y305" i="3"/>
  <c r="Z305" i="3" s="1"/>
  <c r="AW304" i="3"/>
  <c r="AH305" i="3"/>
  <c r="BD302" i="3"/>
  <c r="BG302" i="3"/>
  <c r="BH302" i="3" s="1"/>
  <c r="BI302" i="3" s="1"/>
  <c r="AT304" i="3"/>
  <c r="AV303" i="3"/>
  <c r="BC303" i="3" s="1"/>
  <c r="BA303" i="3"/>
  <c r="BF302" i="3"/>
  <c r="BJ301" i="3" s="1"/>
  <c r="BK301" i="3" s="1"/>
  <c r="BQ302" i="3"/>
  <c r="BB302" i="3"/>
  <c r="AX304" i="3"/>
  <c r="AY304" i="3" s="1"/>
  <c r="AU304" i="3"/>
  <c r="A307" i="3"/>
  <c r="D306" i="3"/>
  <c r="C306" i="3"/>
  <c r="AQ306" i="3"/>
  <c r="B306" i="3"/>
  <c r="AR306" i="3"/>
  <c r="F306" i="3"/>
  <c r="BM306" i="3" s="1"/>
  <c r="G306" i="3"/>
  <c r="H306" i="3" s="1"/>
  <c r="Q306" i="3"/>
  <c r="S306" i="3"/>
  <c r="O306" i="3"/>
  <c r="U306" i="3"/>
  <c r="M306" i="3"/>
  <c r="AK306" i="3"/>
  <c r="AF306" i="3"/>
  <c r="AD306" i="3"/>
  <c r="AM306" i="3"/>
  <c r="AE306" i="3"/>
  <c r="V306" i="3"/>
  <c r="T306" i="3"/>
  <c r="P306" i="3"/>
  <c r="R306" i="3"/>
  <c r="AN305" i="3"/>
  <c r="BN306" i="3" l="1"/>
  <c r="AH306" i="3"/>
  <c r="AO306" i="3"/>
  <c r="AN306" i="3"/>
  <c r="D307" i="3"/>
  <c r="C307" i="3"/>
  <c r="B307" i="3"/>
  <c r="A308" i="3"/>
  <c r="AQ307" i="3"/>
  <c r="AR307" i="3"/>
  <c r="G307" i="3"/>
  <c r="H307" i="3" s="1"/>
  <c r="F307" i="3"/>
  <c r="Q307" i="3"/>
  <c r="S307" i="3"/>
  <c r="O307" i="3"/>
  <c r="U307" i="3"/>
  <c r="AF307" i="3"/>
  <c r="AK307" i="3"/>
  <c r="AM307" i="3"/>
  <c r="AD307" i="3"/>
  <c r="M307" i="3"/>
  <c r="AE307" i="3"/>
  <c r="T307" i="3"/>
  <c r="P307" i="3"/>
  <c r="V307" i="3"/>
  <c r="R307" i="3"/>
  <c r="BB303" i="3"/>
  <c r="BQ303" i="3"/>
  <c r="BF303" i="3"/>
  <c r="BJ302" i="3" s="1"/>
  <c r="BK302" i="3" s="1"/>
  <c r="BA304" i="3"/>
  <c r="AV304" i="3"/>
  <c r="BC304" i="3" s="1"/>
  <c r="X306" i="3"/>
  <c r="AX305" i="3"/>
  <c r="BD303" i="3"/>
  <c r="BG303" i="3"/>
  <c r="BH303" i="3" s="1"/>
  <c r="BI303" i="3" s="1"/>
  <c r="Y306" i="3"/>
  <c r="Z306" i="3" s="1"/>
  <c r="AU305" i="3"/>
  <c r="AG306" i="3"/>
  <c r="AX306" i="3" s="1"/>
  <c r="AW305" i="3"/>
  <c r="AT305" i="3"/>
  <c r="BN307" i="3" l="1"/>
  <c r="X307" i="3"/>
  <c r="AH307" i="3"/>
  <c r="AO307" i="3"/>
  <c r="Y307" i="3"/>
  <c r="Z307" i="3" s="1"/>
  <c r="AW306" i="3"/>
  <c r="AY306" i="3" s="1"/>
  <c r="AN307" i="3"/>
  <c r="AG307" i="3"/>
  <c r="A309" i="3"/>
  <c r="B308" i="3"/>
  <c r="AQ308" i="3"/>
  <c r="D308" i="3"/>
  <c r="AR308" i="3"/>
  <c r="C308" i="3"/>
  <c r="G308" i="3"/>
  <c r="H308" i="3" s="1"/>
  <c r="BN308" i="3" s="1"/>
  <c r="F308" i="3"/>
  <c r="Q308" i="3"/>
  <c r="S308" i="3"/>
  <c r="O308" i="3"/>
  <c r="U308" i="3"/>
  <c r="AK308" i="3"/>
  <c r="M308" i="3"/>
  <c r="AM308" i="3"/>
  <c r="AN308" i="3" s="1"/>
  <c r="AF308" i="3"/>
  <c r="AE308" i="3"/>
  <c r="AD308" i="3"/>
  <c r="P308" i="3"/>
  <c r="V308" i="3"/>
  <c r="R308" i="3"/>
  <c r="T308" i="3"/>
  <c r="BD304" i="3"/>
  <c r="BG304" i="3"/>
  <c r="BH304" i="3" s="1"/>
  <c r="BI304" i="3" s="1"/>
  <c r="AT306" i="3"/>
  <c r="AU306" i="3"/>
  <c r="BQ304" i="3"/>
  <c r="BB304" i="3"/>
  <c r="BF304" i="3"/>
  <c r="BJ303" i="3" s="1"/>
  <c r="BK303" i="3" s="1"/>
  <c r="BA305" i="3"/>
  <c r="AV305" i="3"/>
  <c r="AY305" i="3"/>
  <c r="BM307" i="3"/>
  <c r="AW307" i="3" l="1"/>
  <c r="AU307" i="3"/>
  <c r="BM308" i="3"/>
  <c r="AX307" i="3"/>
  <c r="AY307" i="3" s="1"/>
  <c r="BC305" i="3"/>
  <c r="BD305" i="3" s="1"/>
  <c r="AO308" i="3"/>
  <c r="BG305" i="3"/>
  <c r="BH305" i="3" s="1"/>
  <c r="BI305" i="3" s="1"/>
  <c r="AG308" i="3"/>
  <c r="B309" i="3"/>
  <c r="AQ309" i="3"/>
  <c r="A310" i="3"/>
  <c r="AR309" i="3"/>
  <c r="C309" i="3"/>
  <c r="D309" i="3"/>
  <c r="G309" i="3"/>
  <c r="H309" i="3" s="1"/>
  <c r="BN309" i="3" s="1"/>
  <c r="F309" i="3"/>
  <c r="Q309" i="3"/>
  <c r="S309" i="3"/>
  <c r="O309" i="3"/>
  <c r="U309" i="3"/>
  <c r="M309" i="3"/>
  <c r="AM309" i="3"/>
  <c r="AK309" i="3"/>
  <c r="AO309" i="3" s="1"/>
  <c r="AD309" i="3"/>
  <c r="AF309" i="3"/>
  <c r="AE309" i="3"/>
  <c r="R309" i="3"/>
  <c r="V309" i="3"/>
  <c r="T309" i="3"/>
  <c r="P309" i="3"/>
  <c r="Y308" i="3"/>
  <c r="Z308" i="3" s="1"/>
  <c r="AT307" i="3"/>
  <c r="BQ305" i="3"/>
  <c r="BB305" i="3"/>
  <c r="BF305" i="3"/>
  <c r="BJ304" i="3" s="1"/>
  <c r="BK304" i="3" s="1"/>
  <c r="X308" i="3"/>
  <c r="AV306" i="3"/>
  <c r="BC306" i="3" s="1"/>
  <c r="BA306" i="3"/>
  <c r="AH308" i="3"/>
  <c r="AG309" i="3" l="1"/>
  <c r="AX308" i="3"/>
  <c r="A311" i="3"/>
  <c r="D310" i="3"/>
  <c r="C310" i="3"/>
  <c r="AQ310" i="3"/>
  <c r="AR310" i="3"/>
  <c r="B310" i="3"/>
  <c r="G310" i="3"/>
  <c r="H310" i="3" s="1"/>
  <c r="F310" i="3"/>
  <c r="Q310" i="3"/>
  <c r="S310" i="3"/>
  <c r="O310" i="3"/>
  <c r="U310" i="3"/>
  <c r="AE310" i="3"/>
  <c r="AM310" i="3"/>
  <c r="AK310" i="3"/>
  <c r="AD310" i="3"/>
  <c r="AF310" i="3"/>
  <c r="M310" i="3"/>
  <c r="V310" i="3"/>
  <c r="P310" i="3"/>
  <c r="T310" i="3"/>
  <c r="R310" i="3"/>
  <c r="BM309" i="3"/>
  <c r="AW308" i="3"/>
  <c r="AY308" i="3" s="1"/>
  <c r="X309" i="3"/>
  <c r="AH309" i="3"/>
  <c r="AU309" i="3" s="1"/>
  <c r="BD306" i="3"/>
  <c r="BG306" i="3"/>
  <c r="BH306" i="3" s="1"/>
  <c r="BI306" i="3" s="1"/>
  <c r="AV307" i="3"/>
  <c r="BC307" i="3" s="1"/>
  <c r="BA307" i="3"/>
  <c r="BQ306" i="3"/>
  <c r="BB306" i="3"/>
  <c r="BF306" i="3"/>
  <c r="BJ305" i="3" s="1"/>
  <c r="BK305" i="3" s="1"/>
  <c r="AU308" i="3"/>
  <c r="AT308" i="3"/>
  <c r="AN309" i="3"/>
  <c r="Y309" i="3"/>
  <c r="Z309" i="3" s="1"/>
  <c r="BN310" i="3" l="1"/>
  <c r="AG310" i="3"/>
  <c r="AN310" i="3"/>
  <c r="BD307" i="3"/>
  <c r="BG307" i="3"/>
  <c r="BH307" i="3" s="1"/>
  <c r="BI307" i="3" s="1"/>
  <c r="AO310" i="3"/>
  <c r="AX309" i="3"/>
  <c r="AW309" i="3"/>
  <c r="Y310" i="3"/>
  <c r="Z310" i="3" s="1"/>
  <c r="X310" i="3"/>
  <c r="C311" i="3"/>
  <c r="D311" i="3"/>
  <c r="B311" i="3"/>
  <c r="AR311" i="3"/>
  <c r="A312" i="3"/>
  <c r="AQ311" i="3"/>
  <c r="G311" i="3"/>
  <c r="H311" i="3" s="1"/>
  <c r="F311" i="3"/>
  <c r="S311" i="3"/>
  <c r="Q311" i="3"/>
  <c r="O311" i="3"/>
  <c r="U311" i="3"/>
  <c r="AD311" i="3"/>
  <c r="AM311" i="3"/>
  <c r="AE311" i="3"/>
  <c r="AK311" i="3"/>
  <c r="AF311" i="3"/>
  <c r="M311" i="3"/>
  <c r="R311" i="3"/>
  <c r="V311" i="3"/>
  <c r="P311" i="3"/>
  <c r="T311" i="3"/>
  <c r="BA308" i="3"/>
  <c r="AV308" i="3"/>
  <c r="BC308" i="3" s="1"/>
  <c r="BQ307" i="3"/>
  <c r="BF307" i="3"/>
  <c r="BJ306" i="3" s="1"/>
  <c r="BK306" i="3" s="1"/>
  <c r="BB307" i="3"/>
  <c r="AH310" i="3"/>
  <c r="AX310" i="3" s="1"/>
  <c r="BM310" i="3"/>
  <c r="AT309" i="3"/>
  <c r="BN311" i="3" l="1"/>
  <c r="AN311" i="3"/>
  <c r="X311" i="3"/>
  <c r="AH311" i="3"/>
  <c r="BF308" i="3"/>
  <c r="BJ307" i="3" s="1"/>
  <c r="BK307" i="3" s="1"/>
  <c r="BB308" i="3"/>
  <c r="BQ308" i="3"/>
  <c r="AG311" i="3"/>
  <c r="AY309" i="3"/>
  <c r="AU310" i="3"/>
  <c r="AT310" i="3"/>
  <c r="AW310" i="3"/>
  <c r="AY310" i="3" s="1"/>
  <c r="A313" i="3"/>
  <c r="B312" i="3"/>
  <c r="AQ312" i="3"/>
  <c r="D312" i="3"/>
  <c r="AR312" i="3"/>
  <c r="C312" i="3"/>
  <c r="F312" i="3"/>
  <c r="BM312" i="3" s="1"/>
  <c r="G312" i="3"/>
  <c r="H312" i="3" s="1"/>
  <c r="Q312" i="3"/>
  <c r="S312" i="3"/>
  <c r="O312" i="3"/>
  <c r="U312" i="3"/>
  <c r="M312" i="3"/>
  <c r="AE312" i="3"/>
  <c r="AK312" i="3"/>
  <c r="AM312" i="3"/>
  <c r="AN312" i="3" s="1"/>
  <c r="AF312" i="3"/>
  <c r="AD312" i="3"/>
  <c r="V312" i="3"/>
  <c r="R312" i="3"/>
  <c r="T312" i="3"/>
  <c r="P312" i="3"/>
  <c r="Y311" i="3"/>
  <c r="Z311" i="3" s="1"/>
  <c r="AV309" i="3"/>
  <c r="BC309" i="3" s="1"/>
  <c r="BA309" i="3"/>
  <c r="BD308" i="3"/>
  <c r="BG308" i="3"/>
  <c r="BH308" i="3" s="1"/>
  <c r="BI308" i="3" s="1"/>
  <c r="AO311" i="3"/>
  <c r="BM311" i="3"/>
  <c r="BN312" i="3" l="1"/>
  <c r="AU311" i="3"/>
  <c r="Y312" i="3"/>
  <c r="Z312" i="3" s="1"/>
  <c r="AW311" i="3"/>
  <c r="AH312" i="3"/>
  <c r="X312" i="3"/>
  <c r="AT311" i="3"/>
  <c r="AU312" i="3"/>
  <c r="BD309" i="3"/>
  <c r="BG309" i="3"/>
  <c r="BH309" i="3" s="1"/>
  <c r="BI309" i="3" s="1"/>
  <c r="AO312" i="3"/>
  <c r="BA310" i="3"/>
  <c r="AV310" i="3"/>
  <c r="BC310" i="3" s="1"/>
  <c r="AG312" i="3"/>
  <c r="BQ309" i="3"/>
  <c r="BB309" i="3"/>
  <c r="BF309" i="3"/>
  <c r="BJ308" i="3" s="1"/>
  <c r="BK308" i="3" s="1"/>
  <c r="B313" i="3"/>
  <c r="AQ313" i="3"/>
  <c r="A314" i="3"/>
  <c r="AR313" i="3"/>
  <c r="D313" i="3"/>
  <c r="C313" i="3"/>
  <c r="G313" i="3"/>
  <c r="H313" i="3" s="1"/>
  <c r="BN313" i="3" s="1"/>
  <c r="F313" i="3"/>
  <c r="Q313" i="3"/>
  <c r="S313" i="3"/>
  <c r="O313" i="3"/>
  <c r="U313" i="3"/>
  <c r="M313" i="3"/>
  <c r="AF313" i="3"/>
  <c r="AM313" i="3"/>
  <c r="AK313" i="3"/>
  <c r="AE313" i="3"/>
  <c r="AD313" i="3"/>
  <c r="V313" i="3"/>
  <c r="R313" i="3"/>
  <c r="P313" i="3"/>
  <c r="T313" i="3"/>
  <c r="AT312" i="3"/>
  <c r="AX311" i="3"/>
  <c r="AY311" i="3" l="1"/>
  <c r="AO313" i="3"/>
  <c r="BM313" i="3"/>
  <c r="AH313" i="3"/>
  <c r="AX312" i="3"/>
  <c r="AV312" i="3"/>
  <c r="BA312" i="3"/>
  <c r="BF310" i="3"/>
  <c r="BJ309" i="3" s="1"/>
  <c r="BK309" i="3" s="1"/>
  <c r="BB310" i="3"/>
  <c r="BQ310" i="3"/>
  <c r="AN313" i="3"/>
  <c r="X313" i="3"/>
  <c r="AW312" i="3"/>
  <c r="AY312" i="3" s="1"/>
  <c r="AG313" i="3"/>
  <c r="Y313" i="3"/>
  <c r="Z313" i="3" s="1"/>
  <c r="AV311" i="3"/>
  <c r="BC311" i="3" s="1"/>
  <c r="BA311" i="3"/>
  <c r="A315" i="3"/>
  <c r="D314" i="3"/>
  <c r="C314" i="3"/>
  <c r="AQ314" i="3"/>
  <c r="AR314" i="3"/>
  <c r="B314" i="3"/>
  <c r="F314" i="3"/>
  <c r="BM314" i="3" s="1"/>
  <c r="G314" i="3"/>
  <c r="H314" i="3" s="1"/>
  <c r="S314" i="3"/>
  <c r="Q314" i="3"/>
  <c r="O314" i="3"/>
  <c r="U314" i="3"/>
  <c r="AD314" i="3"/>
  <c r="AK314" i="3"/>
  <c r="AM314" i="3"/>
  <c r="M314" i="3"/>
  <c r="AE314" i="3"/>
  <c r="AF314" i="3"/>
  <c r="P314" i="3"/>
  <c r="V314" i="3"/>
  <c r="R314" i="3"/>
  <c r="T314" i="3"/>
  <c r="BD310" i="3"/>
  <c r="BG310" i="3"/>
  <c r="BH310" i="3" s="1"/>
  <c r="BI310" i="3" s="1"/>
  <c r="AT313" i="3" l="1"/>
  <c r="AX313" i="3"/>
  <c r="BN314" i="3"/>
  <c r="AN314" i="3"/>
  <c r="AW313" i="3"/>
  <c r="AY313" i="3" s="1"/>
  <c r="BC312" i="3"/>
  <c r="BG312" i="3" s="1"/>
  <c r="BH312" i="3" s="1"/>
  <c r="BI312" i="3" s="1"/>
  <c r="AH314" i="3"/>
  <c r="AO314" i="3"/>
  <c r="Y314" i="3"/>
  <c r="Z314" i="3" s="1"/>
  <c r="BD311" i="3"/>
  <c r="BG311" i="3"/>
  <c r="BH311" i="3" s="1"/>
  <c r="BI311" i="3" s="1"/>
  <c r="X314" i="3"/>
  <c r="BB312" i="3"/>
  <c r="BQ312" i="3"/>
  <c r="BF312" i="3"/>
  <c r="AU313" i="3"/>
  <c r="BQ311" i="3"/>
  <c r="BF311" i="3"/>
  <c r="BJ310" i="3" s="1"/>
  <c r="BK310" i="3" s="1"/>
  <c r="BB311" i="3"/>
  <c r="AG314" i="3"/>
  <c r="D315" i="3"/>
  <c r="C315" i="3"/>
  <c r="B315" i="3"/>
  <c r="A316" i="3"/>
  <c r="AQ315" i="3"/>
  <c r="AR315" i="3"/>
  <c r="G315" i="3"/>
  <c r="H315" i="3" s="1"/>
  <c r="F315" i="3"/>
  <c r="Q315" i="3"/>
  <c r="S315" i="3"/>
  <c r="O315" i="3"/>
  <c r="U315" i="3"/>
  <c r="AD315" i="3"/>
  <c r="AM315" i="3"/>
  <c r="AE315" i="3"/>
  <c r="AF315" i="3"/>
  <c r="AK315" i="3"/>
  <c r="AO315" i="3" s="1"/>
  <c r="M315" i="3"/>
  <c r="V315" i="3"/>
  <c r="P315" i="3"/>
  <c r="R315" i="3"/>
  <c r="T315" i="3"/>
  <c r="BM315" i="3" l="1"/>
  <c r="BD312" i="3"/>
  <c r="BA313" i="3"/>
  <c r="BB313" i="3" s="1"/>
  <c r="AH315" i="3"/>
  <c r="AW314" i="3"/>
  <c r="BJ311" i="3"/>
  <c r="BK311" i="3" s="1"/>
  <c r="BQ313" i="3"/>
  <c r="BF313" i="3"/>
  <c r="BJ312" i="3" s="1"/>
  <c r="BK312" i="3" s="1"/>
  <c r="AG315" i="3"/>
  <c r="BN315" i="3"/>
  <c r="AN315" i="3"/>
  <c r="AT314" i="3"/>
  <c r="AX314" i="3"/>
  <c r="AY314" i="3" s="1"/>
  <c r="X315" i="3"/>
  <c r="A317" i="3"/>
  <c r="B316" i="3"/>
  <c r="AQ316" i="3"/>
  <c r="C316" i="3"/>
  <c r="D316" i="3"/>
  <c r="AR316" i="3"/>
  <c r="F316" i="3"/>
  <c r="G316" i="3"/>
  <c r="H316" i="3" s="1"/>
  <c r="BN316" i="3" s="1"/>
  <c r="Q316" i="3"/>
  <c r="S316" i="3"/>
  <c r="O316" i="3"/>
  <c r="U316" i="3"/>
  <c r="AM316" i="3"/>
  <c r="AK316" i="3"/>
  <c r="AF316" i="3"/>
  <c r="M316" i="3"/>
  <c r="AD316" i="3"/>
  <c r="AE316" i="3"/>
  <c r="P316" i="3"/>
  <c r="R316" i="3"/>
  <c r="T316" i="3"/>
  <c r="V316" i="3"/>
  <c r="AV313" i="3"/>
  <c r="BC313" i="3" s="1"/>
  <c r="AU314" i="3"/>
  <c r="Y315" i="3"/>
  <c r="Z315" i="3" s="1"/>
  <c r="AW315" i="3" l="1"/>
  <c r="AG316" i="3"/>
  <c r="AT315" i="3"/>
  <c r="AO316" i="3"/>
  <c r="X316" i="3"/>
  <c r="B317" i="3"/>
  <c r="AQ317" i="3"/>
  <c r="A318" i="3"/>
  <c r="AR317" i="3"/>
  <c r="D317" i="3"/>
  <c r="C317" i="3"/>
  <c r="G317" i="3"/>
  <c r="H317" i="3" s="1"/>
  <c r="F317" i="3"/>
  <c r="Q317" i="3"/>
  <c r="S317" i="3"/>
  <c r="O317" i="3"/>
  <c r="U317" i="3"/>
  <c r="AK317" i="3"/>
  <c r="AD317" i="3"/>
  <c r="M317" i="3"/>
  <c r="AM317" i="3"/>
  <c r="AF317" i="3"/>
  <c r="AE317" i="3"/>
  <c r="V317" i="3"/>
  <c r="T317" i="3"/>
  <c r="P317" i="3"/>
  <c r="R317" i="3"/>
  <c r="AX315" i="3"/>
  <c r="AY315" i="3" s="1"/>
  <c r="BD313" i="3"/>
  <c r="BG313" i="3"/>
  <c r="BH313" i="3" s="1"/>
  <c r="BI313" i="3" s="1"/>
  <c r="AH316" i="3"/>
  <c r="BM316" i="3"/>
  <c r="AU315" i="3"/>
  <c r="Y316" i="3"/>
  <c r="Z316" i="3" s="1"/>
  <c r="AN316" i="3"/>
  <c r="AV314" i="3"/>
  <c r="BC314" i="3" s="1"/>
  <c r="BA314" i="3"/>
  <c r="BA315" i="3" l="1"/>
  <c r="AV315" i="3"/>
  <c r="BC315" i="3" s="1"/>
  <c r="AO317" i="3"/>
  <c r="BF314" i="3"/>
  <c r="BJ313" i="3" s="1"/>
  <c r="BK313" i="3" s="1"/>
  <c r="BQ314" i="3"/>
  <c r="BB314" i="3"/>
  <c r="BB315" i="3"/>
  <c r="BF315" i="3"/>
  <c r="BQ315" i="3"/>
  <c r="BN317" i="3"/>
  <c r="BD315" i="3"/>
  <c r="BG315" i="3"/>
  <c r="BH315" i="3" s="1"/>
  <c r="BI315" i="3" s="1"/>
  <c r="X317" i="3"/>
  <c r="AX316" i="3"/>
  <c r="AG317" i="3"/>
  <c r="BD314" i="3"/>
  <c r="BG314" i="3"/>
  <c r="BH314" i="3" s="1"/>
  <c r="BI314" i="3" s="1"/>
  <c r="Y317" i="3"/>
  <c r="Z317" i="3" s="1"/>
  <c r="A319" i="3"/>
  <c r="C318" i="3"/>
  <c r="D318" i="3"/>
  <c r="AQ318" i="3"/>
  <c r="AR318" i="3"/>
  <c r="B318" i="3"/>
  <c r="F318" i="3"/>
  <c r="G318" i="3"/>
  <c r="H318" i="3" s="1"/>
  <c r="Q318" i="3"/>
  <c r="S318" i="3"/>
  <c r="O318" i="3"/>
  <c r="U318" i="3"/>
  <c r="M318" i="3"/>
  <c r="AM318" i="3"/>
  <c r="AD318" i="3"/>
  <c r="AK318" i="3"/>
  <c r="AF318" i="3"/>
  <c r="AE318" i="3"/>
  <c r="T318" i="3"/>
  <c r="V318" i="3"/>
  <c r="R318" i="3"/>
  <c r="P318" i="3"/>
  <c r="AT316" i="3"/>
  <c r="AH317" i="3"/>
  <c r="AU316" i="3"/>
  <c r="AW316" i="3"/>
  <c r="AN317" i="3"/>
  <c r="BM317" i="3"/>
  <c r="BJ314" i="3" l="1"/>
  <c r="BK314" i="3" s="1"/>
  <c r="AU317" i="3"/>
  <c r="AO318" i="3"/>
  <c r="AW317" i="3"/>
  <c r="AY316" i="3"/>
  <c r="AG318" i="3"/>
  <c r="AN318" i="3"/>
  <c r="AU318" i="3"/>
  <c r="C319" i="3"/>
  <c r="D319" i="3"/>
  <c r="B319" i="3"/>
  <c r="A320" i="3"/>
  <c r="AQ319" i="3"/>
  <c r="AR319" i="3"/>
  <c r="F319" i="3"/>
  <c r="G319" i="3"/>
  <c r="H319" i="3" s="1"/>
  <c r="Q319" i="3"/>
  <c r="S319" i="3"/>
  <c r="O319" i="3"/>
  <c r="U319" i="3"/>
  <c r="AK319" i="3"/>
  <c r="M319" i="3"/>
  <c r="AM319" i="3"/>
  <c r="AF319" i="3"/>
  <c r="AD319" i="3"/>
  <c r="AE319" i="3"/>
  <c r="P319" i="3"/>
  <c r="T319" i="3"/>
  <c r="V319" i="3"/>
  <c r="R319" i="3"/>
  <c r="Y318" i="3"/>
  <c r="Z318" i="3" s="1"/>
  <c r="AX317" i="3"/>
  <c r="AY317" i="3" s="1"/>
  <c r="BN318" i="3"/>
  <c r="X318" i="3"/>
  <c r="AV316" i="3"/>
  <c r="BA316" i="3"/>
  <c r="AH318" i="3"/>
  <c r="BM318" i="3"/>
  <c r="AT317" i="3"/>
  <c r="BC316" i="3" l="1"/>
  <c r="AG319" i="3"/>
  <c r="Y319" i="3"/>
  <c r="Z319" i="3" s="1"/>
  <c r="AX318" i="3"/>
  <c r="AO319" i="3"/>
  <c r="BD316" i="3"/>
  <c r="BG316" i="3"/>
  <c r="BH316" i="3" s="1"/>
  <c r="BI316" i="3" s="1"/>
  <c r="AH319" i="3"/>
  <c r="AX319" i="3" s="1"/>
  <c r="A321" i="3"/>
  <c r="B320" i="3"/>
  <c r="AQ320" i="3"/>
  <c r="D320" i="3"/>
  <c r="AR320" i="3"/>
  <c r="C320" i="3"/>
  <c r="F320" i="3"/>
  <c r="BM320" i="3" s="1"/>
  <c r="G320" i="3"/>
  <c r="H320" i="3" s="1"/>
  <c r="BN320" i="3" s="1"/>
  <c r="Q320" i="3"/>
  <c r="S320" i="3"/>
  <c r="O320" i="3"/>
  <c r="U320" i="3"/>
  <c r="AF320" i="3"/>
  <c r="AK320" i="3"/>
  <c r="AM320" i="3"/>
  <c r="AN320" i="3" s="1"/>
  <c r="AE320" i="3"/>
  <c r="M320" i="3"/>
  <c r="AD320" i="3"/>
  <c r="V320" i="3"/>
  <c r="P320" i="3"/>
  <c r="T320" i="3"/>
  <c r="R320" i="3"/>
  <c r="AV317" i="3"/>
  <c r="BC317" i="3" s="1"/>
  <c r="BA317" i="3"/>
  <c r="X319" i="3"/>
  <c r="AT318" i="3"/>
  <c r="AN319" i="3"/>
  <c r="BM319" i="3"/>
  <c r="BN319" i="3"/>
  <c r="BB316" i="3"/>
  <c r="BQ316" i="3"/>
  <c r="BF316" i="3"/>
  <c r="BJ315" i="3" s="1"/>
  <c r="BK315" i="3" s="1"/>
  <c r="AW318" i="3"/>
  <c r="AT319" i="3" l="1"/>
  <c r="Y320" i="3"/>
  <c r="Z320" i="3" s="1"/>
  <c r="AY318" i="3"/>
  <c r="AH320" i="3"/>
  <c r="AV318" i="3"/>
  <c r="BC318" i="3" s="1"/>
  <c r="BA318" i="3"/>
  <c r="X320" i="3"/>
  <c r="BD317" i="3"/>
  <c r="BG317" i="3"/>
  <c r="BH317" i="3" s="1"/>
  <c r="BI317" i="3" s="1"/>
  <c r="AU319" i="3"/>
  <c r="AV319" i="3" s="1"/>
  <c r="B321" i="3"/>
  <c r="AQ321" i="3"/>
  <c r="A322" i="3"/>
  <c r="AR321" i="3"/>
  <c r="C321" i="3"/>
  <c r="D321" i="3"/>
  <c r="F321" i="3"/>
  <c r="G321" i="3"/>
  <c r="H321" i="3" s="1"/>
  <c r="Q321" i="3"/>
  <c r="S321" i="3"/>
  <c r="O321" i="3"/>
  <c r="U321" i="3"/>
  <c r="AD321" i="3"/>
  <c r="AK321" i="3"/>
  <c r="AM321" i="3"/>
  <c r="AE321" i="3"/>
  <c r="M321" i="3"/>
  <c r="AF321" i="3"/>
  <c r="V321" i="3"/>
  <c r="T321" i="3"/>
  <c r="P321" i="3"/>
  <c r="R321" i="3"/>
  <c r="AW319" i="3"/>
  <c r="AY319" i="3" s="1"/>
  <c r="AO320" i="3"/>
  <c r="BQ317" i="3"/>
  <c r="BF317" i="3"/>
  <c r="BJ316" i="3" s="1"/>
  <c r="BK316" i="3" s="1"/>
  <c r="BB317" i="3"/>
  <c r="AG320" i="3"/>
  <c r="AW320" i="3" l="1"/>
  <c r="BC319" i="3"/>
  <c r="BD319" i="3" s="1"/>
  <c r="X321" i="3"/>
  <c r="BA319" i="3"/>
  <c r="BF319" i="3" s="1"/>
  <c r="AH321" i="3"/>
  <c r="AO321" i="3"/>
  <c r="AT320" i="3"/>
  <c r="Y321" i="3"/>
  <c r="Z321" i="3" s="1"/>
  <c r="BN321" i="3"/>
  <c r="AU320" i="3"/>
  <c r="BQ318" i="3"/>
  <c r="BF318" i="3"/>
  <c r="BJ317" i="3" s="1"/>
  <c r="BK317" i="3" s="1"/>
  <c r="BB318" i="3"/>
  <c r="AX320" i="3"/>
  <c r="AY320" i="3" s="1"/>
  <c r="A323" i="3"/>
  <c r="D322" i="3"/>
  <c r="C322" i="3"/>
  <c r="AQ322" i="3"/>
  <c r="B322" i="3"/>
  <c r="AR322" i="3"/>
  <c r="G322" i="3"/>
  <c r="H322" i="3" s="1"/>
  <c r="F322" i="3"/>
  <c r="Q322" i="3"/>
  <c r="S322" i="3"/>
  <c r="O322" i="3"/>
  <c r="U322" i="3"/>
  <c r="AF322" i="3"/>
  <c r="AK322" i="3"/>
  <c r="AM322" i="3"/>
  <c r="AD322" i="3"/>
  <c r="AE322" i="3"/>
  <c r="M322" i="3"/>
  <c r="P322" i="3"/>
  <c r="T322" i="3"/>
  <c r="R322" i="3"/>
  <c r="V322" i="3"/>
  <c r="AG321" i="3"/>
  <c r="AN321" i="3"/>
  <c r="BM321" i="3"/>
  <c r="BD318" i="3"/>
  <c r="BG318" i="3"/>
  <c r="BH318" i="3" s="1"/>
  <c r="BI318" i="3" s="1"/>
  <c r="BG319" i="3" l="1"/>
  <c r="BH319" i="3" s="1"/>
  <c r="BI319" i="3" s="1"/>
  <c r="X322" i="3"/>
  <c r="BB319" i="3"/>
  <c r="BQ319" i="3"/>
  <c r="AX321" i="3"/>
  <c r="Y322" i="3"/>
  <c r="Z322" i="3" s="1"/>
  <c r="AO322" i="3"/>
  <c r="AU321" i="3"/>
  <c r="BA320" i="3"/>
  <c r="AV320" i="3"/>
  <c r="BC320" i="3" s="1"/>
  <c r="AG322" i="3"/>
  <c r="BJ318" i="3"/>
  <c r="BK318" i="3" s="1"/>
  <c r="C323" i="3"/>
  <c r="D323" i="3"/>
  <c r="B323" i="3"/>
  <c r="A324" i="3"/>
  <c r="AQ323" i="3"/>
  <c r="AR323" i="3"/>
  <c r="G323" i="3"/>
  <c r="H323" i="3" s="1"/>
  <c r="F323" i="3"/>
  <c r="Q323" i="3"/>
  <c r="S323" i="3"/>
  <c r="O323" i="3"/>
  <c r="U323" i="3"/>
  <c r="AF323" i="3"/>
  <c r="AM323" i="3"/>
  <c r="AK323" i="3"/>
  <c r="M323" i="3"/>
  <c r="AD323" i="3"/>
  <c r="AE323" i="3"/>
  <c r="V323" i="3"/>
  <c r="P323" i="3"/>
  <c r="R323" i="3"/>
  <c r="T323" i="3"/>
  <c r="BM322" i="3"/>
  <c r="AH322" i="3"/>
  <c r="AW321" i="3"/>
  <c r="AY321" i="3" s="1"/>
  <c r="AN322" i="3"/>
  <c r="BN322" i="3"/>
  <c r="AT321" i="3"/>
  <c r="AX322" i="3" l="1"/>
  <c r="BM323" i="3"/>
  <c r="AO323" i="3"/>
  <c r="AG323" i="3"/>
  <c r="BG320" i="3"/>
  <c r="BH320" i="3" s="1"/>
  <c r="BI320" i="3" s="1"/>
  <c r="BD320" i="3"/>
  <c r="Y323" i="3"/>
  <c r="Z323" i="3" s="1"/>
  <c r="AW322" i="3"/>
  <c r="AY322" i="3" s="1"/>
  <c r="BF320" i="3"/>
  <c r="BJ319" i="3" s="1"/>
  <c r="BK319" i="3" s="1"/>
  <c r="BQ320" i="3"/>
  <c r="BB320" i="3"/>
  <c r="AH323" i="3"/>
  <c r="AU323" i="3" s="1"/>
  <c r="AU322" i="3"/>
  <c r="BN323" i="3"/>
  <c r="AN323" i="3"/>
  <c r="AV321" i="3"/>
  <c r="BC321" i="3" s="1"/>
  <c r="BA321" i="3"/>
  <c r="X323" i="3"/>
  <c r="A325" i="3"/>
  <c r="B324" i="3"/>
  <c r="AQ324" i="3"/>
  <c r="D324" i="3"/>
  <c r="AR324" i="3"/>
  <c r="C324" i="3"/>
  <c r="F324" i="3"/>
  <c r="G324" i="3"/>
  <c r="H324" i="3" s="1"/>
  <c r="Q324" i="3"/>
  <c r="S324" i="3"/>
  <c r="O324" i="3"/>
  <c r="U324" i="3"/>
  <c r="AK324" i="3"/>
  <c r="M324" i="3"/>
  <c r="AM324" i="3"/>
  <c r="AE324" i="3"/>
  <c r="AF324" i="3"/>
  <c r="AD324" i="3"/>
  <c r="P324" i="3"/>
  <c r="V324" i="3"/>
  <c r="T324" i="3"/>
  <c r="R324" i="3"/>
  <c r="AT322" i="3"/>
  <c r="AO324" i="3" l="1"/>
  <c r="X324" i="3"/>
  <c r="AH324" i="3"/>
  <c r="Y324" i="3"/>
  <c r="Z324" i="3" s="1"/>
  <c r="AG324" i="3"/>
  <c r="AW324" i="3" s="1"/>
  <c r="BN324" i="3"/>
  <c r="BD321" i="3"/>
  <c r="BG321" i="3"/>
  <c r="BH321" i="3" s="1"/>
  <c r="BI321" i="3" s="1"/>
  <c r="AX323" i="3"/>
  <c r="B325" i="3"/>
  <c r="AQ325" i="3"/>
  <c r="A326" i="3"/>
  <c r="AR325" i="3"/>
  <c r="D325" i="3"/>
  <c r="C325" i="3"/>
  <c r="G325" i="3"/>
  <c r="H325" i="3" s="1"/>
  <c r="F325" i="3"/>
  <c r="Q325" i="3"/>
  <c r="S325" i="3"/>
  <c r="O325" i="3"/>
  <c r="U325" i="3"/>
  <c r="AM325" i="3"/>
  <c r="AD325" i="3"/>
  <c r="AH325" i="3" s="1"/>
  <c r="M325" i="3"/>
  <c r="AK325" i="3"/>
  <c r="AF325" i="3"/>
  <c r="AE325" i="3"/>
  <c r="V325" i="3"/>
  <c r="R325" i="3"/>
  <c r="T325" i="3"/>
  <c r="P325" i="3"/>
  <c r="AW323" i="3"/>
  <c r="AY323" i="3" s="1"/>
  <c r="AV322" i="3"/>
  <c r="BC322" i="3" s="1"/>
  <c r="BA322" i="3"/>
  <c r="AN324" i="3"/>
  <c r="BM324" i="3"/>
  <c r="BQ321" i="3"/>
  <c r="BB321" i="3"/>
  <c r="BF321" i="3"/>
  <c r="BJ320" i="3" s="1"/>
  <c r="BK320" i="3" s="1"/>
  <c r="AT323" i="3"/>
  <c r="AN325" i="3" l="1"/>
  <c r="AX324" i="3"/>
  <c r="X325" i="3"/>
  <c r="Y325" i="3"/>
  <c r="Z325" i="3" s="1"/>
  <c r="A327" i="3"/>
  <c r="C326" i="3"/>
  <c r="D326" i="3"/>
  <c r="AQ326" i="3"/>
  <c r="AR326" i="3"/>
  <c r="B326" i="3"/>
  <c r="G326" i="3"/>
  <c r="H326" i="3" s="1"/>
  <c r="F326" i="3"/>
  <c r="Q326" i="3"/>
  <c r="S326" i="3"/>
  <c r="O326" i="3"/>
  <c r="U326" i="3"/>
  <c r="AK326" i="3"/>
  <c r="AM326" i="3"/>
  <c r="AF326" i="3"/>
  <c r="AD326" i="3"/>
  <c r="M326" i="3"/>
  <c r="AE326" i="3"/>
  <c r="V326" i="3"/>
  <c r="R326" i="3"/>
  <c r="P326" i="3"/>
  <c r="T326" i="3"/>
  <c r="AG325" i="3"/>
  <c r="AU325" i="3" s="1"/>
  <c r="AU324" i="3"/>
  <c r="BQ322" i="3"/>
  <c r="BB322" i="3"/>
  <c r="BF322" i="3"/>
  <c r="BJ321" i="3" s="1"/>
  <c r="BK321" i="3" s="1"/>
  <c r="BG322" i="3"/>
  <c r="BH322" i="3" s="1"/>
  <c r="BI322" i="3" s="1"/>
  <c r="BD322" i="3"/>
  <c r="AO325" i="3"/>
  <c r="BM325" i="3"/>
  <c r="AY324" i="3"/>
  <c r="AV323" i="3"/>
  <c r="BC323" i="3" s="1"/>
  <c r="BA323" i="3"/>
  <c r="BN325" i="3"/>
  <c r="AT324" i="3"/>
  <c r="AG326" i="3" l="1"/>
  <c r="BM326" i="3"/>
  <c r="AO326" i="3"/>
  <c r="C327" i="3"/>
  <c r="D327" i="3"/>
  <c r="B327" i="3"/>
  <c r="AR327" i="3"/>
  <c r="A328" i="3"/>
  <c r="AQ327" i="3"/>
  <c r="F327" i="3"/>
  <c r="G327" i="3"/>
  <c r="H327" i="3" s="1"/>
  <c r="Q327" i="3"/>
  <c r="S327" i="3"/>
  <c r="O327" i="3"/>
  <c r="U327" i="3"/>
  <c r="AF327" i="3"/>
  <c r="AE327" i="3"/>
  <c r="AM327" i="3"/>
  <c r="AK327" i="3"/>
  <c r="AD327" i="3"/>
  <c r="M327" i="3"/>
  <c r="V327" i="3"/>
  <c r="R327" i="3"/>
  <c r="P327" i="3"/>
  <c r="T327" i="3"/>
  <c r="Y326" i="3"/>
  <c r="Z326" i="3" s="1"/>
  <c r="BF323" i="3"/>
  <c r="BJ322" i="3" s="1"/>
  <c r="BK322" i="3" s="1"/>
  <c r="BQ323" i="3"/>
  <c r="BB323" i="3"/>
  <c r="X326" i="3"/>
  <c r="AW325" i="3"/>
  <c r="BN326" i="3"/>
  <c r="AT325" i="3"/>
  <c r="BD323" i="3"/>
  <c r="BG323" i="3"/>
  <c r="BH323" i="3" s="1"/>
  <c r="BI323" i="3" s="1"/>
  <c r="AH326" i="3"/>
  <c r="AU326" i="3" s="1"/>
  <c r="BA324" i="3"/>
  <c r="AV324" i="3"/>
  <c r="BC324" i="3" s="1"/>
  <c r="AN326" i="3"/>
  <c r="AX325" i="3"/>
  <c r="BM327" i="3" l="1"/>
  <c r="AN327" i="3"/>
  <c r="AY325" i="3"/>
  <c r="BD324" i="3"/>
  <c r="BG324" i="3"/>
  <c r="BH324" i="3" s="1"/>
  <c r="BI324" i="3" s="1"/>
  <c r="AG327" i="3"/>
  <c r="Y327" i="3"/>
  <c r="Z327" i="3" s="1"/>
  <c r="A329" i="3"/>
  <c r="B328" i="3"/>
  <c r="AQ328" i="3"/>
  <c r="C328" i="3"/>
  <c r="AR328" i="3"/>
  <c r="D328" i="3"/>
  <c r="F328" i="3"/>
  <c r="BM328" i="3" s="1"/>
  <c r="G328" i="3"/>
  <c r="H328" i="3" s="1"/>
  <c r="Q328" i="3"/>
  <c r="S328" i="3"/>
  <c r="O328" i="3"/>
  <c r="U328" i="3"/>
  <c r="AK328" i="3"/>
  <c r="AM328" i="3"/>
  <c r="AN328" i="3" s="1"/>
  <c r="AE328" i="3"/>
  <c r="AD328" i="3"/>
  <c r="AF328" i="3"/>
  <c r="M328" i="3"/>
  <c r="V328" i="3"/>
  <c r="P328" i="3"/>
  <c r="T328" i="3"/>
  <c r="R328" i="3"/>
  <c r="BF324" i="3"/>
  <c r="BJ323" i="3" s="1"/>
  <c r="BK323" i="3" s="1"/>
  <c r="BB324" i="3"/>
  <c r="BQ324" i="3"/>
  <c r="AX326" i="3"/>
  <c r="AW326" i="3"/>
  <c r="AH327" i="3"/>
  <c r="X327" i="3"/>
  <c r="AV325" i="3"/>
  <c r="BC325" i="3" s="1"/>
  <c r="BA325" i="3"/>
  <c r="AO327" i="3"/>
  <c r="BN327" i="3"/>
  <c r="AT326" i="3"/>
  <c r="BN328" i="3" l="1"/>
  <c r="AY326" i="3"/>
  <c r="AU327" i="3"/>
  <c r="BQ325" i="3"/>
  <c r="BF325" i="3"/>
  <c r="BJ324" i="3" s="1"/>
  <c r="BK324" i="3" s="1"/>
  <c r="BB325" i="3"/>
  <c r="BD325" i="3"/>
  <c r="BG325" i="3"/>
  <c r="BH325" i="3" s="1"/>
  <c r="BI325" i="3" s="1"/>
  <c r="Y328" i="3"/>
  <c r="Z328" i="3" s="1"/>
  <c r="B329" i="3"/>
  <c r="AQ329" i="3"/>
  <c r="A330" i="3"/>
  <c r="AR329" i="3"/>
  <c r="C329" i="3"/>
  <c r="D329" i="3"/>
  <c r="F329" i="3"/>
  <c r="G329" i="3"/>
  <c r="H329" i="3" s="1"/>
  <c r="Q329" i="3"/>
  <c r="S329" i="3"/>
  <c r="O329" i="3"/>
  <c r="U329" i="3"/>
  <c r="AF329" i="3"/>
  <c r="AD329" i="3"/>
  <c r="AM329" i="3"/>
  <c r="AK329" i="3"/>
  <c r="AE329" i="3"/>
  <c r="M329" i="3"/>
  <c r="V329" i="3"/>
  <c r="P329" i="3"/>
  <c r="R329" i="3"/>
  <c r="T329" i="3"/>
  <c r="AH328" i="3"/>
  <c r="AO328" i="3"/>
  <c r="AG328" i="3"/>
  <c r="AW327" i="3"/>
  <c r="AX327" i="3"/>
  <c r="AV326" i="3"/>
  <c r="BC326" i="3" s="1"/>
  <c r="BA326" i="3"/>
  <c r="AT327" i="3"/>
  <c r="X328" i="3"/>
  <c r="BM329" i="3" l="1"/>
  <c r="BN329" i="3"/>
  <c r="AO329" i="3"/>
  <c r="AY327" i="3"/>
  <c r="AT328" i="3"/>
  <c r="AH329" i="3"/>
  <c r="AW328" i="3"/>
  <c r="AG329" i="3"/>
  <c r="AU328" i="3"/>
  <c r="X329" i="3"/>
  <c r="AN329" i="3"/>
  <c r="Y329" i="3"/>
  <c r="Z329" i="3" s="1"/>
  <c r="A331" i="3"/>
  <c r="D330" i="3"/>
  <c r="C330" i="3"/>
  <c r="AQ330" i="3"/>
  <c r="AR330" i="3"/>
  <c r="B330" i="3"/>
  <c r="F330" i="3"/>
  <c r="G330" i="3"/>
  <c r="H330" i="3" s="1"/>
  <c r="Q330" i="3"/>
  <c r="S330" i="3"/>
  <c r="O330" i="3"/>
  <c r="U330" i="3"/>
  <c r="AM330" i="3"/>
  <c r="AK330" i="3"/>
  <c r="AF330" i="3"/>
  <c r="AD330" i="3"/>
  <c r="M330" i="3"/>
  <c r="AE330" i="3"/>
  <c r="V330" i="3"/>
  <c r="P330" i="3"/>
  <c r="T330" i="3"/>
  <c r="R330" i="3"/>
  <c r="BA327" i="3"/>
  <c r="AV327" i="3"/>
  <c r="BC327" i="3" s="1"/>
  <c r="AX328" i="3"/>
  <c r="BQ326" i="3"/>
  <c r="BB326" i="3"/>
  <c r="BF326" i="3"/>
  <c r="BJ325" i="3" s="1"/>
  <c r="BK325" i="3" s="1"/>
  <c r="BD326" i="3"/>
  <c r="BG326" i="3"/>
  <c r="BH326" i="3" s="1"/>
  <c r="BI326" i="3" s="1"/>
  <c r="AV328" i="3" l="1"/>
  <c r="AX329" i="3"/>
  <c r="AN330" i="3"/>
  <c r="AW329" i="3"/>
  <c r="AY329" i="3" s="1"/>
  <c r="AG330" i="3"/>
  <c r="Y330" i="3"/>
  <c r="Z330" i="3" s="1"/>
  <c r="BN330" i="3"/>
  <c r="AY328" i="3"/>
  <c r="BC328" i="3" s="1"/>
  <c r="BD327" i="3"/>
  <c r="BG327" i="3"/>
  <c r="BH327" i="3" s="1"/>
  <c r="BI327" i="3" s="1"/>
  <c r="BF327" i="3"/>
  <c r="BJ326" i="3" s="1"/>
  <c r="BK326" i="3" s="1"/>
  <c r="BB327" i="3"/>
  <c r="BQ327" i="3"/>
  <c r="BM330" i="3"/>
  <c r="BA328" i="3"/>
  <c r="X330" i="3"/>
  <c r="C331" i="3"/>
  <c r="D331" i="3"/>
  <c r="B331" i="3"/>
  <c r="A332" i="3"/>
  <c r="AQ331" i="3"/>
  <c r="AR331" i="3"/>
  <c r="G331" i="3"/>
  <c r="H331" i="3" s="1"/>
  <c r="BN331" i="3" s="1"/>
  <c r="F331" i="3"/>
  <c r="BM331" i="3" s="1"/>
  <c r="Q331" i="3"/>
  <c r="S331" i="3"/>
  <c r="O331" i="3"/>
  <c r="U331" i="3"/>
  <c r="AM331" i="3"/>
  <c r="AK331" i="3"/>
  <c r="AO331" i="3" s="1"/>
  <c r="M331" i="3"/>
  <c r="AE331" i="3"/>
  <c r="AF331" i="3"/>
  <c r="AD331" i="3"/>
  <c r="V331" i="3"/>
  <c r="T331" i="3"/>
  <c r="P331" i="3"/>
  <c r="R331" i="3"/>
  <c r="AH330" i="3"/>
  <c r="AU329" i="3"/>
  <c r="AO330" i="3"/>
  <c r="AT329" i="3"/>
  <c r="AX330" i="3" l="1"/>
  <c r="AG331" i="3"/>
  <c r="BG328" i="3"/>
  <c r="BH328" i="3" s="1"/>
  <c r="BI328" i="3" s="1"/>
  <c r="BD328" i="3"/>
  <c r="AW330" i="3"/>
  <c r="AY330" i="3" s="1"/>
  <c r="BF328" i="3"/>
  <c r="BJ327" i="3" s="1"/>
  <c r="BK327" i="3" s="1"/>
  <c r="BQ328" i="3"/>
  <c r="BB328" i="3"/>
  <c r="Y331" i="3"/>
  <c r="Z331" i="3" s="1"/>
  <c r="AT330" i="3"/>
  <c r="AN331" i="3"/>
  <c r="AV329" i="3"/>
  <c r="BC329" i="3" s="1"/>
  <c r="BA329" i="3"/>
  <c r="AH331" i="3"/>
  <c r="AX331" i="3" s="1"/>
  <c r="AU330" i="3"/>
  <c r="X331" i="3"/>
  <c r="A333" i="3"/>
  <c r="B332" i="3"/>
  <c r="AQ332" i="3"/>
  <c r="D332" i="3"/>
  <c r="C332" i="3"/>
  <c r="AR332" i="3"/>
  <c r="G332" i="3"/>
  <c r="H332" i="3" s="1"/>
  <c r="F332" i="3"/>
  <c r="S332" i="3"/>
  <c r="Q332" i="3"/>
  <c r="O332" i="3"/>
  <c r="U332" i="3"/>
  <c r="AE332" i="3"/>
  <c r="AM332" i="3"/>
  <c r="AF332" i="3"/>
  <c r="AK332" i="3"/>
  <c r="AD332" i="3"/>
  <c r="M332" i="3"/>
  <c r="V332" i="3"/>
  <c r="P332" i="3"/>
  <c r="R332" i="3"/>
  <c r="T332" i="3"/>
  <c r="AN332" i="3" l="1"/>
  <c r="AG332" i="3"/>
  <c r="AU331" i="3"/>
  <c r="AH332" i="3"/>
  <c r="BQ329" i="3"/>
  <c r="BF329" i="3"/>
  <c r="BJ328" i="3" s="1"/>
  <c r="BK328" i="3" s="1"/>
  <c r="BB329" i="3"/>
  <c r="BD329" i="3"/>
  <c r="BG329" i="3"/>
  <c r="BH329" i="3" s="1"/>
  <c r="BI329" i="3" s="1"/>
  <c r="BM332" i="3"/>
  <c r="X332" i="3"/>
  <c r="Y332" i="3"/>
  <c r="Z332" i="3" s="1"/>
  <c r="B333" i="3"/>
  <c r="AQ333" i="3"/>
  <c r="A334" i="3"/>
  <c r="AR333" i="3"/>
  <c r="C333" i="3"/>
  <c r="D333" i="3"/>
  <c r="F333" i="3"/>
  <c r="BM333" i="3" s="1"/>
  <c r="G333" i="3"/>
  <c r="H333" i="3" s="1"/>
  <c r="BN333" i="3" s="1"/>
  <c r="Q333" i="3"/>
  <c r="S333" i="3"/>
  <c r="O333" i="3"/>
  <c r="U333" i="3"/>
  <c r="AM333" i="3"/>
  <c r="AK333" i="3"/>
  <c r="AF333" i="3"/>
  <c r="AD333" i="3"/>
  <c r="M333" i="3"/>
  <c r="AE333" i="3"/>
  <c r="AG333" i="3" s="1"/>
  <c r="V333" i="3"/>
  <c r="P333" i="3"/>
  <c r="T333" i="3"/>
  <c r="R333" i="3"/>
  <c r="AO332" i="3"/>
  <c r="AW331" i="3"/>
  <c r="AY331" i="3" s="1"/>
  <c r="BN332" i="3"/>
  <c r="AT331" i="3"/>
  <c r="AV330" i="3"/>
  <c r="BC330" i="3" s="1"/>
  <c r="BA330" i="3"/>
  <c r="AO333" i="3" l="1"/>
  <c r="AN333" i="3"/>
  <c r="BD330" i="3"/>
  <c r="BG330" i="3"/>
  <c r="BH330" i="3" s="1"/>
  <c r="BI330" i="3" s="1"/>
  <c r="Y333" i="3"/>
  <c r="Z333" i="3" s="1"/>
  <c r="A335" i="3"/>
  <c r="D334" i="3"/>
  <c r="C334" i="3"/>
  <c r="AQ334" i="3"/>
  <c r="AR334" i="3"/>
  <c r="B334" i="3"/>
  <c r="F334" i="3"/>
  <c r="G334" i="3"/>
  <c r="H334" i="3" s="1"/>
  <c r="Q334" i="3"/>
  <c r="S334" i="3"/>
  <c r="O334" i="3"/>
  <c r="U334" i="3"/>
  <c r="AK334" i="3"/>
  <c r="AD334" i="3"/>
  <c r="AF334" i="3"/>
  <c r="M334" i="3"/>
  <c r="AM334" i="3"/>
  <c r="AN334" i="3" s="1"/>
  <c r="AE334" i="3"/>
  <c r="V334" i="3"/>
  <c r="T334" i="3"/>
  <c r="P334" i="3"/>
  <c r="R334" i="3"/>
  <c r="AV331" i="3"/>
  <c r="BC331" i="3" s="1"/>
  <c r="BA331" i="3"/>
  <c r="AH333" i="3"/>
  <c r="AX333" i="3" s="1"/>
  <c r="AX332" i="3"/>
  <c r="AU332" i="3"/>
  <c r="AT332" i="3"/>
  <c r="BF330" i="3"/>
  <c r="BJ329" i="3" s="1"/>
  <c r="BK329" i="3" s="1"/>
  <c r="BB330" i="3"/>
  <c r="BQ330" i="3"/>
  <c r="X333" i="3"/>
  <c r="AW332" i="3"/>
  <c r="BM334" i="3" l="1"/>
  <c r="AG334" i="3"/>
  <c r="C335" i="3"/>
  <c r="D335" i="3"/>
  <c r="B335" i="3"/>
  <c r="A336" i="3"/>
  <c r="AQ335" i="3"/>
  <c r="AR335" i="3"/>
  <c r="G335" i="3"/>
  <c r="H335" i="3" s="1"/>
  <c r="F335" i="3"/>
  <c r="S335" i="3"/>
  <c r="Q335" i="3"/>
  <c r="O335" i="3"/>
  <c r="U335" i="3"/>
  <c r="AK335" i="3"/>
  <c r="AM335" i="3"/>
  <c r="AN335" i="3" s="1"/>
  <c r="AE335" i="3"/>
  <c r="M335" i="3"/>
  <c r="AF335" i="3"/>
  <c r="AD335" i="3"/>
  <c r="V335" i="3"/>
  <c r="P335" i="3"/>
  <c r="T335" i="3"/>
  <c r="R335" i="3"/>
  <c r="AT333" i="3"/>
  <c r="Y334" i="3"/>
  <c r="Z334" i="3" s="1"/>
  <c r="BF331" i="3"/>
  <c r="BJ330" i="3" s="1"/>
  <c r="BK330" i="3" s="1"/>
  <c r="BB331" i="3"/>
  <c r="BQ331" i="3"/>
  <c r="AH334" i="3"/>
  <c r="AX334" i="3" s="1"/>
  <c r="BN334" i="3"/>
  <c r="BD331" i="3"/>
  <c r="BG331" i="3"/>
  <c r="BH331" i="3" s="1"/>
  <c r="BI331" i="3" s="1"/>
  <c r="AW333" i="3"/>
  <c r="AY333" i="3" s="1"/>
  <c r="AO334" i="3"/>
  <c r="BA332" i="3"/>
  <c r="AV332" i="3"/>
  <c r="AY332" i="3"/>
  <c r="X334" i="3"/>
  <c r="AU333" i="3"/>
  <c r="BM335" i="3" l="1"/>
  <c r="X335" i="3"/>
  <c r="AH335" i="3"/>
  <c r="A337" i="3"/>
  <c r="B336" i="3"/>
  <c r="AQ336" i="3"/>
  <c r="C336" i="3"/>
  <c r="AR336" i="3"/>
  <c r="D336" i="3"/>
  <c r="G336" i="3"/>
  <c r="H336" i="3" s="1"/>
  <c r="F336" i="3"/>
  <c r="S336" i="3"/>
  <c r="Q336" i="3"/>
  <c r="O336" i="3"/>
  <c r="U336" i="3"/>
  <c r="AM336" i="3"/>
  <c r="AN336" i="3" s="1"/>
  <c r="AF336" i="3"/>
  <c r="AK336" i="3"/>
  <c r="AD336" i="3"/>
  <c r="AE336" i="3"/>
  <c r="M336" i="3"/>
  <c r="P336" i="3"/>
  <c r="V336" i="3"/>
  <c r="R336" i="3"/>
  <c r="T336" i="3"/>
  <c r="AT334" i="3"/>
  <c r="AU334" i="3"/>
  <c r="BA333" i="3"/>
  <c r="AV333" i="3"/>
  <c r="BC333" i="3" s="1"/>
  <c r="AG335" i="3"/>
  <c r="AW335" i="3" s="1"/>
  <c r="BN335" i="3"/>
  <c r="BC332" i="3"/>
  <c r="AO335" i="3"/>
  <c r="BB332" i="3"/>
  <c r="BQ332" i="3"/>
  <c r="BF332" i="3"/>
  <c r="BJ331" i="3" s="1"/>
  <c r="BK331" i="3" s="1"/>
  <c r="Y335" i="3"/>
  <c r="Z335" i="3" s="1"/>
  <c r="AW334" i="3"/>
  <c r="AY334" i="3" s="1"/>
  <c r="X336" i="3" l="1"/>
  <c r="AX335" i="3"/>
  <c r="AV334" i="3"/>
  <c r="BC334" i="3" s="1"/>
  <c r="BA334" i="3"/>
  <c r="AO336" i="3"/>
  <c r="BN336" i="3"/>
  <c r="BD332" i="3"/>
  <c r="BG332" i="3"/>
  <c r="BH332" i="3" s="1"/>
  <c r="BI332" i="3" s="1"/>
  <c r="BD333" i="3"/>
  <c r="BG333" i="3"/>
  <c r="BH333" i="3" s="1"/>
  <c r="BI333" i="3" s="1"/>
  <c r="AY335" i="3"/>
  <c r="AT335" i="3"/>
  <c r="BQ333" i="3"/>
  <c r="BB333" i="3"/>
  <c r="BF333" i="3"/>
  <c r="BJ332" i="3" s="1"/>
  <c r="BK332" i="3" s="1"/>
  <c r="AG336" i="3"/>
  <c r="B337" i="3"/>
  <c r="AQ337" i="3"/>
  <c r="A338" i="3"/>
  <c r="AR337" i="3"/>
  <c r="D337" i="3"/>
  <c r="C337" i="3"/>
  <c r="F337" i="3"/>
  <c r="BM337" i="3" s="1"/>
  <c r="G337" i="3"/>
  <c r="H337" i="3" s="1"/>
  <c r="Q337" i="3"/>
  <c r="S337" i="3"/>
  <c r="O337" i="3"/>
  <c r="U337" i="3"/>
  <c r="AM337" i="3"/>
  <c r="AD337" i="3"/>
  <c r="AE337" i="3"/>
  <c r="M337" i="3"/>
  <c r="AK337" i="3"/>
  <c r="AF337" i="3"/>
  <c r="T337" i="3"/>
  <c r="V337" i="3"/>
  <c r="R337" i="3"/>
  <c r="P337" i="3"/>
  <c r="Y336" i="3"/>
  <c r="Z336" i="3" s="1"/>
  <c r="AU335" i="3"/>
  <c r="AH336" i="3"/>
  <c r="BM336" i="3"/>
  <c r="AU336" i="3" l="1"/>
  <c r="AG337" i="3"/>
  <c r="AN337" i="3"/>
  <c r="AH337" i="3"/>
  <c r="AU337" i="3" s="1"/>
  <c r="Y337" i="3"/>
  <c r="Z337" i="3" s="1"/>
  <c r="X337" i="3"/>
  <c r="BA335" i="3"/>
  <c r="AV335" i="3"/>
  <c r="BC335" i="3" s="1"/>
  <c r="BQ334" i="3"/>
  <c r="BF334" i="3"/>
  <c r="BJ333" i="3" s="1"/>
  <c r="BK333" i="3" s="1"/>
  <c r="BB334" i="3"/>
  <c r="AX336" i="3"/>
  <c r="AT336" i="3"/>
  <c r="BD334" i="3"/>
  <c r="BG334" i="3"/>
  <c r="BH334" i="3" s="1"/>
  <c r="BI334" i="3" s="1"/>
  <c r="A339" i="3"/>
  <c r="D338" i="3"/>
  <c r="C338" i="3"/>
  <c r="AQ338" i="3"/>
  <c r="B338" i="3"/>
  <c r="AR338" i="3"/>
  <c r="F338" i="3"/>
  <c r="BM338" i="3" s="1"/>
  <c r="G338" i="3"/>
  <c r="H338" i="3" s="1"/>
  <c r="Q338" i="3"/>
  <c r="S338" i="3"/>
  <c r="O338" i="3"/>
  <c r="U338" i="3"/>
  <c r="AF338" i="3"/>
  <c r="AD338" i="3"/>
  <c r="AK338" i="3"/>
  <c r="AM338" i="3"/>
  <c r="M338" i="3"/>
  <c r="AE338" i="3"/>
  <c r="P338" i="3"/>
  <c r="V338" i="3"/>
  <c r="R338" i="3"/>
  <c r="T338" i="3"/>
  <c r="AO337" i="3"/>
  <c r="AW337" i="3" s="1"/>
  <c r="BN337" i="3"/>
  <c r="AW336" i="3"/>
  <c r="BN338" i="3" l="1"/>
  <c r="AH338" i="3"/>
  <c r="AT337" i="3"/>
  <c r="AV337" i="3" s="1"/>
  <c r="AO338" i="3"/>
  <c r="AY336" i="3"/>
  <c r="AN338" i="3"/>
  <c r="BQ335" i="3"/>
  <c r="BB335" i="3"/>
  <c r="BF335" i="3"/>
  <c r="BJ334" i="3" s="1"/>
  <c r="BK334" i="3" s="1"/>
  <c r="AX337" i="3"/>
  <c r="AY337" i="3" s="1"/>
  <c r="BD335" i="3"/>
  <c r="BG335" i="3"/>
  <c r="BH335" i="3" s="1"/>
  <c r="BI335" i="3" s="1"/>
  <c r="BA336" i="3"/>
  <c r="AV336" i="3"/>
  <c r="BC336" i="3" s="1"/>
  <c r="X338" i="3"/>
  <c r="Y338" i="3"/>
  <c r="Z338" i="3" s="1"/>
  <c r="AG338" i="3"/>
  <c r="C339" i="3"/>
  <c r="D339" i="3"/>
  <c r="B339" i="3"/>
  <c r="A340" i="3"/>
  <c r="AQ339" i="3"/>
  <c r="AR339" i="3"/>
  <c r="G339" i="3"/>
  <c r="H339" i="3" s="1"/>
  <c r="F339" i="3"/>
  <c r="S339" i="3"/>
  <c r="Q339" i="3"/>
  <c r="O339" i="3"/>
  <c r="U339" i="3"/>
  <c r="AM339" i="3"/>
  <c r="M339" i="3"/>
  <c r="AF339" i="3"/>
  <c r="AK339" i="3"/>
  <c r="AE339" i="3"/>
  <c r="AD339" i="3"/>
  <c r="R339" i="3"/>
  <c r="V339" i="3"/>
  <c r="P339" i="3"/>
  <c r="T339" i="3"/>
  <c r="AX338" i="3" l="1"/>
  <c r="AU338" i="3"/>
  <c r="Y339" i="3"/>
  <c r="Z339" i="3" s="1"/>
  <c r="X339" i="3"/>
  <c r="AO339" i="3"/>
  <c r="AW338" i="3"/>
  <c r="AY338" i="3" s="1"/>
  <c r="AG339" i="3"/>
  <c r="AN339" i="3"/>
  <c r="AT338" i="3"/>
  <c r="BC337" i="3"/>
  <c r="BD336" i="3"/>
  <c r="BG336" i="3"/>
  <c r="BH336" i="3" s="1"/>
  <c r="BI336" i="3" s="1"/>
  <c r="BM339" i="3"/>
  <c r="BN339" i="3"/>
  <c r="A341" i="3"/>
  <c r="B340" i="3"/>
  <c r="AQ340" i="3"/>
  <c r="C340" i="3"/>
  <c r="AR340" i="3"/>
  <c r="D340" i="3"/>
  <c r="G340" i="3"/>
  <c r="H340" i="3" s="1"/>
  <c r="F340" i="3"/>
  <c r="Q340" i="3"/>
  <c r="S340" i="3"/>
  <c r="O340" i="3"/>
  <c r="U340" i="3"/>
  <c r="AK340" i="3"/>
  <c r="AF340" i="3"/>
  <c r="M340" i="3"/>
  <c r="AM340" i="3"/>
  <c r="AD340" i="3"/>
  <c r="AE340" i="3"/>
  <c r="P340" i="3"/>
  <c r="R340" i="3"/>
  <c r="V340" i="3"/>
  <c r="T340" i="3"/>
  <c r="BB336" i="3"/>
  <c r="BF336" i="3"/>
  <c r="BJ335" i="3" s="1"/>
  <c r="BK335" i="3" s="1"/>
  <c r="BQ336" i="3"/>
  <c r="AH339" i="3"/>
  <c r="AX339" i="3" s="1"/>
  <c r="BA337" i="3"/>
  <c r="AG340" i="3" l="1"/>
  <c r="AT339" i="3"/>
  <c r="Y340" i="3"/>
  <c r="Z340" i="3" s="1"/>
  <c r="AO340" i="3"/>
  <c r="X340" i="3"/>
  <c r="BQ337" i="3"/>
  <c r="BB337" i="3"/>
  <c r="BF337" i="3"/>
  <c r="BJ336" i="3" s="1"/>
  <c r="BK336" i="3" s="1"/>
  <c r="AH340" i="3"/>
  <c r="B341" i="3"/>
  <c r="A342" i="3"/>
  <c r="AQ341" i="3"/>
  <c r="AR341" i="3"/>
  <c r="D341" i="3"/>
  <c r="C341" i="3"/>
  <c r="F341" i="3"/>
  <c r="BM341" i="3" s="1"/>
  <c r="G341" i="3"/>
  <c r="H341" i="3" s="1"/>
  <c r="Q341" i="3"/>
  <c r="S341" i="3"/>
  <c r="O341" i="3"/>
  <c r="U341" i="3"/>
  <c r="AM341" i="3"/>
  <c r="AK341" i="3"/>
  <c r="AD341" i="3"/>
  <c r="M341" i="3"/>
  <c r="AE341" i="3"/>
  <c r="AF341" i="3"/>
  <c r="V341" i="3"/>
  <c r="P341" i="3"/>
  <c r="T341" i="3"/>
  <c r="R341" i="3"/>
  <c r="AU339" i="3"/>
  <c r="BD337" i="3"/>
  <c r="BG337" i="3"/>
  <c r="BH337" i="3" s="1"/>
  <c r="BI337" i="3" s="1"/>
  <c r="AN340" i="3"/>
  <c r="AV338" i="3"/>
  <c r="BC338" i="3" s="1"/>
  <c r="BA338" i="3"/>
  <c r="BM340" i="3"/>
  <c r="BN340" i="3"/>
  <c r="AW339" i="3"/>
  <c r="AY339" i="3" s="1"/>
  <c r="BN341" i="3" l="1"/>
  <c r="AX340" i="3"/>
  <c r="BA339" i="3"/>
  <c r="BQ339" i="3" s="1"/>
  <c r="AT340" i="3"/>
  <c r="AH341" i="3"/>
  <c r="AO341" i="3"/>
  <c r="BF339" i="3"/>
  <c r="BB339" i="3"/>
  <c r="AU340" i="3"/>
  <c r="AG341" i="3"/>
  <c r="BD338" i="3"/>
  <c r="BG338" i="3"/>
  <c r="BH338" i="3" s="1"/>
  <c r="BI338" i="3" s="1"/>
  <c r="AW340" i="3"/>
  <c r="AY340" i="3" s="1"/>
  <c r="AN341" i="3"/>
  <c r="BB338" i="3"/>
  <c r="BQ338" i="3"/>
  <c r="BF338" i="3"/>
  <c r="BJ337" i="3" s="1"/>
  <c r="BK337" i="3" s="1"/>
  <c r="AV339" i="3"/>
  <c r="BC339" i="3" s="1"/>
  <c r="Y341" i="3"/>
  <c r="Z341" i="3" s="1"/>
  <c r="X341" i="3"/>
  <c r="AQ342" i="3"/>
  <c r="D342" i="3"/>
  <c r="C342" i="3"/>
  <c r="A343" i="3"/>
  <c r="AR342" i="3"/>
  <c r="B342" i="3"/>
  <c r="G342" i="3"/>
  <c r="H342" i="3" s="1"/>
  <c r="F342" i="3"/>
  <c r="S342" i="3"/>
  <c r="Q342" i="3"/>
  <c r="O342" i="3"/>
  <c r="U342" i="3"/>
  <c r="AD342" i="3"/>
  <c r="AM342" i="3"/>
  <c r="AK342" i="3"/>
  <c r="AO342" i="3" s="1"/>
  <c r="AF342" i="3"/>
  <c r="M342" i="3"/>
  <c r="AE342" i="3"/>
  <c r="V342" i="3"/>
  <c r="R342" i="3"/>
  <c r="T342" i="3"/>
  <c r="P342" i="3"/>
  <c r="BM342" i="3" l="1"/>
  <c r="BA340" i="3"/>
  <c r="AG342" i="3"/>
  <c r="AV340" i="3"/>
  <c r="BC340" i="3" s="1"/>
  <c r="BD340" i="3" s="1"/>
  <c r="AW341" i="3"/>
  <c r="BF340" i="3"/>
  <c r="BJ339" i="3" s="1"/>
  <c r="BK339" i="3" s="1"/>
  <c r="BB340" i="3"/>
  <c r="BQ340" i="3"/>
  <c r="Y342" i="3"/>
  <c r="Z342" i="3" s="1"/>
  <c r="AX341" i="3"/>
  <c r="AN342" i="3"/>
  <c r="AU341" i="3"/>
  <c r="AT341" i="3"/>
  <c r="BG340" i="3"/>
  <c r="BH340" i="3" s="1"/>
  <c r="BI340" i="3" s="1"/>
  <c r="BN342" i="3"/>
  <c r="AH342" i="3"/>
  <c r="AW342" i="3" s="1"/>
  <c r="X342" i="3"/>
  <c r="C343" i="3"/>
  <c r="D343" i="3"/>
  <c r="AR343" i="3"/>
  <c r="A344" i="3"/>
  <c r="B343" i="3"/>
  <c r="AQ343" i="3"/>
  <c r="G343" i="3"/>
  <c r="H343" i="3" s="1"/>
  <c r="F343" i="3"/>
  <c r="Q343" i="3"/>
  <c r="S343" i="3"/>
  <c r="O343" i="3"/>
  <c r="U343" i="3"/>
  <c r="AK343" i="3"/>
  <c r="AD343" i="3"/>
  <c r="AM343" i="3"/>
  <c r="AF343" i="3"/>
  <c r="AE343" i="3"/>
  <c r="M343" i="3"/>
  <c r="V343" i="3"/>
  <c r="P343" i="3"/>
  <c r="R343" i="3"/>
  <c r="T343" i="3"/>
  <c r="BD339" i="3"/>
  <c r="BG339" i="3"/>
  <c r="BH339" i="3" s="1"/>
  <c r="BI339" i="3" s="1"/>
  <c r="BJ338" i="3"/>
  <c r="BK338" i="3" s="1"/>
  <c r="AO343" i="3" l="1"/>
  <c r="AY341" i="3"/>
  <c r="AT342" i="3"/>
  <c r="AX342" i="3"/>
  <c r="AY342" i="3" s="1"/>
  <c r="AU342" i="3"/>
  <c r="BA341" i="3"/>
  <c r="AV341" i="3"/>
  <c r="AG343" i="3"/>
  <c r="X343" i="3"/>
  <c r="A345" i="3"/>
  <c r="B344" i="3"/>
  <c r="AQ344" i="3"/>
  <c r="C344" i="3"/>
  <c r="AR344" i="3"/>
  <c r="D344" i="3"/>
  <c r="G344" i="3"/>
  <c r="H344" i="3" s="1"/>
  <c r="BN344" i="3" s="1"/>
  <c r="F344" i="3"/>
  <c r="S344" i="3"/>
  <c r="Q344" i="3"/>
  <c r="O344" i="3"/>
  <c r="U344" i="3"/>
  <c r="AD344" i="3"/>
  <c r="AM344" i="3"/>
  <c r="AK344" i="3"/>
  <c r="AO344" i="3" s="1"/>
  <c r="M344" i="3"/>
  <c r="AE344" i="3"/>
  <c r="AF344" i="3"/>
  <c r="P344" i="3"/>
  <c r="V344" i="3"/>
  <c r="T344" i="3"/>
  <c r="R344" i="3"/>
  <c r="Y343" i="3"/>
  <c r="Z343" i="3" s="1"/>
  <c r="AH343" i="3"/>
  <c r="BM343" i="3"/>
  <c r="AN343" i="3"/>
  <c r="BN343" i="3"/>
  <c r="AV342" i="3" l="1"/>
  <c r="BA342" i="3"/>
  <c r="BF342" i="3" s="1"/>
  <c r="BC341" i="3"/>
  <c r="AH344" i="3"/>
  <c r="X344" i="3"/>
  <c r="AW343" i="3"/>
  <c r="BC342" i="3"/>
  <c r="BG342" i="3" s="1"/>
  <c r="BH342" i="3" s="1"/>
  <c r="BI342" i="3" s="1"/>
  <c r="BF341" i="3"/>
  <c r="BJ340" i="3" s="1"/>
  <c r="BK340" i="3" s="1"/>
  <c r="BQ341" i="3"/>
  <c r="BB341" i="3"/>
  <c r="Y344" i="3"/>
  <c r="Z344" i="3" s="1"/>
  <c r="AN344" i="3"/>
  <c r="BD341" i="3"/>
  <c r="BG341" i="3"/>
  <c r="BH341" i="3" s="1"/>
  <c r="BI341" i="3" s="1"/>
  <c r="AG344" i="3"/>
  <c r="B345" i="3"/>
  <c r="AQ345" i="3"/>
  <c r="A346" i="3"/>
  <c r="AR345" i="3"/>
  <c r="C345" i="3"/>
  <c r="D345" i="3"/>
  <c r="G345" i="3"/>
  <c r="H345" i="3" s="1"/>
  <c r="F345" i="3"/>
  <c r="BM345" i="3" s="1"/>
  <c r="Q345" i="3"/>
  <c r="S345" i="3"/>
  <c r="O345" i="3"/>
  <c r="U345" i="3"/>
  <c r="AK345" i="3"/>
  <c r="AE345" i="3"/>
  <c r="AM345" i="3"/>
  <c r="AF345" i="3"/>
  <c r="M345" i="3"/>
  <c r="AD345" i="3"/>
  <c r="V345" i="3"/>
  <c r="P345" i="3"/>
  <c r="T345" i="3"/>
  <c r="R345" i="3"/>
  <c r="AU343" i="3"/>
  <c r="BB342" i="3"/>
  <c r="BQ342" i="3"/>
  <c r="AX343" i="3"/>
  <c r="BM344" i="3"/>
  <c r="AT343" i="3"/>
  <c r="AY343" i="3" l="1"/>
  <c r="BJ341" i="3"/>
  <c r="BK341" i="3" s="1"/>
  <c r="AH345" i="3"/>
  <c r="BD342" i="3"/>
  <c r="AO345" i="3"/>
  <c r="AW344" i="3"/>
  <c r="A347" i="3"/>
  <c r="D346" i="3"/>
  <c r="C346" i="3"/>
  <c r="AQ346" i="3"/>
  <c r="AR346" i="3"/>
  <c r="B346" i="3"/>
  <c r="F346" i="3"/>
  <c r="BM346" i="3" s="1"/>
  <c r="G346" i="3"/>
  <c r="H346" i="3" s="1"/>
  <c r="Q346" i="3"/>
  <c r="S346" i="3"/>
  <c r="O346" i="3"/>
  <c r="U346" i="3"/>
  <c r="AD346" i="3"/>
  <c r="M346" i="3"/>
  <c r="AM346" i="3"/>
  <c r="AK346" i="3"/>
  <c r="AF346" i="3"/>
  <c r="AE346" i="3"/>
  <c r="V346" i="3"/>
  <c r="P346" i="3"/>
  <c r="R346" i="3"/>
  <c r="T346" i="3"/>
  <c r="AX344" i="3"/>
  <c r="AN345" i="3"/>
  <c r="BN345" i="3"/>
  <c r="AU344" i="3"/>
  <c r="AG345" i="3"/>
  <c r="Y345" i="3"/>
  <c r="Z345" i="3" s="1"/>
  <c r="BA343" i="3"/>
  <c r="AV343" i="3"/>
  <c r="BC343" i="3" s="1"/>
  <c r="X345" i="3"/>
  <c r="AT344" i="3"/>
  <c r="AW345" i="3" l="1"/>
  <c r="AX345" i="3"/>
  <c r="AY345" i="3" s="1"/>
  <c r="AH346" i="3"/>
  <c r="AY344" i="3"/>
  <c r="AN346" i="3"/>
  <c r="Y346" i="3"/>
  <c r="Z346" i="3" s="1"/>
  <c r="X346" i="3"/>
  <c r="AV344" i="3"/>
  <c r="BC344" i="3" s="1"/>
  <c r="BA344" i="3"/>
  <c r="AG346" i="3"/>
  <c r="AT345" i="3"/>
  <c r="C347" i="3"/>
  <c r="D347" i="3"/>
  <c r="B347" i="3"/>
  <c r="A348" i="3"/>
  <c r="AQ347" i="3"/>
  <c r="AR347" i="3"/>
  <c r="F347" i="3"/>
  <c r="G347" i="3"/>
  <c r="H347" i="3" s="1"/>
  <c r="Q347" i="3"/>
  <c r="S347" i="3"/>
  <c r="O347" i="3"/>
  <c r="U347" i="3"/>
  <c r="AM347" i="3"/>
  <c r="AD347" i="3"/>
  <c r="AK347" i="3"/>
  <c r="AF347" i="3"/>
  <c r="AE347" i="3"/>
  <c r="M347" i="3"/>
  <c r="V347" i="3"/>
  <c r="T347" i="3"/>
  <c r="P347" i="3"/>
  <c r="R347" i="3"/>
  <c r="BF343" i="3"/>
  <c r="BJ342" i="3" s="1"/>
  <c r="BK342" i="3" s="1"/>
  <c r="BQ343" i="3"/>
  <c r="BB343" i="3"/>
  <c r="BD343" i="3"/>
  <c r="BG343" i="3"/>
  <c r="BH343" i="3" s="1"/>
  <c r="BI343" i="3" s="1"/>
  <c r="AO346" i="3"/>
  <c r="BN346" i="3"/>
  <c r="AU345" i="3"/>
  <c r="AT346" i="3" l="1"/>
  <c r="AW346" i="3"/>
  <c r="AH347" i="3"/>
  <c r="AN347" i="3"/>
  <c r="X347" i="3"/>
  <c r="AX346" i="3"/>
  <c r="AY346" i="3" s="1"/>
  <c r="A349" i="3"/>
  <c r="B348" i="3"/>
  <c r="AQ348" i="3"/>
  <c r="C348" i="3"/>
  <c r="D348" i="3"/>
  <c r="AR348" i="3"/>
  <c r="G348" i="3"/>
  <c r="H348" i="3" s="1"/>
  <c r="BN348" i="3" s="1"/>
  <c r="F348" i="3"/>
  <c r="BM348" i="3" s="1"/>
  <c r="S348" i="3"/>
  <c r="Q348" i="3"/>
  <c r="O348" i="3"/>
  <c r="U348" i="3"/>
  <c r="AE348" i="3"/>
  <c r="M348" i="3"/>
  <c r="AK348" i="3"/>
  <c r="AM348" i="3"/>
  <c r="AN348" i="3" s="1"/>
  <c r="AD348" i="3"/>
  <c r="AF348" i="3"/>
  <c r="V348" i="3"/>
  <c r="R348" i="3"/>
  <c r="T348" i="3"/>
  <c r="P348" i="3"/>
  <c r="Y347" i="3"/>
  <c r="Z347" i="3" s="1"/>
  <c r="BD344" i="3"/>
  <c r="BG344" i="3"/>
  <c r="BH344" i="3" s="1"/>
  <c r="BI344" i="3" s="1"/>
  <c r="AG347" i="3"/>
  <c r="BN347" i="3"/>
  <c r="AV345" i="3"/>
  <c r="BC345" i="3" s="1"/>
  <c r="BA345" i="3"/>
  <c r="BQ344" i="3"/>
  <c r="BB344" i="3"/>
  <c r="BF344" i="3"/>
  <c r="BJ343" i="3" s="1"/>
  <c r="BK343" i="3" s="1"/>
  <c r="AO347" i="3"/>
  <c r="BM347" i="3"/>
  <c r="AU346" i="3"/>
  <c r="BA346" i="3" l="1"/>
  <c r="AX347" i="3"/>
  <c r="BB346" i="3"/>
  <c r="BF346" i="3"/>
  <c r="BQ346" i="3"/>
  <c r="AO348" i="3"/>
  <c r="AV346" i="3"/>
  <c r="BC346" i="3" s="1"/>
  <c r="AT347" i="3"/>
  <c r="BF345" i="3"/>
  <c r="BJ344" i="3" s="1"/>
  <c r="BK344" i="3" s="1"/>
  <c r="BQ345" i="3"/>
  <c r="BB345" i="3"/>
  <c r="AG348" i="3"/>
  <c r="AW347" i="3"/>
  <c r="AY347" i="3" s="1"/>
  <c r="AH348" i="3"/>
  <c r="B349" i="3"/>
  <c r="AQ349" i="3"/>
  <c r="A350" i="3"/>
  <c r="AR349" i="3"/>
  <c r="D349" i="3"/>
  <c r="C349" i="3"/>
  <c r="F349" i="3"/>
  <c r="BM349" i="3" s="1"/>
  <c r="G349" i="3"/>
  <c r="H349" i="3" s="1"/>
  <c r="BN349" i="3" s="1"/>
  <c r="Q349" i="3"/>
  <c r="S349" i="3"/>
  <c r="O349" i="3"/>
  <c r="U349" i="3"/>
  <c r="AE349" i="3"/>
  <c r="AD349" i="3"/>
  <c r="AM349" i="3"/>
  <c r="AK349" i="3"/>
  <c r="AO349" i="3" s="1"/>
  <c r="AF349" i="3"/>
  <c r="M349" i="3"/>
  <c r="V349" i="3"/>
  <c r="R349" i="3"/>
  <c r="T349" i="3"/>
  <c r="P349" i="3"/>
  <c r="AU347" i="3"/>
  <c r="BD345" i="3"/>
  <c r="BG345" i="3"/>
  <c r="BH345" i="3" s="1"/>
  <c r="BI345" i="3" s="1"/>
  <c r="X348" i="3"/>
  <c r="Y348" i="3"/>
  <c r="Z348" i="3" s="1"/>
  <c r="AX348" i="3" l="1"/>
  <c r="BG346" i="3"/>
  <c r="BH346" i="3" s="1"/>
  <c r="BI346" i="3" s="1"/>
  <c r="BD346" i="3"/>
  <c r="AN349" i="3"/>
  <c r="AG349" i="3"/>
  <c r="AV347" i="3"/>
  <c r="BC347" i="3" s="1"/>
  <c r="BA347" i="3"/>
  <c r="AT348" i="3"/>
  <c r="AH349" i="3"/>
  <c r="AW348" i="3"/>
  <c r="AU348" i="3"/>
  <c r="X349" i="3"/>
  <c r="BJ345" i="3"/>
  <c r="BK345" i="3" s="1"/>
  <c r="Y349" i="3"/>
  <c r="Z349" i="3" s="1"/>
  <c r="A351" i="3"/>
  <c r="D350" i="3"/>
  <c r="C350" i="3"/>
  <c r="AQ350" i="3"/>
  <c r="AR350" i="3"/>
  <c r="B350" i="3"/>
  <c r="F350" i="3"/>
  <c r="BM350" i="3" s="1"/>
  <c r="G350" i="3"/>
  <c r="H350" i="3" s="1"/>
  <c r="Q350" i="3"/>
  <c r="S350" i="3"/>
  <c r="O350" i="3"/>
  <c r="U350" i="3"/>
  <c r="AF350" i="3"/>
  <c r="AD350" i="3"/>
  <c r="AE350" i="3"/>
  <c r="AK350" i="3"/>
  <c r="AM350" i="3"/>
  <c r="M350" i="3"/>
  <c r="P350" i="3"/>
  <c r="V350" i="3"/>
  <c r="R350" i="3"/>
  <c r="T350" i="3"/>
  <c r="AY348" i="3" l="1"/>
  <c r="AG350" i="3"/>
  <c r="AO350" i="3"/>
  <c r="AW349" i="3"/>
  <c r="BG347" i="3"/>
  <c r="BH347" i="3" s="1"/>
  <c r="BI347" i="3" s="1"/>
  <c r="BD347" i="3"/>
  <c r="AX349" i="3"/>
  <c r="AH350" i="3"/>
  <c r="Y350" i="3"/>
  <c r="Z350" i="3" s="1"/>
  <c r="AN350" i="3"/>
  <c r="C351" i="3"/>
  <c r="D351" i="3"/>
  <c r="B351" i="3"/>
  <c r="A352" i="3"/>
  <c r="AQ351" i="3"/>
  <c r="AR351" i="3"/>
  <c r="G351" i="3"/>
  <c r="H351" i="3" s="1"/>
  <c r="F351" i="3"/>
  <c r="Q351" i="3"/>
  <c r="S351" i="3"/>
  <c r="O351" i="3"/>
  <c r="U351" i="3"/>
  <c r="AF351" i="3"/>
  <c r="M351" i="3"/>
  <c r="AM351" i="3"/>
  <c r="AK351" i="3"/>
  <c r="AD351" i="3"/>
  <c r="AE351" i="3"/>
  <c r="V351" i="3"/>
  <c r="P351" i="3"/>
  <c r="R351" i="3"/>
  <c r="T351" i="3"/>
  <c r="AV348" i="3"/>
  <c r="BC348" i="3" s="1"/>
  <c r="BA348" i="3"/>
  <c r="BB347" i="3"/>
  <c r="BQ347" i="3"/>
  <c r="BF347" i="3"/>
  <c r="BJ346" i="3" s="1"/>
  <c r="BK346" i="3" s="1"/>
  <c r="X350" i="3"/>
  <c r="BN350" i="3"/>
  <c r="AT349" i="3"/>
  <c r="AU349" i="3"/>
  <c r="AH351" i="3" l="1"/>
  <c r="AY349" i="3"/>
  <c r="BM351" i="3"/>
  <c r="AX350" i="3"/>
  <c r="AN351" i="3"/>
  <c r="Y351" i="3"/>
  <c r="Z351" i="3" s="1"/>
  <c r="AU350" i="3"/>
  <c r="AG351" i="3"/>
  <c r="AT351" i="3" s="1"/>
  <c r="AW350" i="3"/>
  <c r="AT350" i="3"/>
  <c r="A353" i="3"/>
  <c r="B352" i="3"/>
  <c r="AQ352" i="3"/>
  <c r="C352" i="3"/>
  <c r="AR352" i="3"/>
  <c r="D352" i="3"/>
  <c r="G352" i="3"/>
  <c r="H352" i="3" s="1"/>
  <c r="F352" i="3"/>
  <c r="Q352" i="3"/>
  <c r="S352" i="3"/>
  <c r="O352" i="3"/>
  <c r="U352" i="3"/>
  <c r="AM352" i="3"/>
  <c r="M352" i="3"/>
  <c r="AF352" i="3"/>
  <c r="AK352" i="3"/>
  <c r="AE352" i="3"/>
  <c r="AD352" i="3"/>
  <c r="V352" i="3"/>
  <c r="P352" i="3"/>
  <c r="R352" i="3"/>
  <c r="T352" i="3"/>
  <c r="BB348" i="3"/>
  <c r="BF348" i="3"/>
  <c r="BJ347" i="3" s="1"/>
  <c r="BK347" i="3" s="1"/>
  <c r="BQ348" i="3"/>
  <c r="AO351" i="3"/>
  <c r="X351" i="3"/>
  <c r="BA349" i="3"/>
  <c r="AV349" i="3"/>
  <c r="BC349" i="3" s="1"/>
  <c r="BD348" i="3"/>
  <c r="BG348" i="3"/>
  <c r="BH348" i="3" s="1"/>
  <c r="BI348" i="3" s="1"/>
  <c r="BN351" i="3"/>
  <c r="BN352" i="3" l="1"/>
  <c r="AY350" i="3"/>
  <c r="AH352" i="3"/>
  <c r="AN352" i="3"/>
  <c r="AW351" i="3"/>
  <c r="AV350" i="3"/>
  <c r="BC350" i="3" s="1"/>
  <c r="BA350" i="3"/>
  <c r="BB349" i="3"/>
  <c r="BF349" i="3"/>
  <c r="BJ348" i="3" s="1"/>
  <c r="BK348" i="3" s="1"/>
  <c r="BQ349" i="3"/>
  <c r="AG352" i="3"/>
  <c r="AU352" i="3" s="1"/>
  <c r="B353" i="3"/>
  <c r="AQ353" i="3"/>
  <c r="A354" i="3"/>
  <c r="AR353" i="3"/>
  <c r="C353" i="3"/>
  <c r="D353" i="3"/>
  <c r="F353" i="3"/>
  <c r="G353" i="3"/>
  <c r="H353" i="3" s="1"/>
  <c r="S353" i="3"/>
  <c r="Q353" i="3"/>
  <c r="O353" i="3"/>
  <c r="U353" i="3"/>
  <c r="AE353" i="3"/>
  <c r="AM353" i="3"/>
  <c r="AK353" i="3"/>
  <c r="AF353" i="3"/>
  <c r="M353" i="3"/>
  <c r="AD353" i="3"/>
  <c r="R353" i="3"/>
  <c r="V353" i="3"/>
  <c r="P353" i="3"/>
  <c r="T353" i="3"/>
  <c r="BD349" i="3"/>
  <c r="BG349" i="3"/>
  <c r="BH349" i="3" s="1"/>
  <c r="BI349" i="3" s="1"/>
  <c r="X352" i="3"/>
  <c r="Y352" i="3"/>
  <c r="Z352" i="3" s="1"/>
  <c r="AO352" i="3"/>
  <c r="BM352" i="3"/>
  <c r="AU351" i="3"/>
  <c r="AX351" i="3"/>
  <c r="AO353" i="3" l="1"/>
  <c r="BM353" i="3"/>
  <c r="BN353" i="3"/>
  <c r="BA351" i="3"/>
  <c r="BB351" i="3" s="1"/>
  <c r="AV351" i="3"/>
  <c r="AH353" i="3"/>
  <c r="Y353" i="3"/>
  <c r="Z353" i="3" s="1"/>
  <c r="X353" i="3"/>
  <c r="AT352" i="3"/>
  <c r="AV352" i="3" s="1"/>
  <c r="AY351" i="3"/>
  <c r="AW352" i="3"/>
  <c r="AN353" i="3"/>
  <c r="AX352" i="3"/>
  <c r="BQ350" i="3"/>
  <c r="BF350" i="3"/>
  <c r="BJ349" i="3" s="1"/>
  <c r="BK349" i="3" s="1"/>
  <c r="BB350" i="3"/>
  <c r="A355" i="3"/>
  <c r="D354" i="3"/>
  <c r="C354" i="3"/>
  <c r="AQ354" i="3"/>
  <c r="B354" i="3"/>
  <c r="AR354" i="3"/>
  <c r="F354" i="3"/>
  <c r="G354" i="3"/>
  <c r="H354" i="3" s="1"/>
  <c r="S354" i="3"/>
  <c r="Q354" i="3"/>
  <c r="O354" i="3"/>
  <c r="U354" i="3"/>
  <c r="AE354" i="3"/>
  <c r="AM354" i="3"/>
  <c r="AK354" i="3"/>
  <c r="AD354" i="3"/>
  <c r="AF354" i="3"/>
  <c r="M354" i="3"/>
  <c r="R354" i="3"/>
  <c r="T354" i="3"/>
  <c r="V354" i="3"/>
  <c r="P354" i="3"/>
  <c r="AG353" i="3"/>
  <c r="AT353" i="3" s="1"/>
  <c r="BF351" i="3"/>
  <c r="BD350" i="3"/>
  <c r="BG350" i="3"/>
  <c r="BH350" i="3" s="1"/>
  <c r="BI350" i="3" s="1"/>
  <c r="BQ351" i="3" l="1"/>
  <c r="BC351" i="3"/>
  <c r="AG354" i="3"/>
  <c r="AY352" i="3"/>
  <c r="AX353" i="3"/>
  <c r="BD351" i="3"/>
  <c r="BG351" i="3"/>
  <c r="BH351" i="3" s="1"/>
  <c r="BI351" i="3" s="1"/>
  <c r="X354" i="3"/>
  <c r="BA352" i="3"/>
  <c r="BB352" i="3" s="1"/>
  <c r="Y354" i="3"/>
  <c r="Z354" i="3" s="1"/>
  <c r="AO354" i="3"/>
  <c r="BJ350" i="3"/>
  <c r="BK350" i="3" s="1"/>
  <c r="AH354" i="3"/>
  <c r="BN354" i="3"/>
  <c r="AW353" i="3"/>
  <c r="AY353" i="3" s="1"/>
  <c r="BM354" i="3"/>
  <c r="C355" i="3"/>
  <c r="D355" i="3"/>
  <c r="B355" i="3"/>
  <c r="A356" i="3"/>
  <c r="AQ355" i="3"/>
  <c r="AR355" i="3"/>
  <c r="F355" i="3"/>
  <c r="G355" i="3"/>
  <c r="H355" i="3" s="1"/>
  <c r="Q355" i="3"/>
  <c r="S355" i="3"/>
  <c r="O355" i="3"/>
  <c r="U355" i="3"/>
  <c r="AK355" i="3"/>
  <c r="AF355" i="3"/>
  <c r="AD355" i="3"/>
  <c r="M355" i="3"/>
  <c r="AM355" i="3"/>
  <c r="AE355" i="3"/>
  <c r="V355" i="3"/>
  <c r="T355" i="3"/>
  <c r="P355" i="3"/>
  <c r="R355" i="3"/>
  <c r="BC352" i="3"/>
  <c r="AN354" i="3"/>
  <c r="AU353" i="3"/>
  <c r="AV353" i="3" s="1"/>
  <c r="BC353" i="3" l="1"/>
  <c r="BQ352" i="3"/>
  <c r="AH355" i="3"/>
  <c r="AO355" i="3"/>
  <c r="AX354" i="3"/>
  <c r="BF352" i="3"/>
  <c r="BJ351" i="3" s="1"/>
  <c r="BK351" i="3" s="1"/>
  <c r="BG353" i="3"/>
  <c r="BH353" i="3" s="1"/>
  <c r="BI353" i="3" s="1"/>
  <c r="BD353" i="3"/>
  <c r="AW354" i="3"/>
  <c r="X355" i="3"/>
  <c r="AG355" i="3"/>
  <c r="B356" i="3"/>
  <c r="AR356" i="3"/>
  <c r="C356" i="3"/>
  <c r="AQ356" i="3"/>
  <c r="A357" i="3"/>
  <c r="D356" i="3"/>
  <c r="F356" i="3"/>
  <c r="G356" i="3"/>
  <c r="H356" i="3" s="1"/>
  <c r="Q356" i="3"/>
  <c r="S356" i="3"/>
  <c r="O356" i="3"/>
  <c r="U356" i="3"/>
  <c r="AK356" i="3"/>
  <c r="AF356" i="3"/>
  <c r="AD356" i="3"/>
  <c r="AM356" i="3"/>
  <c r="AE356" i="3"/>
  <c r="M356" i="3"/>
  <c r="V356" i="3"/>
  <c r="R356" i="3"/>
  <c r="T356" i="3"/>
  <c r="P356" i="3"/>
  <c r="AT354" i="3"/>
  <c r="Y355" i="3"/>
  <c r="Z355" i="3" s="1"/>
  <c r="BD352" i="3"/>
  <c r="BG352" i="3"/>
  <c r="BH352" i="3" s="1"/>
  <c r="BI352" i="3" s="1"/>
  <c r="AN355" i="3"/>
  <c r="AX355" i="3" s="1"/>
  <c r="BA353" i="3"/>
  <c r="BN355" i="3"/>
  <c r="AU354" i="3"/>
  <c r="BM355" i="3"/>
  <c r="AU355" i="3" l="1"/>
  <c r="AY354" i="3"/>
  <c r="BN356" i="3"/>
  <c r="BM356" i="3"/>
  <c r="AN356" i="3"/>
  <c r="AW355" i="3"/>
  <c r="AY355" i="3" s="1"/>
  <c r="AV354" i="3"/>
  <c r="BC354" i="3" s="1"/>
  <c r="BA354" i="3"/>
  <c r="BB353" i="3"/>
  <c r="BF353" i="3"/>
  <c r="BJ352" i="3" s="1"/>
  <c r="BK352" i="3" s="1"/>
  <c r="BQ353" i="3"/>
  <c r="AH356" i="3"/>
  <c r="AO356" i="3"/>
  <c r="X356" i="3"/>
  <c r="B357" i="3"/>
  <c r="AR357" i="3"/>
  <c r="AQ357" i="3"/>
  <c r="D357" i="3"/>
  <c r="A358" i="3"/>
  <c r="C357" i="3"/>
  <c r="G357" i="3"/>
  <c r="H357" i="3" s="1"/>
  <c r="F357" i="3"/>
  <c r="S357" i="3"/>
  <c r="Q357" i="3"/>
  <c r="O357" i="3"/>
  <c r="U357" i="3"/>
  <c r="AM357" i="3"/>
  <c r="M357" i="3"/>
  <c r="AK357" i="3"/>
  <c r="AF357" i="3"/>
  <c r="AD357" i="3"/>
  <c r="AE357" i="3"/>
  <c r="AG357" i="3" s="1"/>
  <c r="V357" i="3"/>
  <c r="P357" i="3"/>
  <c r="T357" i="3"/>
  <c r="R357" i="3"/>
  <c r="AT355" i="3"/>
  <c r="Y356" i="3"/>
  <c r="Z356" i="3" s="1"/>
  <c r="AG356" i="3"/>
  <c r="AN357" i="3" l="1"/>
  <c r="AX356" i="3"/>
  <c r="AH357" i="3"/>
  <c r="AU357" i="3" s="1"/>
  <c r="A359" i="3"/>
  <c r="C358" i="3"/>
  <c r="D358" i="3"/>
  <c r="AQ358" i="3"/>
  <c r="B358" i="3"/>
  <c r="AR358" i="3"/>
  <c r="F358" i="3"/>
  <c r="G358" i="3"/>
  <c r="H358" i="3" s="1"/>
  <c r="Q358" i="3"/>
  <c r="S358" i="3"/>
  <c r="O358" i="3"/>
  <c r="U358" i="3"/>
  <c r="AM358" i="3"/>
  <c r="AN358" i="3" s="1"/>
  <c r="M358" i="3"/>
  <c r="AK358" i="3"/>
  <c r="AF358" i="3"/>
  <c r="AD358" i="3"/>
  <c r="AE358" i="3"/>
  <c r="T358" i="3"/>
  <c r="V358" i="3"/>
  <c r="R358" i="3"/>
  <c r="P358" i="3"/>
  <c r="Y357" i="3"/>
  <c r="Z357" i="3" s="1"/>
  <c r="BM357" i="3"/>
  <c r="AT356" i="3"/>
  <c r="BB354" i="3"/>
  <c r="BQ354" i="3"/>
  <c r="BF354" i="3"/>
  <c r="BJ353" i="3" s="1"/>
  <c r="BK353" i="3" s="1"/>
  <c r="X357" i="3"/>
  <c r="AW356" i="3"/>
  <c r="BA355" i="3"/>
  <c r="AV355" i="3"/>
  <c r="BC355" i="3" s="1"/>
  <c r="AU356" i="3"/>
  <c r="AO357" i="3"/>
  <c r="BN357" i="3"/>
  <c r="BD354" i="3"/>
  <c r="BG354" i="3"/>
  <c r="BH354" i="3" s="1"/>
  <c r="BI354" i="3" s="1"/>
  <c r="AT357" i="3" l="1"/>
  <c r="AY356" i="3"/>
  <c r="X358" i="3"/>
  <c r="AH358" i="3"/>
  <c r="Y358" i="3"/>
  <c r="Z358" i="3" s="1"/>
  <c r="AG358" i="3"/>
  <c r="BD355" i="3"/>
  <c r="BG355" i="3"/>
  <c r="BH355" i="3" s="1"/>
  <c r="BI355" i="3" s="1"/>
  <c r="BQ355" i="3"/>
  <c r="BF355" i="3"/>
  <c r="BJ354" i="3" s="1"/>
  <c r="BK354" i="3" s="1"/>
  <c r="BB355" i="3"/>
  <c r="BA356" i="3"/>
  <c r="AV356" i="3"/>
  <c r="BC356" i="3" s="1"/>
  <c r="BN358" i="3"/>
  <c r="AX357" i="3"/>
  <c r="AO358" i="3"/>
  <c r="BM358" i="3"/>
  <c r="AW357" i="3"/>
  <c r="AV357" i="3"/>
  <c r="D359" i="3"/>
  <c r="AQ359" i="3"/>
  <c r="A360" i="3"/>
  <c r="B359" i="3"/>
  <c r="AR359" i="3"/>
  <c r="C359" i="3"/>
  <c r="G359" i="3"/>
  <c r="H359" i="3" s="1"/>
  <c r="F359" i="3"/>
  <c r="S359" i="3"/>
  <c r="Q359" i="3"/>
  <c r="O359" i="3"/>
  <c r="U359" i="3"/>
  <c r="AD359" i="3"/>
  <c r="AM359" i="3"/>
  <c r="AK359" i="3"/>
  <c r="M359" i="3"/>
  <c r="AE359" i="3"/>
  <c r="AF359" i="3"/>
  <c r="V359" i="3"/>
  <c r="R359" i="3"/>
  <c r="T359" i="3"/>
  <c r="P359" i="3"/>
  <c r="AT358" i="3" l="1"/>
  <c r="BM359" i="3"/>
  <c r="AH359" i="3"/>
  <c r="AX358" i="3"/>
  <c r="X359" i="3"/>
  <c r="AU358" i="3"/>
  <c r="AV358" i="3" s="1"/>
  <c r="AO359" i="3"/>
  <c r="BA357" i="3"/>
  <c r="BF357" i="3" s="1"/>
  <c r="Y359" i="3"/>
  <c r="Z359" i="3" s="1"/>
  <c r="AG359" i="3"/>
  <c r="AW358" i="3"/>
  <c r="BF356" i="3"/>
  <c r="BJ355" i="3" s="1"/>
  <c r="BK355" i="3" s="1"/>
  <c r="BQ356" i="3"/>
  <c r="BB356" i="3"/>
  <c r="B360" i="3"/>
  <c r="AR360" i="3"/>
  <c r="A361" i="3"/>
  <c r="D360" i="3"/>
  <c r="C360" i="3"/>
  <c r="AQ360" i="3"/>
  <c r="G360" i="3"/>
  <c r="H360" i="3" s="1"/>
  <c r="BN360" i="3" s="1"/>
  <c r="F360" i="3"/>
  <c r="BM360" i="3" s="1"/>
  <c r="Q360" i="3"/>
  <c r="S360" i="3"/>
  <c r="O360" i="3"/>
  <c r="U360" i="3"/>
  <c r="AE360" i="3"/>
  <c r="AK360" i="3"/>
  <c r="AM360" i="3"/>
  <c r="AD360" i="3"/>
  <c r="M360" i="3"/>
  <c r="AF360" i="3"/>
  <c r="P360" i="3"/>
  <c r="V360" i="3"/>
  <c r="T360" i="3"/>
  <c r="R360" i="3"/>
  <c r="AY357" i="3"/>
  <c r="BC357" i="3" s="1"/>
  <c r="BN359" i="3"/>
  <c r="AN359" i="3"/>
  <c r="AX359" i="3" s="1"/>
  <c r="BD356" i="3"/>
  <c r="BG356" i="3"/>
  <c r="BH356" i="3" s="1"/>
  <c r="BI356" i="3" s="1"/>
  <c r="AU359" i="3" l="1"/>
  <c r="BQ357" i="3"/>
  <c r="AY358" i="3"/>
  <c r="BB357" i="3"/>
  <c r="BC358" i="3"/>
  <c r="BD358" i="3" s="1"/>
  <c r="BA358" i="3"/>
  <c r="BF358" i="3" s="1"/>
  <c r="BJ357" i="3" s="1"/>
  <c r="BK357" i="3" s="1"/>
  <c r="AT359" i="3"/>
  <c r="AV359" i="3" s="1"/>
  <c r="AN360" i="3"/>
  <c r="BJ356" i="3"/>
  <c r="BK356" i="3" s="1"/>
  <c r="BD357" i="3"/>
  <c r="BG357" i="3"/>
  <c r="BH357" i="3" s="1"/>
  <c r="BI357" i="3" s="1"/>
  <c r="Y360" i="3"/>
  <c r="Z360" i="3" s="1"/>
  <c r="X360" i="3"/>
  <c r="BB358" i="3"/>
  <c r="AH360" i="3"/>
  <c r="AO360" i="3"/>
  <c r="AG360" i="3"/>
  <c r="B361" i="3"/>
  <c r="C361" i="3"/>
  <c r="D361" i="3"/>
  <c r="A362" i="3"/>
  <c r="AR361" i="3"/>
  <c r="AQ361" i="3"/>
  <c r="F361" i="3"/>
  <c r="G361" i="3"/>
  <c r="H361" i="3" s="1"/>
  <c r="Q361" i="3"/>
  <c r="S361" i="3"/>
  <c r="O361" i="3"/>
  <c r="U361" i="3"/>
  <c r="AF361" i="3"/>
  <c r="AK361" i="3"/>
  <c r="AM361" i="3"/>
  <c r="AD361" i="3"/>
  <c r="M361" i="3"/>
  <c r="AE361" i="3"/>
  <c r="T361" i="3"/>
  <c r="V361" i="3"/>
  <c r="P361" i="3"/>
  <c r="R361" i="3"/>
  <c r="AW359" i="3"/>
  <c r="AY359" i="3" s="1"/>
  <c r="BQ358" i="3" l="1"/>
  <c r="BG358" i="3"/>
  <c r="BH358" i="3" s="1"/>
  <c r="BI358" i="3" s="1"/>
  <c r="AU360" i="3"/>
  <c r="AN361" i="3"/>
  <c r="BM361" i="3"/>
  <c r="BA359" i="3"/>
  <c r="BC359" i="3"/>
  <c r="AO361" i="3"/>
  <c r="AX360" i="3"/>
  <c r="Y361" i="3"/>
  <c r="Z361" i="3" s="1"/>
  <c r="X361" i="3"/>
  <c r="A363" i="3"/>
  <c r="AR362" i="3"/>
  <c r="C362" i="3"/>
  <c r="AQ362" i="3"/>
  <c r="D362" i="3"/>
  <c r="B362" i="3"/>
  <c r="F362" i="3"/>
  <c r="G362" i="3"/>
  <c r="H362" i="3" s="1"/>
  <c r="Q362" i="3"/>
  <c r="S362" i="3"/>
  <c r="O362" i="3"/>
  <c r="U362" i="3"/>
  <c r="AM362" i="3"/>
  <c r="AF362" i="3"/>
  <c r="AD362" i="3"/>
  <c r="AK362" i="3"/>
  <c r="AE362" i="3"/>
  <c r="M362" i="3"/>
  <c r="V362" i="3"/>
  <c r="P362" i="3"/>
  <c r="T362" i="3"/>
  <c r="R362" i="3"/>
  <c r="AT360" i="3"/>
  <c r="AG361" i="3"/>
  <c r="AH361" i="3"/>
  <c r="BN361" i="3"/>
  <c r="AW360" i="3"/>
  <c r="AO362" i="3" l="1"/>
  <c r="BN362" i="3"/>
  <c r="BM362" i="3"/>
  <c r="AG362" i="3"/>
  <c r="AT361" i="3"/>
  <c r="AU361" i="3"/>
  <c r="BA360" i="3"/>
  <c r="AV360" i="3"/>
  <c r="Y362" i="3"/>
  <c r="Z362" i="3" s="1"/>
  <c r="X362" i="3"/>
  <c r="C363" i="3"/>
  <c r="B363" i="3"/>
  <c r="A364" i="3"/>
  <c r="AQ363" i="3"/>
  <c r="AR363" i="3"/>
  <c r="D363" i="3"/>
  <c r="G363" i="3"/>
  <c r="H363" i="3" s="1"/>
  <c r="F363" i="3"/>
  <c r="Q363" i="3"/>
  <c r="S363" i="3"/>
  <c r="O363" i="3"/>
  <c r="U363" i="3"/>
  <c r="M363" i="3"/>
  <c r="AM363" i="3"/>
  <c r="AF363" i="3"/>
  <c r="AK363" i="3"/>
  <c r="AD363" i="3"/>
  <c r="AE363" i="3"/>
  <c r="V363" i="3"/>
  <c r="P363" i="3"/>
  <c r="T363" i="3"/>
  <c r="R363" i="3"/>
  <c r="AN362" i="3"/>
  <c r="AH362" i="3"/>
  <c r="AY360" i="3"/>
  <c r="AX361" i="3"/>
  <c r="BD359" i="3"/>
  <c r="BG359" i="3"/>
  <c r="BH359" i="3" s="1"/>
  <c r="BI359" i="3" s="1"/>
  <c r="AW361" i="3"/>
  <c r="BQ359" i="3"/>
  <c r="BF359" i="3"/>
  <c r="BJ358" i="3" s="1"/>
  <c r="BK358" i="3" s="1"/>
  <c r="BB359" i="3"/>
  <c r="AV361" i="3" l="1"/>
  <c r="AO363" i="3"/>
  <c r="AX362" i="3"/>
  <c r="BM363" i="3"/>
  <c r="BN363" i="3"/>
  <c r="AG363" i="3"/>
  <c r="AY361" i="3"/>
  <c r="AH363" i="3"/>
  <c r="AU363" i="3" s="1"/>
  <c r="AU362" i="3"/>
  <c r="X363" i="3"/>
  <c r="AT362" i="3"/>
  <c r="AW362" i="3"/>
  <c r="AY362" i="3" s="1"/>
  <c r="AN363" i="3"/>
  <c r="BA361" i="3"/>
  <c r="BC360" i="3"/>
  <c r="BC361" i="3"/>
  <c r="Y363" i="3"/>
  <c r="Z363" i="3" s="1"/>
  <c r="D364" i="3"/>
  <c r="C364" i="3"/>
  <c r="AQ364" i="3"/>
  <c r="B364" i="3"/>
  <c r="A365" i="3"/>
  <c r="AR364" i="3"/>
  <c r="F364" i="3"/>
  <c r="G364" i="3"/>
  <c r="H364" i="3" s="1"/>
  <c r="Q364" i="3"/>
  <c r="S364" i="3"/>
  <c r="O364" i="3"/>
  <c r="U364" i="3"/>
  <c r="AD364" i="3"/>
  <c r="AM364" i="3"/>
  <c r="AK364" i="3"/>
  <c r="AF364" i="3"/>
  <c r="AE364" i="3"/>
  <c r="M364" i="3"/>
  <c r="T364" i="3"/>
  <c r="V364" i="3"/>
  <c r="R364" i="3"/>
  <c r="P364" i="3"/>
  <c r="BQ360" i="3"/>
  <c r="BF360" i="3"/>
  <c r="BJ359" i="3" s="1"/>
  <c r="BK359" i="3" s="1"/>
  <c r="BB360" i="3"/>
  <c r="AG364" i="3" l="1"/>
  <c r="AO364" i="3"/>
  <c r="AV362" i="3"/>
  <c r="BC362" i="3" s="1"/>
  <c r="BA362" i="3"/>
  <c r="BD360" i="3"/>
  <c r="BG360" i="3"/>
  <c r="BH360" i="3" s="1"/>
  <c r="BI360" i="3" s="1"/>
  <c r="Y364" i="3"/>
  <c r="Z364" i="3" s="1"/>
  <c r="BD361" i="3"/>
  <c r="BG361" i="3"/>
  <c r="BH361" i="3" s="1"/>
  <c r="BI361" i="3" s="1"/>
  <c r="AH364" i="3"/>
  <c r="AU364" i="3" s="1"/>
  <c r="B365" i="3"/>
  <c r="D365" i="3"/>
  <c r="C365" i="3"/>
  <c r="A366" i="3"/>
  <c r="AR365" i="3"/>
  <c r="AQ365" i="3"/>
  <c r="F365" i="3"/>
  <c r="G365" i="3"/>
  <c r="H365" i="3" s="1"/>
  <c r="Q365" i="3"/>
  <c r="S365" i="3"/>
  <c r="O365" i="3"/>
  <c r="U365" i="3"/>
  <c r="AF365" i="3"/>
  <c r="AE365" i="3"/>
  <c r="AD365" i="3"/>
  <c r="AM365" i="3"/>
  <c r="AK365" i="3"/>
  <c r="M365" i="3"/>
  <c r="V365" i="3"/>
  <c r="P365" i="3"/>
  <c r="R365" i="3"/>
  <c r="T365" i="3"/>
  <c r="BM364" i="3"/>
  <c r="X364" i="3"/>
  <c r="BF361" i="3"/>
  <c r="BJ360" i="3" s="1"/>
  <c r="BK360" i="3" s="1"/>
  <c r="BB361" i="3"/>
  <c r="BQ361" i="3"/>
  <c r="AX363" i="3"/>
  <c r="BN364" i="3"/>
  <c r="AN364" i="3"/>
  <c r="AT363" i="3"/>
  <c r="AW363" i="3"/>
  <c r="AX364" i="3" l="1"/>
  <c r="AG365" i="3"/>
  <c r="AW364" i="3"/>
  <c r="AY364" i="3" s="1"/>
  <c r="AO365" i="3"/>
  <c r="AT364" i="3"/>
  <c r="Y365" i="3"/>
  <c r="Z365" i="3" s="1"/>
  <c r="X365" i="3"/>
  <c r="AV363" i="3"/>
  <c r="BA363" i="3"/>
  <c r="BF362" i="3"/>
  <c r="BJ361" i="3" s="1"/>
  <c r="BK361" i="3" s="1"/>
  <c r="BB362" i="3"/>
  <c r="BQ362" i="3"/>
  <c r="A367" i="3"/>
  <c r="B366" i="3"/>
  <c r="AQ366" i="3"/>
  <c r="AR366" i="3"/>
  <c r="D366" i="3"/>
  <c r="C366" i="3"/>
  <c r="G366" i="3"/>
  <c r="H366" i="3" s="1"/>
  <c r="BN366" i="3" s="1"/>
  <c r="F366" i="3"/>
  <c r="BM366" i="3" s="1"/>
  <c r="Q366" i="3"/>
  <c r="S366" i="3"/>
  <c r="O366" i="3"/>
  <c r="U366" i="3"/>
  <c r="AD366" i="3"/>
  <c r="M366" i="3"/>
  <c r="AF366" i="3"/>
  <c r="AK366" i="3"/>
  <c r="AM366" i="3"/>
  <c r="AN366" i="3" s="1"/>
  <c r="AE366" i="3"/>
  <c r="V366" i="3"/>
  <c r="R366" i="3"/>
  <c r="T366" i="3"/>
  <c r="P366" i="3"/>
  <c r="AY363" i="3"/>
  <c r="AN365" i="3"/>
  <c r="BN365" i="3"/>
  <c r="AH365" i="3"/>
  <c r="AX365" i="3" s="1"/>
  <c r="BM365" i="3"/>
  <c r="BD362" i="3"/>
  <c r="BG362" i="3"/>
  <c r="BH362" i="3" s="1"/>
  <c r="BI362" i="3" s="1"/>
  <c r="BC363" i="3" l="1"/>
  <c r="AG366" i="3"/>
  <c r="X366" i="3"/>
  <c r="Y366" i="3"/>
  <c r="Z366" i="3" s="1"/>
  <c r="AO366" i="3"/>
  <c r="AT365" i="3"/>
  <c r="AV364" i="3"/>
  <c r="BC364" i="3" s="1"/>
  <c r="BA364" i="3"/>
  <c r="AW365" i="3"/>
  <c r="AY365" i="3" s="1"/>
  <c r="BF363" i="3"/>
  <c r="BJ362" i="3" s="1"/>
  <c r="BK362" i="3" s="1"/>
  <c r="BB363" i="3"/>
  <c r="BQ363" i="3"/>
  <c r="BD363" i="3"/>
  <c r="BG363" i="3"/>
  <c r="BH363" i="3" s="1"/>
  <c r="BI363" i="3" s="1"/>
  <c r="C367" i="3"/>
  <c r="D367" i="3"/>
  <c r="AR367" i="3"/>
  <c r="AQ367" i="3"/>
  <c r="B367" i="3"/>
  <c r="A368" i="3"/>
  <c r="G367" i="3"/>
  <c r="H367" i="3" s="1"/>
  <c r="F367" i="3"/>
  <c r="Q367" i="3"/>
  <c r="S367" i="3"/>
  <c r="O367" i="3"/>
  <c r="U367" i="3"/>
  <c r="AK367" i="3"/>
  <c r="M367" i="3"/>
  <c r="AM367" i="3"/>
  <c r="AN367" i="3" s="1"/>
  <c r="AE367" i="3"/>
  <c r="AD367" i="3"/>
  <c r="AF367" i="3"/>
  <c r="T367" i="3"/>
  <c r="V367" i="3"/>
  <c r="P367" i="3"/>
  <c r="R367" i="3"/>
  <c r="AH366" i="3"/>
  <c r="AX366" i="3" s="1"/>
  <c r="AU365" i="3"/>
  <c r="BM367" i="3" l="1"/>
  <c r="BN367" i="3"/>
  <c r="AH367" i="3"/>
  <c r="BF364" i="3"/>
  <c r="BJ363" i="3" s="1"/>
  <c r="BK363" i="3" s="1"/>
  <c r="BB364" i="3"/>
  <c r="BQ364" i="3"/>
  <c r="AG367" i="3"/>
  <c r="BD364" i="3"/>
  <c r="BG364" i="3"/>
  <c r="BH364" i="3" s="1"/>
  <c r="BI364" i="3" s="1"/>
  <c r="BA365" i="3"/>
  <c r="AV365" i="3"/>
  <c r="BC365" i="3" s="1"/>
  <c r="A369" i="3"/>
  <c r="AR368" i="3"/>
  <c r="AQ368" i="3"/>
  <c r="C368" i="3"/>
  <c r="B368" i="3"/>
  <c r="D368" i="3"/>
  <c r="F368" i="3"/>
  <c r="G368" i="3"/>
  <c r="H368" i="3" s="1"/>
  <c r="Q368" i="3"/>
  <c r="S368" i="3"/>
  <c r="O368" i="3"/>
  <c r="U368" i="3"/>
  <c r="AF368" i="3"/>
  <c r="AK368" i="3"/>
  <c r="AM368" i="3"/>
  <c r="AN368" i="3" s="1"/>
  <c r="M368" i="3"/>
  <c r="AD368" i="3"/>
  <c r="AE368" i="3"/>
  <c r="P368" i="3"/>
  <c r="V368" i="3"/>
  <c r="R368" i="3"/>
  <c r="T368" i="3"/>
  <c r="AW366" i="3"/>
  <c r="AY366" i="3" s="1"/>
  <c r="AU366" i="3"/>
  <c r="AO367" i="3"/>
  <c r="Y367" i="3"/>
  <c r="Z367" i="3" s="1"/>
  <c r="X367" i="3"/>
  <c r="AT366" i="3"/>
  <c r="BM368" i="3" l="1"/>
  <c r="AU367" i="3"/>
  <c r="AW367" i="3"/>
  <c r="BA366" i="3"/>
  <c r="AV366" i="3"/>
  <c r="BC366" i="3" s="1"/>
  <c r="Y368" i="3"/>
  <c r="Z368" i="3" s="1"/>
  <c r="AG368" i="3"/>
  <c r="AO368" i="3"/>
  <c r="X368" i="3"/>
  <c r="AH368" i="3"/>
  <c r="B369" i="3"/>
  <c r="AQ369" i="3"/>
  <c r="A370" i="3"/>
  <c r="AR369" i="3"/>
  <c r="D369" i="3"/>
  <c r="C369" i="3"/>
  <c r="G369" i="3"/>
  <c r="H369" i="3" s="1"/>
  <c r="F369" i="3"/>
  <c r="Q369" i="3"/>
  <c r="S369" i="3"/>
  <c r="O369" i="3"/>
  <c r="U369" i="3"/>
  <c r="AF369" i="3"/>
  <c r="AK369" i="3"/>
  <c r="AM369" i="3"/>
  <c r="AD369" i="3"/>
  <c r="M369" i="3"/>
  <c r="AE369" i="3"/>
  <c r="V369" i="3"/>
  <c r="R369" i="3"/>
  <c r="T369" i="3"/>
  <c r="P369" i="3"/>
  <c r="BF365" i="3"/>
  <c r="BJ364" i="3" s="1"/>
  <c r="BK364" i="3" s="1"/>
  <c r="BQ365" i="3"/>
  <c r="BB365" i="3"/>
  <c r="AT367" i="3"/>
  <c r="BN368" i="3"/>
  <c r="BD365" i="3"/>
  <c r="BG365" i="3"/>
  <c r="BH365" i="3" s="1"/>
  <c r="BI365" i="3" s="1"/>
  <c r="AX367" i="3"/>
  <c r="AY367" i="3" s="1"/>
  <c r="BN369" i="3" l="1"/>
  <c r="AU368" i="3"/>
  <c r="AO369" i="3"/>
  <c r="AN369" i="3"/>
  <c r="BA367" i="3"/>
  <c r="AV367" i="3"/>
  <c r="BC367" i="3" s="1"/>
  <c r="AW368" i="3"/>
  <c r="X369" i="3"/>
  <c r="AT368" i="3"/>
  <c r="A371" i="3"/>
  <c r="D370" i="3"/>
  <c r="C370" i="3"/>
  <c r="AQ370" i="3"/>
  <c r="B370" i="3"/>
  <c r="AR370" i="3"/>
  <c r="G370" i="3"/>
  <c r="H370" i="3" s="1"/>
  <c r="BN370" i="3" s="1"/>
  <c r="F370" i="3"/>
  <c r="Q370" i="3"/>
  <c r="S370" i="3"/>
  <c r="O370" i="3"/>
  <c r="U370" i="3"/>
  <c r="AF370" i="3"/>
  <c r="AK370" i="3"/>
  <c r="AM370" i="3"/>
  <c r="AD370" i="3"/>
  <c r="M370" i="3"/>
  <c r="AE370" i="3"/>
  <c r="P370" i="3"/>
  <c r="V370" i="3"/>
  <c r="T370" i="3"/>
  <c r="R370" i="3"/>
  <c r="AU369" i="3"/>
  <c r="Y369" i="3"/>
  <c r="Z369" i="3" s="1"/>
  <c r="AG369" i="3"/>
  <c r="BD366" i="3"/>
  <c r="BG366" i="3"/>
  <c r="BH366" i="3" s="1"/>
  <c r="BI366" i="3" s="1"/>
  <c r="AH369" i="3"/>
  <c r="AX369" i="3" s="1"/>
  <c r="BM369" i="3"/>
  <c r="AX368" i="3"/>
  <c r="AY368" i="3" s="1"/>
  <c r="BQ366" i="3"/>
  <c r="BF366" i="3"/>
  <c r="BJ365" i="3" s="1"/>
  <c r="BK365" i="3" s="1"/>
  <c r="BB366" i="3"/>
  <c r="AN370" i="3" l="1"/>
  <c r="AT369" i="3"/>
  <c r="AH370" i="3"/>
  <c r="BM370" i="3"/>
  <c r="AO370" i="3"/>
  <c r="D371" i="3"/>
  <c r="AQ371" i="3"/>
  <c r="B371" i="3"/>
  <c r="AR371" i="3"/>
  <c r="A372" i="3"/>
  <c r="C371" i="3"/>
  <c r="G371" i="3"/>
  <c r="H371" i="3" s="1"/>
  <c r="F371" i="3"/>
  <c r="BM371" i="3" s="1"/>
  <c r="Q371" i="3"/>
  <c r="S371" i="3"/>
  <c r="O371" i="3"/>
  <c r="U371" i="3"/>
  <c r="AD371" i="3"/>
  <c r="AE371" i="3"/>
  <c r="AM371" i="3"/>
  <c r="AK371" i="3"/>
  <c r="AF371" i="3"/>
  <c r="M371" i="3"/>
  <c r="P371" i="3"/>
  <c r="T371" i="3"/>
  <c r="V371" i="3"/>
  <c r="R371" i="3"/>
  <c r="AV369" i="3"/>
  <c r="X370" i="3"/>
  <c r="BG367" i="3"/>
  <c r="BH367" i="3" s="1"/>
  <c r="BI367" i="3" s="1"/>
  <c r="BD367" i="3"/>
  <c r="AV368" i="3"/>
  <c r="BC368" i="3" s="1"/>
  <c r="BA368" i="3"/>
  <c r="Y370" i="3"/>
  <c r="Z370" i="3" s="1"/>
  <c r="BB367" i="3"/>
  <c r="BF367" i="3"/>
  <c r="BJ366" i="3" s="1"/>
  <c r="BK366" i="3" s="1"/>
  <c r="BQ367" i="3"/>
  <c r="AW369" i="3"/>
  <c r="BA369" i="3" s="1"/>
  <c r="AG370" i="3"/>
  <c r="AW370" i="3" s="1"/>
  <c r="X371" i="3" l="1"/>
  <c r="AO371" i="3"/>
  <c r="BF369" i="3"/>
  <c r="BQ369" i="3"/>
  <c r="BB369" i="3"/>
  <c r="AH371" i="3"/>
  <c r="AU371" i="3" s="1"/>
  <c r="Y371" i="3"/>
  <c r="Z371" i="3" s="1"/>
  <c r="BD368" i="3"/>
  <c r="BG368" i="3"/>
  <c r="BH368" i="3" s="1"/>
  <c r="BI368" i="3" s="1"/>
  <c r="AU370" i="3"/>
  <c r="AX370" i="3"/>
  <c r="AY370" i="3" s="1"/>
  <c r="AY369" i="3"/>
  <c r="AN371" i="3"/>
  <c r="BN371" i="3"/>
  <c r="AT370" i="3"/>
  <c r="AR372" i="3"/>
  <c r="AQ372" i="3"/>
  <c r="B372" i="3"/>
  <c r="D372" i="3"/>
  <c r="A373" i="3"/>
  <c r="C372" i="3"/>
  <c r="G372" i="3"/>
  <c r="H372" i="3" s="1"/>
  <c r="BN372" i="3" s="1"/>
  <c r="F372" i="3"/>
  <c r="Q372" i="3"/>
  <c r="S372" i="3"/>
  <c r="O372" i="3"/>
  <c r="U372" i="3"/>
  <c r="AF372" i="3"/>
  <c r="AM372" i="3"/>
  <c r="AK372" i="3"/>
  <c r="AO372" i="3" s="1"/>
  <c r="M372" i="3"/>
  <c r="AD372" i="3"/>
  <c r="AE372" i="3"/>
  <c r="V372" i="3"/>
  <c r="P372" i="3"/>
  <c r="R372" i="3"/>
  <c r="T372" i="3"/>
  <c r="BC369" i="3"/>
  <c r="BB368" i="3"/>
  <c r="BF368" i="3"/>
  <c r="BJ367" i="3" s="1"/>
  <c r="BK367" i="3" s="1"/>
  <c r="BQ368" i="3"/>
  <c r="AG371" i="3"/>
  <c r="AW371" i="3" l="1"/>
  <c r="AG372" i="3"/>
  <c r="Y372" i="3"/>
  <c r="Z372" i="3" s="1"/>
  <c r="AX371" i="3"/>
  <c r="AY371" i="3" s="1"/>
  <c r="AH372" i="3"/>
  <c r="AX372" i="3" s="1"/>
  <c r="AT372" i="3"/>
  <c r="BD369" i="3"/>
  <c r="BG369" i="3"/>
  <c r="BH369" i="3" s="1"/>
  <c r="BI369" i="3" s="1"/>
  <c r="AN372" i="3"/>
  <c r="B373" i="3"/>
  <c r="C373" i="3"/>
  <c r="D373" i="3"/>
  <c r="AR373" i="3"/>
  <c r="AQ373" i="3"/>
  <c r="A374" i="3"/>
  <c r="F373" i="3"/>
  <c r="G373" i="3"/>
  <c r="H373" i="3" s="1"/>
  <c r="Q373" i="3"/>
  <c r="S373" i="3"/>
  <c r="O373" i="3"/>
  <c r="U373" i="3"/>
  <c r="AF373" i="3"/>
  <c r="AM373" i="3"/>
  <c r="AK373" i="3"/>
  <c r="M373" i="3"/>
  <c r="AE373" i="3"/>
  <c r="AD373" i="3"/>
  <c r="V373" i="3"/>
  <c r="R373" i="3"/>
  <c r="P373" i="3"/>
  <c r="T373" i="3"/>
  <c r="X372" i="3"/>
  <c r="BM372" i="3"/>
  <c r="AV370" i="3"/>
  <c r="BC370" i="3" s="1"/>
  <c r="BA370" i="3"/>
  <c r="AT371" i="3"/>
  <c r="BJ368" i="3"/>
  <c r="BK368" i="3" s="1"/>
  <c r="AO373" i="3" l="1"/>
  <c r="AV371" i="3"/>
  <c r="BC371" i="3" s="1"/>
  <c r="BA371" i="3"/>
  <c r="AH373" i="3"/>
  <c r="AG373" i="3"/>
  <c r="AU373" i="3"/>
  <c r="Y373" i="3"/>
  <c r="Z373" i="3" s="1"/>
  <c r="BB370" i="3"/>
  <c r="BQ370" i="3"/>
  <c r="BF370" i="3"/>
  <c r="BJ369" i="3" s="1"/>
  <c r="BK369" i="3" s="1"/>
  <c r="BN373" i="3"/>
  <c r="AU372" i="3"/>
  <c r="AV372" i="3" s="1"/>
  <c r="X373" i="3"/>
  <c r="BD370" i="3"/>
  <c r="BG370" i="3"/>
  <c r="BH370" i="3" s="1"/>
  <c r="BI370" i="3" s="1"/>
  <c r="BM373" i="3"/>
  <c r="AW372" i="3"/>
  <c r="AY372" i="3" s="1"/>
  <c r="AN373" i="3"/>
  <c r="A375" i="3"/>
  <c r="AR374" i="3"/>
  <c r="B374" i="3"/>
  <c r="AQ374" i="3"/>
  <c r="C374" i="3"/>
  <c r="D374" i="3"/>
  <c r="G374" i="3"/>
  <c r="H374" i="3" s="1"/>
  <c r="BN374" i="3" s="1"/>
  <c r="F374" i="3"/>
  <c r="Q374" i="3"/>
  <c r="S374" i="3"/>
  <c r="O374" i="3"/>
  <c r="U374" i="3"/>
  <c r="AE374" i="3"/>
  <c r="AM374" i="3"/>
  <c r="AK374" i="3"/>
  <c r="AO374" i="3" s="1"/>
  <c r="M374" i="3"/>
  <c r="AF374" i="3"/>
  <c r="AD374" i="3"/>
  <c r="R374" i="3"/>
  <c r="V374" i="3"/>
  <c r="T374" i="3"/>
  <c r="P374" i="3"/>
  <c r="BM374" i="3" l="1"/>
  <c r="BA372" i="3"/>
  <c r="BB372" i="3" s="1"/>
  <c r="BC372" i="3"/>
  <c r="BD372" i="3" s="1"/>
  <c r="AX373" i="3"/>
  <c r="BF372" i="3"/>
  <c r="BQ372" i="3"/>
  <c r="D375" i="3"/>
  <c r="A376" i="3"/>
  <c r="AR375" i="3"/>
  <c r="B375" i="3"/>
  <c r="C375" i="3"/>
  <c r="AQ375" i="3"/>
  <c r="G375" i="3"/>
  <c r="H375" i="3" s="1"/>
  <c r="F375" i="3"/>
  <c r="BM375" i="3" s="1"/>
  <c r="Q375" i="3"/>
  <c r="S375" i="3"/>
  <c r="O375" i="3"/>
  <c r="U375" i="3"/>
  <c r="M375" i="3"/>
  <c r="AM375" i="3"/>
  <c r="AK375" i="3"/>
  <c r="AO375" i="3" s="1"/>
  <c r="AD375" i="3"/>
  <c r="AE375" i="3"/>
  <c r="AF375" i="3"/>
  <c r="V375" i="3"/>
  <c r="R375" i="3"/>
  <c r="T375" i="3"/>
  <c r="P375" i="3"/>
  <c r="BB371" i="3"/>
  <c r="BF371" i="3"/>
  <c r="BJ370" i="3" s="1"/>
  <c r="BK370" i="3" s="1"/>
  <c r="BQ371" i="3"/>
  <c r="AH374" i="3"/>
  <c r="AW373" i="3"/>
  <c r="AG374" i="3"/>
  <c r="Y374" i="3"/>
  <c r="Z374" i="3" s="1"/>
  <c r="X374" i="3"/>
  <c r="BD371" i="3"/>
  <c r="BG371" i="3"/>
  <c r="BH371" i="3" s="1"/>
  <c r="BI371" i="3" s="1"/>
  <c r="AN374" i="3"/>
  <c r="AT373" i="3"/>
  <c r="BG372" i="3" l="1"/>
  <c r="BH372" i="3" s="1"/>
  <c r="BI372" i="3" s="1"/>
  <c r="AY373" i="3"/>
  <c r="AH375" i="3"/>
  <c r="AX374" i="3"/>
  <c r="AG375" i="3"/>
  <c r="Y375" i="3"/>
  <c r="Z375" i="3" s="1"/>
  <c r="BN375" i="3"/>
  <c r="AW374" i="3"/>
  <c r="AY374" i="3" s="1"/>
  <c r="AN375" i="3"/>
  <c r="AU374" i="3"/>
  <c r="BJ371" i="3"/>
  <c r="BK371" i="3" s="1"/>
  <c r="BA373" i="3"/>
  <c r="AV373" i="3"/>
  <c r="BC373" i="3" s="1"/>
  <c r="X375" i="3"/>
  <c r="C376" i="3"/>
  <c r="D376" i="3"/>
  <c r="A377" i="3"/>
  <c r="AR376" i="3"/>
  <c r="B376" i="3"/>
  <c r="AQ376" i="3"/>
  <c r="F376" i="3"/>
  <c r="G376" i="3"/>
  <c r="H376" i="3" s="1"/>
  <c r="Q376" i="3"/>
  <c r="S376" i="3"/>
  <c r="O376" i="3"/>
  <c r="U376" i="3"/>
  <c r="AM376" i="3"/>
  <c r="AK376" i="3"/>
  <c r="AO376" i="3" s="1"/>
  <c r="AF376" i="3"/>
  <c r="M376" i="3"/>
  <c r="AD376" i="3"/>
  <c r="AE376" i="3"/>
  <c r="R376" i="3"/>
  <c r="V376" i="3"/>
  <c r="T376" i="3"/>
  <c r="P376" i="3"/>
  <c r="AT375" i="3"/>
  <c r="AT374" i="3"/>
  <c r="AX375" i="3" l="1"/>
  <c r="AU375" i="3"/>
  <c r="AG376" i="3"/>
  <c r="X376" i="3"/>
  <c r="BM376" i="3"/>
  <c r="BA374" i="3"/>
  <c r="AV374" i="3"/>
  <c r="BC374" i="3" s="1"/>
  <c r="AH376" i="3"/>
  <c r="AX376" i="3" s="1"/>
  <c r="BN376" i="3"/>
  <c r="AV375" i="3"/>
  <c r="BD373" i="3"/>
  <c r="BG373" i="3"/>
  <c r="BH373" i="3" s="1"/>
  <c r="BI373" i="3" s="1"/>
  <c r="AN376" i="3"/>
  <c r="BF373" i="3"/>
  <c r="BJ372" i="3" s="1"/>
  <c r="BK372" i="3" s="1"/>
  <c r="BB373" i="3"/>
  <c r="BQ373" i="3"/>
  <c r="Y376" i="3"/>
  <c r="Z376" i="3" s="1"/>
  <c r="B377" i="3"/>
  <c r="AR377" i="3"/>
  <c r="D377" i="3"/>
  <c r="C377" i="3"/>
  <c r="AQ377" i="3"/>
  <c r="A378" i="3"/>
  <c r="G377" i="3"/>
  <c r="H377" i="3" s="1"/>
  <c r="F377" i="3"/>
  <c r="Q377" i="3"/>
  <c r="S377" i="3"/>
  <c r="O377" i="3"/>
  <c r="U377" i="3"/>
  <c r="AD377" i="3"/>
  <c r="AM377" i="3"/>
  <c r="AK377" i="3"/>
  <c r="AO377" i="3" s="1"/>
  <c r="AF377" i="3"/>
  <c r="M377" i="3"/>
  <c r="AE377" i="3"/>
  <c r="T377" i="3"/>
  <c r="V377" i="3"/>
  <c r="P377" i="3"/>
  <c r="R377" i="3"/>
  <c r="AW375" i="3"/>
  <c r="AY375" i="3" s="1"/>
  <c r="AG377" i="3" l="1"/>
  <c r="Y377" i="3"/>
  <c r="Z377" i="3" s="1"/>
  <c r="X377" i="3"/>
  <c r="BM377" i="3"/>
  <c r="AW376" i="3"/>
  <c r="AY376" i="3" s="1"/>
  <c r="AT376" i="3"/>
  <c r="BA375" i="3"/>
  <c r="AU376" i="3"/>
  <c r="BC375" i="3"/>
  <c r="A379" i="3"/>
  <c r="AQ378" i="3"/>
  <c r="C378" i="3"/>
  <c r="B378" i="3"/>
  <c r="AR378" i="3"/>
  <c r="D378" i="3"/>
  <c r="F378" i="3"/>
  <c r="BM378" i="3" s="1"/>
  <c r="G378" i="3"/>
  <c r="H378" i="3" s="1"/>
  <c r="S378" i="3"/>
  <c r="Q378" i="3"/>
  <c r="O378" i="3"/>
  <c r="U378" i="3"/>
  <c r="M378" i="3"/>
  <c r="AF378" i="3"/>
  <c r="AM378" i="3"/>
  <c r="AK378" i="3"/>
  <c r="AD378" i="3"/>
  <c r="AE378" i="3"/>
  <c r="R378" i="3"/>
  <c r="T378" i="3"/>
  <c r="V378" i="3"/>
  <c r="P378" i="3"/>
  <c r="BD374" i="3"/>
  <c r="BG374" i="3"/>
  <c r="BH374" i="3" s="1"/>
  <c r="BI374" i="3" s="1"/>
  <c r="BQ374" i="3"/>
  <c r="BB374" i="3"/>
  <c r="BF374" i="3"/>
  <c r="BJ373" i="3" s="1"/>
  <c r="BK373" i="3" s="1"/>
  <c r="BN377" i="3"/>
  <c r="AN377" i="3"/>
  <c r="AH377" i="3"/>
  <c r="AU377" i="3" s="1"/>
  <c r="BN378" i="3" l="1"/>
  <c r="AX377" i="3"/>
  <c r="AO378" i="3"/>
  <c r="BD375" i="3"/>
  <c r="BG375" i="3"/>
  <c r="BH375" i="3" s="1"/>
  <c r="BI375" i="3" s="1"/>
  <c r="AW377" i="3"/>
  <c r="AY377" i="3" s="1"/>
  <c r="BA376" i="3"/>
  <c r="AV376" i="3"/>
  <c r="BC376" i="3" s="1"/>
  <c r="AG378" i="3"/>
  <c r="AN378" i="3"/>
  <c r="BQ375" i="3"/>
  <c r="BF375" i="3"/>
  <c r="BJ374" i="3" s="1"/>
  <c r="BK374" i="3" s="1"/>
  <c r="BB375" i="3"/>
  <c r="Y378" i="3"/>
  <c r="Z378" i="3" s="1"/>
  <c r="X378" i="3"/>
  <c r="AH378" i="3"/>
  <c r="D379" i="3"/>
  <c r="C379" i="3"/>
  <c r="AQ379" i="3"/>
  <c r="B379" i="3"/>
  <c r="A380" i="3"/>
  <c r="AR379" i="3"/>
  <c r="G379" i="3"/>
  <c r="H379" i="3" s="1"/>
  <c r="BN379" i="3" s="1"/>
  <c r="F379" i="3"/>
  <c r="BM379" i="3" s="1"/>
  <c r="Q379" i="3"/>
  <c r="S379" i="3"/>
  <c r="O379" i="3"/>
  <c r="U379" i="3"/>
  <c r="AK379" i="3"/>
  <c r="AE379" i="3"/>
  <c r="AM379" i="3"/>
  <c r="AN379" i="3" s="1"/>
  <c r="M379" i="3"/>
  <c r="AF379" i="3"/>
  <c r="AD379" i="3"/>
  <c r="R379" i="3"/>
  <c r="V379" i="3"/>
  <c r="P379" i="3"/>
  <c r="T379" i="3"/>
  <c r="AT377" i="3"/>
  <c r="AW378" i="3" l="1"/>
  <c r="AG379" i="3"/>
  <c r="BD376" i="3"/>
  <c r="BG376" i="3"/>
  <c r="BH376" i="3" s="1"/>
  <c r="BI376" i="3" s="1"/>
  <c r="Y379" i="3"/>
  <c r="Z379" i="3" s="1"/>
  <c r="AV377" i="3"/>
  <c r="BC377" i="3" s="1"/>
  <c r="BA377" i="3"/>
  <c r="A381" i="3"/>
  <c r="B380" i="3"/>
  <c r="AQ380" i="3"/>
  <c r="D380" i="3"/>
  <c r="AR380" i="3"/>
  <c r="C380" i="3"/>
  <c r="F380" i="3"/>
  <c r="BM380" i="3" s="1"/>
  <c r="G380" i="3"/>
  <c r="H380" i="3" s="1"/>
  <c r="BN380" i="3" s="1"/>
  <c r="Q380" i="3"/>
  <c r="S380" i="3"/>
  <c r="O380" i="3"/>
  <c r="U380" i="3"/>
  <c r="AK380" i="3"/>
  <c r="AM380" i="3"/>
  <c r="AN380" i="3" s="1"/>
  <c r="AF380" i="3"/>
  <c r="AD380" i="3"/>
  <c r="AE380" i="3"/>
  <c r="M380" i="3"/>
  <c r="R380" i="3"/>
  <c r="V380" i="3"/>
  <c r="T380" i="3"/>
  <c r="P380" i="3"/>
  <c r="AX378" i="3"/>
  <c r="AY378" i="3" s="1"/>
  <c r="AO379" i="3"/>
  <c r="BB376" i="3"/>
  <c r="BF376" i="3"/>
  <c r="BJ375" i="3" s="1"/>
  <c r="BK375" i="3" s="1"/>
  <c r="BQ376" i="3"/>
  <c r="AT378" i="3"/>
  <c r="X379" i="3"/>
  <c r="AH379" i="3"/>
  <c r="AU379" i="3" s="1"/>
  <c r="AU378" i="3"/>
  <c r="AG380" i="3" l="1"/>
  <c r="AW379" i="3"/>
  <c r="BF377" i="3"/>
  <c r="BJ376" i="3" s="1"/>
  <c r="BK376" i="3" s="1"/>
  <c r="BQ377" i="3"/>
  <c r="BB377" i="3"/>
  <c r="BA378" i="3"/>
  <c r="AV378" i="3"/>
  <c r="BC378" i="3" s="1"/>
  <c r="AX379" i="3"/>
  <c r="AY379" i="3" s="1"/>
  <c r="B381" i="3"/>
  <c r="A382" i="3"/>
  <c r="C381" i="3"/>
  <c r="AQ381" i="3"/>
  <c r="AR381" i="3"/>
  <c r="D381" i="3"/>
  <c r="G381" i="3"/>
  <c r="H381" i="3" s="1"/>
  <c r="BN381" i="3" s="1"/>
  <c r="F381" i="3"/>
  <c r="BM381" i="3" s="1"/>
  <c r="S381" i="3"/>
  <c r="Q381" i="3"/>
  <c r="O381" i="3"/>
  <c r="U381" i="3"/>
  <c r="AK381" i="3"/>
  <c r="AD381" i="3"/>
  <c r="AM381" i="3"/>
  <c r="AN381" i="3" s="1"/>
  <c r="AF381" i="3"/>
  <c r="AE381" i="3"/>
  <c r="M381" i="3"/>
  <c r="V381" i="3"/>
  <c r="P381" i="3"/>
  <c r="T381" i="3"/>
  <c r="R381" i="3"/>
  <c r="BD377" i="3"/>
  <c r="BG377" i="3"/>
  <c r="BH377" i="3" s="1"/>
  <c r="BI377" i="3" s="1"/>
  <c r="AO380" i="3"/>
  <c r="AH380" i="3"/>
  <c r="AT380" i="3"/>
  <c r="Y380" i="3"/>
  <c r="Z380" i="3" s="1"/>
  <c r="X380" i="3"/>
  <c r="AT379" i="3"/>
  <c r="AU380" i="3"/>
  <c r="AG381" i="3" l="1"/>
  <c r="AV379" i="3"/>
  <c r="BC379" i="3" s="1"/>
  <c r="BA379" i="3"/>
  <c r="AV380" i="3"/>
  <c r="AO381" i="3"/>
  <c r="AU381" i="3"/>
  <c r="Y381" i="3"/>
  <c r="Z381" i="3" s="1"/>
  <c r="X381" i="3"/>
  <c r="BD378" i="3"/>
  <c r="BG378" i="3"/>
  <c r="BH378" i="3" s="1"/>
  <c r="BI378" i="3" s="1"/>
  <c r="AH381" i="3"/>
  <c r="BQ378" i="3"/>
  <c r="BB378" i="3"/>
  <c r="BF378" i="3"/>
  <c r="BJ377" i="3" s="1"/>
  <c r="BK377" i="3" s="1"/>
  <c r="AX380" i="3"/>
  <c r="AW380" i="3"/>
  <c r="BA380" i="3" s="1"/>
  <c r="A383" i="3"/>
  <c r="D382" i="3"/>
  <c r="C382" i="3"/>
  <c r="AQ382" i="3"/>
  <c r="B382" i="3"/>
  <c r="AR382" i="3"/>
  <c r="F382" i="3"/>
  <c r="G382" i="3"/>
  <c r="H382" i="3" s="1"/>
  <c r="Q382" i="3"/>
  <c r="S382" i="3"/>
  <c r="O382" i="3"/>
  <c r="U382" i="3"/>
  <c r="AF382" i="3"/>
  <c r="AK382" i="3"/>
  <c r="AM382" i="3"/>
  <c r="AN382" i="3" s="1"/>
  <c r="AE382" i="3"/>
  <c r="AD382" i="3"/>
  <c r="M382" i="3"/>
  <c r="V382" i="3"/>
  <c r="P382" i="3"/>
  <c r="T382" i="3"/>
  <c r="R382" i="3"/>
  <c r="AY380" i="3" l="1"/>
  <c r="BC380" i="3" s="1"/>
  <c r="X382" i="3"/>
  <c r="AX381" i="3"/>
  <c r="AG382" i="3"/>
  <c r="BN382" i="3"/>
  <c r="BQ379" i="3"/>
  <c r="BB379" i="3"/>
  <c r="BF379" i="3"/>
  <c r="BJ378" i="3" s="1"/>
  <c r="BK378" i="3" s="1"/>
  <c r="Y382" i="3"/>
  <c r="Z382" i="3" s="1"/>
  <c r="AH382" i="3"/>
  <c r="BM382" i="3"/>
  <c r="BD379" i="3"/>
  <c r="BG379" i="3"/>
  <c r="BH379" i="3" s="1"/>
  <c r="BI379" i="3" s="1"/>
  <c r="C383" i="3"/>
  <c r="AQ383" i="3"/>
  <c r="B383" i="3"/>
  <c r="A384" i="3"/>
  <c r="D383" i="3"/>
  <c r="AR383" i="3"/>
  <c r="G383" i="3"/>
  <c r="H383" i="3" s="1"/>
  <c r="F383" i="3"/>
  <c r="Q383" i="3"/>
  <c r="S383" i="3"/>
  <c r="O383" i="3"/>
  <c r="U383" i="3"/>
  <c r="AF383" i="3"/>
  <c r="AD383" i="3"/>
  <c r="AM383" i="3"/>
  <c r="AK383" i="3"/>
  <c r="AO383" i="3" s="1"/>
  <c r="AE383" i="3"/>
  <c r="M383" i="3"/>
  <c r="P383" i="3"/>
  <c r="V383" i="3"/>
  <c r="R383" i="3"/>
  <c r="T383" i="3"/>
  <c r="BQ380" i="3"/>
  <c r="BB380" i="3"/>
  <c r="BF380" i="3"/>
  <c r="AO382" i="3"/>
  <c r="AT381" i="3"/>
  <c r="AW381" i="3"/>
  <c r="BN383" i="3" l="1"/>
  <c r="BM383" i="3"/>
  <c r="BJ379" i="3"/>
  <c r="BK379" i="3" s="1"/>
  <c r="BG380" i="3"/>
  <c r="BH380" i="3" s="1"/>
  <c r="BI380" i="3" s="1"/>
  <c r="BD380" i="3"/>
  <c r="AX382" i="3"/>
  <c r="AG383" i="3"/>
  <c r="AN383" i="3"/>
  <c r="AH383" i="3"/>
  <c r="AU382" i="3"/>
  <c r="Y383" i="3"/>
  <c r="Z383" i="3" s="1"/>
  <c r="X383" i="3"/>
  <c r="AQ384" i="3"/>
  <c r="D384" i="3"/>
  <c r="AR384" i="3"/>
  <c r="A385" i="3"/>
  <c r="B384" i="3"/>
  <c r="C384" i="3"/>
  <c r="F384" i="3"/>
  <c r="BM384" i="3" s="1"/>
  <c r="G384" i="3"/>
  <c r="H384" i="3" s="1"/>
  <c r="Q384" i="3"/>
  <c r="S384" i="3"/>
  <c r="O384" i="3"/>
  <c r="U384" i="3"/>
  <c r="AD384" i="3"/>
  <c r="AF384" i="3"/>
  <c r="AE384" i="3"/>
  <c r="AM384" i="3"/>
  <c r="AK384" i="3"/>
  <c r="M384" i="3"/>
  <c r="P384" i="3"/>
  <c r="V384" i="3"/>
  <c r="R384" i="3"/>
  <c r="T384" i="3"/>
  <c r="AW382" i="3"/>
  <c r="AV381" i="3"/>
  <c r="BA381" i="3"/>
  <c r="AT382" i="3"/>
  <c r="AY381" i="3"/>
  <c r="BN384" i="3" l="1"/>
  <c r="AY382" i="3"/>
  <c r="AX383" i="3"/>
  <c r="AG384" i="3"/>
  <c r="AN384" i="3"/>
  <c r="AU383" i="3"/>
  <c r="X384" i="3"/>
  <c r="B385" i="3"/>
  <c r="C385" i="3"/>
  <c r="AQ385" i="3"/>
  <c r="A386" i="3"/>
  <c r="AR385" i="3"/>
  <c r="D385" i="3"/>
  <c r="F385" i="3"/>
  <c r="G385" i="3"/>
  <c r="H385" i="3" s="1"/>
  <c r="Q385" i="3"/>
  <c r="S385" i="3"/>
  <c r="O385" i="3"/>
  <c r="U385" i="3"/>
  <c r="AM385" i="3"/>
  <c r="AK385" i="3"/>
  <c r="AE385" i="3"/>
  <c r="AD385" i="3"/>
  <c r="M385" i="3"/>
  <c r="AF385" i="3"/>
  <c r="P385" i="3"/>
  <c r="R385" i="3"/>
  <c r="T385" i="3"/>
  <c r="V385" i="3"/>
  <c r="AH384" i="3"/>
  <c r="AT384" i="3" s="1"/>
  <c r="Y384" i="3"/>
  <c r="Z384" i="3" s="1"/>
  <c r="AV382" i="3"/>
  <c r="BC382" i="3" s="1"/>
  <c r="BA382" i="3"/>
  <c r="BF381" i="3"/>
  <c r="BJ380" i="3" s="1"/>
  <c r="BK380" i="3" s="1"/>
  <c r="BQ381" i="3"/>
  <c r="BB381" i="3"/>
  <c r="AO384" i="3"/>
  <c r="AU384" i="3"/>
  <c r="AT383" i="3"/>
  <c r="BC381" i="3"/>
  <c r="AW383" i="3"/>
  <c r="AY383" i="3" l="1"/>
  <c r="Y385" i="3"/>
  <c r="Z385" i="3" s="1"/>
  <c r="AO385" i="3"/>
  <c r="X385" i="3"/>
  <c r="A387" i="3"/>
  <c r="AR386" i="3"/>
  <c r="B386" i="3"/>
  <c r="AQ386" i="3"/>
  <c r="C386" i="3"/>
  <c r="D386" i="3"/>
  <c r="G386" i="3"/>
  <c r="H386" i="3" s="1"/>
  <c r="F386" i="3"/>
  <c r="Q386" i="3"/>
  <c r="S386" i="3"/>
  <c r="O386" i="3"/>
  <c r="U386" i="3"/>
  <c r="AM386" i="3"/>
  <c r="AK386" i="3"/>
  <c r="AF386" i="3"/>
  <c r="AD386" i="3"/>
  <c r="M386" i="3"/>
  <c r="AE386" i="3"/>
  <c r="V386" i="3"/>
  <c r="T386" i="3"/>
  <c r="R386" i="3"/>
  <c r="P386" i="3"/>
  <c r="BD382" i="3"/>
  <c r="BG382" i="3"/>
  <c r="BH382" i="3" s="1"/>
  <c r="BI382" i="3" s="1"/>
  <c r="AV384" i="3"/>
  <c r="BF382" i="3"/>
  <c r="BJ381" i="3" s="1"/>
  <c r="BK381" i="3" s="1"/>
  <c r="BQ382" i="3"/>
  <c r="BB382" i="3"/>
  <c r="BD381" i="3"/>
  <c r="BG381" i="3"/>
  <c r="BH381" i="3" s="1"/>
  <c r="BI381" i="3" s="1"/>
  <c r="AV383" i="3"/>
  <c r="BC383" i="3" s="1"/>
  <c r="BA383" i="3"/>
  <c r="BN385" i="3"/>
  <c r="AN385" i="3"/>
  <c r="AX384" i="3"/>
  <c r="BA384" i="3" s="1"/>
  <c r="AH385" i="3"/>
  <c r="AG385" i="3"/>
  <c r="BM385" i="3"/>
  <c r="AW384" i="3"/>
  <c r="AN386" i="3" l="1"/>
  <c r="AG386" i="3"/>
  <c r="AU385" i="3"/>
  <c r="BB384" i="3"/>
  <c r="BQ384" i="3"/>
  <c r="BF384" i="3"/>
  <c r="Y386" i="3"/>
  <c r="Z386" i="3" s="1"/>
  <c r="BD383" i="3"/>
  <c r="BG383" i="3"/>
  <c r="BH383" i="3" s="1"/>
  <c r="BI383" i="3" s="1"/>
  <c r="C387" i="3"/>
  <c r="AR387" i="3"/>
  <c r="D387" i="3"/>
  <c r="A388" i="3"/>
  <c r="B387" i="3"/>
  <c r="AQ387" i="3"/>
  <c r="G387" i="3"/>
  <c r="H387" i="3" s="1"/>
  <c r="BN387" i="3" s="1"/>
  <c r="F387" i="3"/>
  <c r="Q387" i="3"/>
  <c r="S387" i="3"/>
  <c r="O387" i="3"/>
  <c r="U387" i="3"/>
  <c r="AK387" i="3"/>
  <c r="AF387" i="3"/>
  <c r="AE387" i="3"/>
  <c r="AM387" i="3"/>
  <c r="M387" i="3"/>
  <c r="AD387" i="3"/>
  <c r="P387" i="3"/>
  <c r="T387" i="3"/>
  <c r="V387" i="3"/>
  <c r="R387" i="3"/>
  <c r="AO386" i="3"/>
  <c r="X386" i="3"/>
  <c r="AW385" i="3"/>
  <c r="AY384" i="3"/>
  <c r="BC384" i="3" s="1"/>
  <c r="BB383" i="3"/>
  <c r="BF383" i="3"/>
  <c r="BJ382" i="3" s="1"/>
  <c r="BK382" i="3" s="1"/>
  <c r="BQ383" i="3"/>
  <c r="BM386" i="3"/>
  <c r="AX385" i="3"/>
  <c r="AT385" i="3"/>
  <c r="AH386" i="3"/>
  <c r="AU386" i="3" s="1"/>
  <c r="BN386" i="3"/>
  <c r="AY385" i="3" l="1"/>
  <c r="AW386" i="3"/>
  <c r="AG387" i="3"/>
  <c r="AO387" i="3"/>
  <c r="X387" i="3"/>
  <c r="BG384" i="3"/>
  <c r="BH384" i="3" s="1"/>
  <c r="BI384" i="3" s="1"/>
  <c r="BD384" i="3"/>
  <c r="AH387" i="3"/>
  <c r="AT387" i="3" s="1"/>
  <c r="C388" i="3"/>
  <c r="A389" i="3"/>
  <c r="B388" i="3"/>
  <c r="AQ388" i="3"/>
  <c r="AR388" i="3"/>
  <c r="D388" i="3"/>
  <c r="F388" i="3"/>
  <c r="G388" i="3"/>
  <c r="H388" i="3" s="1"/>
  <c r="BN388" i="3" s="1"/>
  <c r="S388" i="3"/>
  <c r="Q388" i="3"/>
  <c r="O388" i="3"/>
  <c r="U388" i="3"/>
  <c r="AF388" i="3"/>
  <c r="AK388" i="3"/>
  <c r="AM388" i="3"/>
  <c r="AN388" i="3" s="1"/>
  <c r="AE388" i="3"/>
  <c r="AD388" i="3"/>
  <c r="M388" i="3"/>
  <c r="V388" i="3"/>
  <c r="T388" i="3"/>
  <c r="P388" i="3"/>
  <c r="R388" i="3"/>
  <c r="BJ383" i="3"/>
  <c r="BK383" i="3" s="1"/>
  <c r="Y387" i="3"/>
  <c r="Z387" i="3" s="1"/>
  <c r="AX386" i="3"/>
  <c r="AV385" i="3"/>
  <c r="BC385" i="3" s="1"/>
  <c r="BA385" i="3"/>
  <c r="AT386" i="3"/>
  <c r="AN387" i="3"/>
  <c r="BM387" i="3"/>
  <c r="AY386" i="3" l="1"/>
  <c r="AH388" i="3"/>
  <c r="X388" i="3"/>
  <c r="BB385" i="3"/>
  <c r="BQ385" i="3"/>
  <c r="BF385" i="3"/>
  <c r="BJ384" i="3" s="1"/>
  <c r="BK384" i="3" s="1"/>
  <c r="AG388" i="3"/>
  <c r="AU388" i="3" s="1"/>
  <c r="Y388" i="3"/>
  <c r="Z388" i="3" s="1"/>
  <c r="BD385" i="3"/>
  <c r="BG385" i="3"/>
  <c r="BH385" i="3" s="1"/>
  <c r="BI385" i="3" s="1"/>
  <c r="B389" i="3"/>
  <c r="AR389" i="3"/>
  <c r="AQ389" i="3"/>
  <c r="C389" i="3"/>
  <c r="A390" i="3"/>
  <c r="D389" i="3"/>
  <c r="F389" i="3"/>
  <c r="G389" i="3"/>
  <c r="H389" i="3" s="1"/>
  <c r="Q389" i="3"/>
  <c r="S389" i="3"/>
  <c r="O389" i="3"/>
  <c r="U389" i="3"/>
  <c r="M389" i="3"/>
  <c r="AF389" i="3"/>
  <c r="AM389" i="3"/>
  <c r="AK389" i="3"/>
  <c r="AE389" i="3"/>
  <c r="AD389" i="3"/>
  <c r="V389" i="3"/>
  <c r="R389" i="3"/>
  <c r="T389" i="3"/>
  <c r="P389" i="3"/>
  <c r="AX387" i="3"/>
  <c r="BA386" i="3"/>
  <c r="AV386" i="3"/>
  <c r="BC386" i="3" s="1"/>
  <c r="BM388" i="3"/>
  <c r="AW387" i="3"/>
  <c r="AO388" i="3"/>
  <c r="AU387" i="3"/>
  <c r="AV387" i="3" s="1"/>
  <c r="BN389" i="3" l="1"/>
  <c r="BA387" i="3"/>
  <c r="BF387" i="3" s="1"/>
  <c r="AH389" i="3"/>
  <c r="AO389" i="3"/>
  <c r="BQ387" i="3"/>
  <c r="BB387" i="3"/>
  <c r="AX388" i="3"/>
  <c r="X389" i="3"/>
  <c r="AG389" i="3"/>
  <c r="BF386" i="3"/>
  <c r="BJ385" i="3" s="1"/>
  <c r="BK385" i="3" s="1"/>
  <c r="BQ386" i="3"/>
  <c r="BB386" i="3"/>
  <c r="BM389" i="3"/>
  <c r="A391" i="3"/>
  <c r="D390" i="3"/>
  <c r="C390" i="3"/>
  <c r="AQ390" i="3"/>
  <c r="AR390" i="3"/>
  <c r="B390" i="3"/>
  <c r="F390" i="3"/>
  <c r="G390" i="3"/>
  <c r="H390" i="3" s="1"/>
  <c r="Q390" i="3"/>
  <c r="S390" i="3"/>
  <c r="O390" i="3"/>
  <c r="U390" i="3"/>
  <c r="AD390" i="3"/>
  <c r="AF390" i="3"/>
  <c r="AM390" i="3"/>
  <c r="AK390" i="3"/>
  <c r="AO390" i="3" s="1"/>
  <c r="M390" i="3"/>
  <c r="AE390" i="3"/>
  <c r="AG390" i="3" s="1"/>
  <c r="V390" i="3"/>
  <c r="P390" i="3"/>
  <c r="R390" i="3"/>
  <c r="T390" i="3"/>
  <c r="AW388" i="3"/>
  <c r="BD386" i="3"/>
  <c r="BG386" i="3"/>
  <c r="BH386" i="3" s="1"/>
  <c r="BI386" i="3" s="1"/>
  <c r="AT388" i="3"/>
  <c r="AY387" i="3"/>
  <c r="BC387" i="3" s="1"/>
  <c r="AN389" i="3"/>
  <c r="Y389" i="3"/>
  <c r="Z389" i="3" s="1"/>
  <c r="BM390" i="3" l="1"/>
  <c r="AW389" i="3"/>
  <c r="BA388" i="3"/>
  <c r="AV388" i="3"/>
  <c r="D391" i="3"/>
  <c r="B391" i="3"/>
  <c r="AQ391" i="3"/>
  <c r="A392" i="3"/>
  <c r="AR391" i="3"/>
  <c r="C391" i="3"/>
  <c r="G391" i="3"/>
  <c r="H391" i="3" s="1"/>
  <c r="F391" i="3"/>
  <c r="S391" i="3"/>
  <c r="Q391" i="3"/>
  <c r="O391" i="3"/>
  <c r="U391" i="3"/>
  <c r="AD391" i="3"/>
  <c r="AE391" i="3"/>
  <c r="AK391" i="3"/>
  <c r="AF391" i="3"/>
  <c r="AM391" i="3"/>
  <c r="M391" i="3"/>
  <c r="V391" i="3"/>
  <c r="P391" i="3"/>
  <c r="R391" i="3"/>
  <c r="T391" i="3"/>
  <c r="AU389" i="3"/>
  <c r="AN390" i="3"/>
  <c r="AX389" i="3"/>
  <c r="AY389" i="3" s="1"/>
  <c r="AY388" i="3"/>
  <c r="BD387" i="3"/>
  <c r="BG387" i="3"/>
  <c r="BH387" i="3" s="1"/>
  <c r="BI387" i="3" s="1"/>
  <c r="AT389" i="3"/>
  <c r="AH390" i="3"/>
  <c r="AU390" i="3" s="1"/>
  <c r="X390" i="3"/>
  <c r="BN390" i="3"/>
  <c r="AT390" i="3"/>
  <c r="Y390" i="3"/>
  <c r="Z390" i="3" s="1"/>
  <c r="BJ386" i="3"/>
  <c r="BK386" i="3" s="1"/>
  <c r="AN391" i="3" l="1"/>
  <c r="BM391" i="3"/>
  <c r="X391" i="3"/>
  <c r="AW390" i="3"/>
  <c r="Y391" i="3"/>
  <c r="Z391" i="3" s="1"/>
  <c r="AO391" i="3"/>
  <c r="BN391" i="3"/>
  <c r="B392" i="3"/>
  <c r="AR392" i="3"/>
  <c r="A393" i="3"/>
  <c r="C392" i="3"/>
  <c r="D392" i="3"/>
  <c r="AQ392" i="3"/>
  <c r="F392" i="3"/>
  <c r="BM392" i="3" s="1"/>
  <c r="G392" i="3"/>
  <c r="H392" i="3" s="1"/>
  <c r="BN392" i="3" s="1"/>
  <c r="Q392" i="3"/>
  <c r="S392" i="3"/>
  <c r="O392" i="3"/>
  <c r="U392" i="3"/>
  <c r="AK392" i="3"/>
  <c r="M392" i="3"/>
  <c r="AF392" i="3"/>
  <c r="AM392" i="3"/>
  <c r="AN392" i="3" s="1"/>
  <c r="AE392" i="3"/>
  <c r="AD392" i="3"/>
  <c r="P392" i="3"/>
  <c r="R392" i="3"/>
  <c r="V392" i="3"/>
  <c r="T392" i="3"/>
  <c r="AX390" i="3"/>
  <c r="AY390" i="3" s="1"/>
  <c r="AV389" i="3"/>
  <c r="BC389" i="3" s="1"/>
  <c r="BA389" i="3"/>
  <c r="AG391" i="3"/>
  <c r="BC388" i="3"/>
  <c r="AV390" i="3"/>
  <c r="AH391" i="3"/>
  <c r="BB388" i="3"/>
  <c r="BF388" i="3"/>
  <c r="BJ387" i="3" s="1"/>
  <c r="BK387" i="3" s="1"/>
  <c r="BQ388" i="3"/>
  <c r="AW391" i="3" l="1"/>
  <c r="AH392" i="3"/>
  <c r="AG392" i="3"/>
  <c r="BD388" i="3"/>
  <c r="BG388" i="3"/>
  <c r="BH388" i="3" s="1"/>
  <c r="BI388" i="3" s="1"/>
  <c r="B393" i="3"/>
  <c r="D393" i="3"/>
  <c r="C393" i="3"/>
  <c r="AQ393" i="3"/>
  <c r="AR393" i="3"/>
  <c r="A394" i="3"/>
  <c r="G393" i="3"/>
  <c r="H393" i="3" s="1"/>
  <c r="F393" i="3"/>
  <c r="Q393" i="3"/>
  <c r="S393" i="3"/>
  <c r="O393" i="3"/>
  <c r="U393" i="3"/>
  <c r="AM393" i="3"/>
  <c r="AD393" i="3"/>
  <c r="AK393" i="3"/>
  <c r="AF393" i="3"/>
  <c r="M393" i="3"/>
  <c r="AE393" i="3"/>
  <c r="V393" i="3"/>
  <c r="R393" i="3"/>
  <c r="T393" i="3"/>
  <c r="P393" i="3"/>
  <c r="AT392" i="3"/>
  <c r="AT391" i="3"/>
  <c r="BD389" i="3"/>
  <c r="BG389" i="3"/>
  <c r="BH389" i="3" s="1"/>
  <c r="BI389" i="3" s="1"/>
  <c r="AX391" i="3"/>
  <c r="AY391" i="3" s="1"/>
  <c r="AO392" i="3"/>
  <c r="BQ389" i="3"/>
  <c r="BF389" i="3"/>
  <c r="BJ388" i="3" s="1"/>
  <c r="BK388" i="3" s="1"/>
  <c r="BB389" i="3"/>
  <c r="AU392" i="3"/>
  <c r="AU391" i="3"/>
  <c r="BC390" i="3"/>
  <c r="Y392" i="3"/>
  <c r="Z392" i="3" s="1"/>
  <c r="BA390" i="3"/>
  <c r="X392" i="3"/>
  <c r="AW392" i="3" l="1"/>
  <c r="AG393" i="3"/>
  <c r="AN393" i="3"/>
  <c r="X393" i="3"/>
  <c r="BD390" i="3"/>
  <c r="BG390" i="3"/>
  <c r="BH390" i="3" s="1"/>
  <c r="BI390" i="3" s="1"/>
  <c r="BA391" i="3"/>
  <c r="AV391" i="3"/>
  <c r="BC391" i="3" s="1"/>
  <c r="Y393" i="3"/>
  <c r="Z393" i="3" s="1"/>
  <c r="BM393" i="3"/>
  <c r="BB390" i="3"/>
  <c r="BQ390" i="3"/>
  <c r="BF390" i="3"/>
  <c r="BJ389" i="3" s="1"/>
  <c r="BK389" i="3" s="1"/>
  <c r="AV392" i="3"/>
  <c r="AO393" i="3"/>
  <c r="BN393" i="3"/>
  <c r="AX392" i="3"/>
  <c r="AY392" i="3" s="1"/>
  <c r="AH393" i="3"/>
  <c r="AU393" i="3" s="1"/>
  <c r="AR394" i="3"/>
  <c r="C394" i="3"/>
  <c r="D394" i="3"/>
  <c r="AQ394" i="3"/>
  <c r="B394" i="3"/>
  <c r="A395" i="3"/>
  <c r="F394" i="3"/>
  <c r="G394" i="3"/>
  <c r="H394" i="3" s="1"/>
  <c r="S394" i="3"/>
  <c r="Q394" i="3"/>
  <c r="O394" i="3"/>
  <c r="U394" i="3"/>
  <c r="AD394" i="3"/>
  <c r="M394" i="3"/>
  <c r="AK394" i="3"/>
  <c r="AM394" i="3"/>
  <c r="AF394" i="3"/>
  <c r="AE394" i="3"/>
  <c r="V394" i="3"/>
  <c r="P394" i="3"/>
  <c r="R394" i="3"/>
  <c r="T394" i="3"/>
  <c r="BN394" i="3" l="1"/>
  <c r="AH394" i="3"/>
  <c r="AT393" i="3"/>
  <c r="AV393" i="3" s="1"/>
  <c r="BA392" i="3"/>
  <c r="BF392" i="3" s="1"/>
  <c r="AN394" i="3"/>
  <c r="BD391" i="3"/>
  <c r="BG391" i="3"/>
  <c r="BH391" i="3" s="1"/>
  <c r="BI391" i="3" s="1"/>
  <c r="Y394" i="3"/>
  <c r="Z394" i="3" s="1"/>
  <c r="BC392" i="3"/>
  <c r="BB391" i="3"/>
  <c r="BF391" i="3"/>
  <c r="BJ390" i="3" s="1"/>
  <c r="BK390" i="3" s="1"/>
  <c r="BQ391" i="3"/>
  <c r="AX393" i="3"/>
  <c r="AG394" i="3"/>
  <c r="AT394" i="3" s="1"/>
  <c r="BM394" i="3"/>
  <c r="AW393" i="3"/>
  <c r="X394" i="3"/>
  <c r="AO394" i="3"/>
  <c r="D395" i="3"/>
  <c r="B395" i="3"/>
  <c r="AR395" i="3"/>
  <c r="A396" i="3"/>
  <c r="AQ395" i="3"/>
  <c r="C395" i="3"/>
  <c r="G395" i="3"/>
  <c r="H395" i="3" s="1"/>
  <c r="F395" i="3"/>
  <c r="Q395" i="3"/>
  <c r="S395" i="3"/>
  <c r="O395" i="3"/>
  <c r="U395" i="3"/>
  <c r="AF395" i="3"/>
  <c r="AM395" i="3"/>
  <c r="AK395" i="3"/>
  <c r="AE395" i="3"/>
  <c r="M395" i="3"/>
  <c r="AD395" i="3"/>
  <c r="V395" i="3"/>
  <c r="P395" i="3"/>
  <c r="R395" i="3"/>
  <c r="T395" i="3"/>
  <c r="BM395" i="3" l="1"/>
  <c r="BB392" i="3"/>
  <c r="BA393" i="3"/>
  <c r="BB393" i="3" s="1"/>
  <c r="AO395" i="3"/>
  <c r="AH395" i="3"/>
  <c r="BQ392" i="3"/>
  <c r="BF393" i="3"/>
  <c r="BJ392" i="3" s="1"/>
  <c r="BK392" i="3" s="1"/>
  <c r="BQ393" i="3"/>
  <c r="AN395" i="3"/>
  <c r="BN395" i="3"/>
  <c r="AY393" i="3"/>
  <c r="BC393" i="3" s="1"/>
  <c r="D396" i="3"/>
  <c r="C396" i="3"/>
  <c r="A397" i="3"/>
  <c r="AR396" i="3"/>
  <c r="AQ396" i="3"/>
  <c r="B396" i="3"/>
  <c r="G396" i="3"/>
  <c r="H396" i="3" s="1"/>
  <c r="F396" i="3"/>
  <c r="Q396" i="3"/>
  <c r="S396" i="3"/>
  <c r="O396" i="3"/>
  <c r="U396" i="3"/>
  <c r="AE396" i="3"/>
  <c r="AK396" i="3"/>
  <c r="AM396" i="3"/>
  <c r="AD396" i="3"/>
  <c r="AF396" i="3"/>
  <c r="M396" i="3"/>
  <c r="P396" i="3"/>
  <c r="R396" i="3"/>
  <c r="V396" i="3"/>
  <c r="T396" i="3"/>
  <c r="AW394" i="3"/>
  <c r="BJ391" i="3"/>
  <c r="BK391" i="3" s="1"/>
  <c r="AG395" i="3"/>
  <c r="X395" i="3"/>
  <c r="Y395" i="3"/>
  <c r="Z395" i="3" s="1"/>
  <c r="AX394" i="3"/>
  <c r="BA394" i="3" s="1"/>
  <c r="BD392" i="3"/>
  <c r="BG392" i="3"/>
  <c r="BH392" i="3" s="1"/>
  <c r="BI392" i="3" s="1"/>
  <c r="AU394" i="3"/>
  <c r="AV394" i="3" s="1"/>
  <c r="AT395" i="3" l="1"/>
  <c r="AX395" i="3"/>
  <c r="X396" i="3"/>
  <c r="AN396" i="3"/>
  <c r="BG393" i="3"/>
  <c r="BH393" i="3" s="1"/>
  <c r="BI393" i="3" s="1"/>
  <c r="BD393" i="3"/>
  <c r="B397" i="3"/>
  <c r="A398" i="3"/>
  <c r="C397" i="3"/>
  <c r="AQ397" i="3"/>
  <c r="D397" i="3"/>
  <c r="AR397" i="3"/>
  <c r="F397" i="3"/>
  <c r="G397" i="3"/>
  <c r="H397" i="3" s="1"/>
  <c r="Q397" i="3"/>
  <c r="S397" i="3"/>
  <c r="O397" i="3"/>
  <c r="U397" i="3"/>
  <c r="AK397" i="3"/>
  <c r="AM397" i="3"/>
  <c r="M397" i="3"/>
  <c r="AF397" i="3"/>
  <c r="AD397" i="3"/>
  <c r="AE397" i="3"/>
  <c r="V397" i="3"/>
  <c r="P397" i="3"/>
  <c r="R397" i="3"/>
  <c r="T397" i="3"/>
  <c r="BB394" i="3"/>
  <c r="BQ394" i="3"/>
  <c r="BF394" i="3"/>
  <c r="BJ393" i="3" s="1"/>
  <c r="BK393" i="3" s="1"/>
  <c r="AW395" i="3"/>
  <c r="AY395" i="3" s="1"/>
  <c r="AH396" i="3"/>
  <c r="BN396" i="3"/>
  <c r="AO396" i="3"/>
  <c r="BM396" i="3"/>
  <c r="AU395" i="3"/>
  <c r="AV395" i="3" s="1"/>
  <c r="AY394" i="3"/>
  <c r="BC394" i="3" s="1"/>
  <c r="Y396" i="3"/>
  <c r="Z396" i="3" s="1"/>
  <c r="AG396" i="3"/>
  <c r="AN397" i="3" l="1"/>
  <c r="AT396" i="3"/>
  <c r="AG397" i="3"/>
  <c r="X397" i="3"/>
  <c r="AU396" i="3"/>
  <c r="AV396" i="3" s="1"/>
  <c r="BC395" i="3"/>
  <c r="BG395" i="3" s="1"/>
  <c r="BH395" i="3" s="1"/>
  <c r="BI395" i="3" s="1"/>
  <c r="BD394" i="3"/>
  <c r="BG394" i="3"/>
  <c r="BH394" i="3" s="1"/>
  <c r="BI394" i="3" s="1"/>
  <c r="AO397" i="3"/>
  <c r="AH397" i="3"/>
  <c r="BA395" i="3"/>
  <c r="BN397" i="3"/>
  <c r="Y397" i="3"/>
  <c r="Z397" i="3" s="1"/>
  <c r="AR398" i="3"/>
  <c r="B398" i="3"/>
  <c r="A399" i="3"/>
  <c r="AQ398" i="3"/>
  <c r="D398" i="3"/>
  <c r="C398" i="3"/>
  <c r="G398" i="3"/>
  <c r="H398" i="3" s="1"/>
  <c r="BN398" i="3" s="1"/>
  <c r="F398" i="3"/>
  <c r="BM398" i="3" s="1"/>
  <c r="Q398" i="3"/>
  <c r="S398" i="3"/>
  <c r="O398" i="3"/>
  <c r="U398" i="3"/>
  <c r="AD398" i="3"/>
  <c r="AM398" i="3"/>
  <c r="AK398" i="3"/>
  <c r="AO398" i="3" s="1"/>
  <c r="M398" i="3"/>
  <c r="AE398" i="3"/>
  <c r="AF398" i="3"/>
  <c r="V398" i="3"/>
  <c r="T398" i="3"/>
  <c r="P398" i="3"/>
  <c r="R398" i="3"/>
  <c r="AW396" i="3"/>
  <c r="AX396" i="3"/>
  <c r="AY396" i="3" s="1"/>
  <c r="BM397" i="3"/>
  <c r="BD395" i="3" l="1"/>
  <c r="AU397" i="3"/>
  <c r="AW397" i="3"/>
  <c r="AT397" i="3"/>
  <c r="AG398" i="3"/>
  <c r="BA396" i="3"/>
  <c r="BF396" i="3" s="1"/>
  <c r="BQ396" i="3"/>
  <c r="BB396" i="3"/>
  <c r="BC396" i="3"/>
  <c r="AN398" i="3"/>
  <c r="AH398" i="3"/>
  <c r="BQ395" i="3"/>
  <c r="BB395" i="3"/>
  <c r="BF395" i="3"/>
  <c r="BJ394" i="3" s="1"/>
  <c r="BK394" i="3" s="1"/>
  <c r="AV397" i="3"/>
  <c r="X398" i="3"/>
  <c r="C399" i="3"/>
  <c r="D399" i="3"/>
  <c r="AQ399" i="3"/>
  <c r="AR399" i="3"/>
  <c r="A400" i="3"/>
  <c r="B399" i="3"/>
  <c r="F399" i="3"/>
  <c r="BM399" i="3" s="1"/>
  <c r="G399" i="3"/>
  <c r="H399" i="3" s="1"/>
  <c r="S399" i="3"/>
  <c r="Q399" i="3"/>
  <c r="O399" i="3"/>
  <c r="U399" i="3"/>
  <c r="AE399" i="3"/>
  <c r="AK399" i="3"/>
  <c r="AM399" i="3"/>
  <c r="AN399" i="3" s="1"/>
  <c r="AF399" i="3"/>
  <c r="M399" i="3"/>
  <c r="AD399" i="3"/>
  <c r="V399" i="3"/>
  <c r="R399" i="3"/>
  <c r="T399" i="3"/>
  <c r="P399" i="3"/>
  <c r="AX397" i="3"/>
  <c r="BA397" i="3" s="1"/>
  <c r="Y398" i="3"/>
  <c r="Z398" i="3" s="1"/>
  <c r="AX398" i="3" l="1"/>
  <c r="AG399" i="3"/>
  <c r="BQ397" i="3"/>
  <c r="BB397" i="3"/>
  <c r="BF397" i="3"/>
  <c r="BJ396" i="3" s="1"/>
  <c r="BK396" i="3" s="1"/>
  <c r="BD396" i="3"/>
  <c r="BG396" i="3"/>
  <c r="BH396" i="3" s="1"/>
  <c r="BI396" i="3" s="1"/>
  <c r="AR400" i="3"/>
  <c r="B400" i="3"/>
  <c r="AQ400" i="3"/>
  <c r="D400" i="3"/>
  <c r="A401" i="3"/>
  <c r="C400" i="3"/>
  <c r="F400" i="3"/>
  <c r="BM400" i="3" s="1"/>
  <c r="G400" i="3"/>
  <c r="H400" i="3" s="1"/>
  <c r="BN400" i="3" s="1"/>
  <c r="S400" i="3"/>
  <c r="Q400" i="3"/>
  <c r="O400" i="3"/>
  <c r="U400" i="3"/>
  <c r="M400" i="3"/>
  <c r="AK400" i="3"/>
  <c r="AM400" i="3"/>
  <c r="AF400" i="3"/>
  <c r="AD400" i="3"/>
  <c r="AE400" i="3"/>
  <c r="R400" i="3"/>
  <c r="P400" i="3"/>
  <c r="T400" i="3"/>
  <c r="V400" i="3"/>
  <c r="AW398" i="3"/>
  <c r="AY398" i="3" s="1"/>
  <c r="AY397" i="3"/>
  <c r="BC397" i="3" s="1"/>
  <c r="BJ395" i="3"/>
  <c r="BK395" i="3" s="1"/>
  <c r="AO399" i="3"/>
  <c r="AT398" i="3"/>
  <c r="X399" i="3"/>
  <c r="Y399" i="3"/>
  <c r="Z399" i="3" s="1"/>
  <c r="AH399" i="3"/>
  <c r="BN399" i="3"/>
  <c r="AU398" i="3"/>
  <c r="AG400" i="3" l="1"/>
  <c r="AN400" i="3"/>
  <c r="AX399" i="3"/>
  <c r="BD397" i="3"/>
  <c r="BG397" i="3"/>
  <c r="BH397" i="3" s="1"/>
  <c r="BI397" i="3" s="1"/>
  <c r="B401" i="3"/>
  <c r="AQ401" i="3"/>
  <c r="A402" i="3"/>
  <c r="AR401" i="3"/>
  <c r="D401" i="3"/>
  <c r="C401" i="3"/>
  <c r="F401" i="3"/>
  <c r="BM401" i="3" s="1"/>
  <c r="G401" i="3"/>
  <c r="H401" i="3" s="1"/>
  <c r="Q401" i="3"/>
  <c r="S401" i="3"/>
  <c r="O401" i="3"/>
  <c r="U401" i="3"/>
  <c r="AD401" i="3"/>
  <c r="AM401" i="3"/>
  <c r="AK401" i="3"/>
  <c r="AF401" i="3"/>
  <c r="AE401" i="3"/>
  <c r="M401" i="3"/>
  <c r="T401" i="3"/>
  <c r="V401" i="3"/>
  <c r="R401" i="3"/>
  <c r="P401" i="3"/>
  <c r="AU399" i="3"/>
  <c r="AH400" i="3"/>
  <c r="AU400" i="3" s="1"/>
  <c r="AV398" i="3"/>
  <c r="BC398" i="3" s="1"/>
  <c r="BA398" i="3"/>
  <c r="AT399" i="3"/>
  <c r="AO400" i="3"/>
  <c r="X400" i="3"/>
  <c r="Y400" i="3"/>
  <c r="Z400" i="3" s="1"/>
  <c r="AW399" i="3"/>
  <c r="AY399" i="3" s="1"/>
  <c r="X401" i="3" l="1"/>
  <c r="AH401" i="3"/>
  <c r="Y401" i="3"/>
  <c r="Z401" i="3" s="1"/>
  <c r="AO401" i="3"/>
  <c r="AR402" i="3"/>
  <c r="D402" i="3"/>
  <c r="C402" i="3"/>
  <c r="B402" i="3"/>
  <c r="A403" i="3"/>
  <c r="AQ402" i="3"/>
  <c r="G402" i="3"/>
  <c r="H402" i="3" s="1"/>
  <c r="F402" i="3"/>
  <c r="Q402" i="3"/>
  <c r="S402" i="3"/>
  <c r="O402" i="3"/>
  <c r="U402" i="3"/>
  <c r="AK402" i="3"/>
  <c r="AE402" i="3"/>
  <c r="AM402" i="3"/>
  <c r="AF402" i="3"/>
  <c r="AD402" i="3"/>
  <c r="M402" i="3"/>
  <c r="V402" i="3"/>
  <c r="R402" i="3"/>
  <c r="T402" i="3"/>
  <c r="P402" i="3"/>
  <c r="AV399" i="3"/>
  <c r="BC399" i="3" s="1"/>
  <c r="BA399" i="3"/>
  <c r="BD398" i="3"/>
  <c r="BG398" i="3"/>
  <c r="BH398" i="3" s="1"/>
  <c r="BI398" i="3" s="1"/>
  <c r="AX400" i="3"/>
  <c r="AT400" i="3"/>
  <c r="BB398" i="3"/>
  <c r="BF398" i="3"/>
  <c r="BJ397" i="3" s="1"/>
  <c r="BK397" i="3" s="1"/>
  <c r="BQ398" i="3"/>
  <c r="AG401" i="3"/>
  <c r="BN401" i="3"/>
  <c r="AW400" i="3"/>
  <c r="AN401" i="3"/>
  <c r="BN402" i="3" l="1"/>
  <c r="BM402" i="3"/>
  <c r="AX401" i="3"/>
  <c r="AH402" i="3"/>
  <c r="AY400" i="3"/>
  <c r="AN402" i="3"/>
  <c r="AV400" i="3"/>
  <c r="BC400" i="3" s="1"/>
  <c r="BA400" i="3"/>
  <c r="AG402" i="3"/>
  <c r="AW401" i="3"/>
  <c r="X402" i="3"/>
  <c r="BQ399" i="3"/>
  <c r="BF399" i="3"/>
  <c r="BJ398" i="3" s="1"/>
  <c r="BK398" i="3" s="1"/>
  <c r="BB399" i="3"/>
  <c r="Y402" i="3"/>
  <c r="Z402" i="3" s="1"/>
  <c r="AO402" i="3"/>
  <c r="C403" i="3"/>
  <c r="A404" i="3"/>
  <c r="AR403" i="3"/>
  <c r="B403" i="3"/>
  <c r="AQ403" i="3"/>
  <c r="D403" i="3"/>
  <c r="F403" i="3"/>
  <c r="G403" i="3"/>
  <c r="H403" i="3" s="1"/>
  <c r="BN403" i="3" s="1"/>
  <c r="Q403" i="3"/>
  <c r="S403" i="3"/>
  <c r="O403" i="3"/>
  <c r="U403" i="3"/>
  <c r="AK403" i="3"/>
  <c r="AF403" i="3"/>
  <c r="AM403" i="3"/>
  <c r="AN403" i="3" s="1"/>
  <c r="M403" i="3"/>
  <c r="AE403" i="3"/>
  <c r="AD403" i="3"/>
  <c r="V403" i="3"/>
  <c r="T403" i="3"/>
  <c r="R403" i="3"/>
  <c r="P403" i="3"/>
  <c r="AU401" i="3"/>
  <c r="BD399" i="3"/>
  <c r="BG399" i="3"/>
  <c r="BH399" i="3" s="1"/>
  <c r="BI399" i="3" s="1"/>
  <c r="AT401" i="3"/>
  <c r="AY401" i="3" l="1"/>
  <c r="AH403" i="3"/>
  <c r="AT402" i="3"/>
  <c r="AX402" i="3"/>
  <c r="AU402" i="3"/>
  <c r="AV402" i="3" s="1"/>
  <c r="Y403" i="3"/>
  <c r="Z403" i="3" s="1"/>
  <c r="AQ404" i="3"/>
  <c r="A405" i="3"/>
  <c r="B404" i="3"/>
  <c r="C404" i="3"/>
  <c r="D404" i="3"/>
  <c r="AR404" i="3"/>
  <c r="G404" i="3"/>
  <c r="H404" i="3" s="1"/>
  <c r="F404" i="3"/>
  <c r="S404" i="3"/>
  <c r="Q404" i="3"/>
  <c r="O404" i="3"/>
  <c r="U404" i="3"/>
  <c r="AK404" i="3"/>
  <c r="AE404" i="3"/>
  <c r="AF404" i="3"/>
  <c r="AM404" i="3"/>
  <c r="AD404" i="3"/>
  <c r="M404" i="3"/>
  <c r="V404" i="3"/>
  <c r="P404" i="3"/>
  <c r="T404" i="3"/>
  <c r="R404" i="3"/>
  <c r="BA401" i="3"/>
  <c r="AV401" i="3"/>
  <c r="BC401" i="3" s="1"/>
  <c r="X403" i="3"/>
  <c r="AO403" i="3"/>
  <c r="BB400" i="3"/>
  <c r="BF400" i="3"/>
  <c r="BJ399" i="3" s="1"/>
  <c r="BK399" i="3" s="1"/>
  <c r="BQ400" i="3"/>
  <c r="AG403" i="3"/>
  <c r="AT403" i="3" s="1"/>
  <c r="BM403" i="3"/>
  <c r="AW402" i="3"/>
  <c r="AY402" i="3" s="1"/>
  <c r="BD400" i="3"/>
  <c r="BG400" i="3"/>
  <c r="BH400" i="3" s="1"/>
  <c r="BI400" i="3" s="1"/>
  <c r="AO404" i="3" l="1"/>
  <c r="AU403" i="3"/>
  <c r="AG404" i="3"/>
  <c r="X404" i="3"/>
  <c r="AV403" i="3"/>
  <c r="Y404" i="3"/>
  <c r="Z404" i="3" s="1"/>
  <c r="B405" i="3"/>
  <c r="D405" i="3"/>
  <c r="C405" i="3"/>
  <c r="AR405" i="3"/>
  <c r="A406" i="3"/>
  <c r="AQ405" i="3"/>
  <c r="G405" i="3"/>
  <c r="H405" i="3" s="1"/>
  <c r="F405" i="3"/>
  <c r="BM405" i="3" s="1"/>
  <c r="Q405" i="3"/>
  <c r="S405" i="3"/>
  <c r="O405" i="3"/>
  <c r="U405" i="3"/>
  <c r="AD405" i="3"/>
  <c r="M405" i="3"/>
  <c r="AK405" i="3"/>
  <c r="AM405" i="3"/>
  <c r="AN405" i="3" s="1"/>
  <c r="AE405" i="3"/>
  <c r="AF405" i="3"/>
  <c r="T405" i="3"/>
  <c r="P405" i="3"/>
  <c r="V405" i="3"/>
  <c r="R405" i="3"/>
  <c r="AH404" i="3"/>
  <c r="AU404" i="3"/>
  <c r="BA402" i="3"/>
  <c r="BD401" i="3"/>
  <c r="BG401" i="3"/>
  <c r="BH401" i="3" s="1"/>
  <c r="BI401" i="3" s="1"/>
  <c r="AN404" i="3"/>
  <c r="BM404" i="3"/>
  <c r="AW403" i="3"/>
  <c r="BC402" i="3"/>
  <c r="AX403" i="3"/>
  <c r="BB401" i="3"/>
  <c r="BF401" i="3"/>
  <c r="BJ400" i="3" s="1"/>
  <c r="BK400" i="3" s="1"/>
  <c r="BQ401" i="3"/>
  <c r="BN404" i="3"/>
  <c r="AX404" i="3" l="1"/>
  <c r="AH405" i="3"/>
  <c r="BQ402" i="3"/>
  <c r="BF402" i="3"/>
  <c r="BJ401" i="3" s="1"/>
  <c r="BK401" i="3" s="1"/>
  <c r="BB402" i="3"/>
  <c r="AY403" i="3"/>
  <c r="BC403" i="3" s="1"/>
  <c r="BD402" i="3"/>
  <c r="BG402" i="3"/>
  <c r="BH402" i="3" s="1"/>
  <c r="BI402" i="3" s="1"/>
  <c r="AO405" i="3"/>
  <c r="AT404" i="3"/>
  <c r="Y405" i="3"/>
  <c r="Z405" i="3" s="1"/>
  <c r="AR406" i="3"/>
  <c r="AQ406" i="3"/>
  <c r="D406" i="3"/>
  <c r="B406" i="3"/>
  <c r="A407" i="3"/>
  <c r="C406" i="3"/>
  <c r="G406" i="3"/>
  <c r="H406" i="3" s="1"/>
  <c r="F406" i="3"/>
  <c r="BM406" i="3" s="1"/>
  <c r="S406" i="3"/>
  <c r="Q406" i="3"/>
  <c r="O406" i="3"/>
  <c r="U406" i="3"/>
  <c r="AK406" i="3"/>
  <c r="AD406" i="3"/>
  <c r="AM406" i="3"/>
  <c r="M406" i="3"/>
  <c r="AF406" i="3"/>
  <c r="AE406" i="3"/>
  <c r="P406" i="3"/>
  <c r="R406" i="3"/>
  <c r="V406" i="3"/>
  <c r="T406" i="3"/>
  <c r="BA403" i="3"/>
  <c r="AG405" i="3"/>
  <c r="AW405" i="3" s="1"/>
  <c r="BN405" i="3"/>
  <c r="AU405" i="3"/>
  <c r="AW404" i="3"/>
  <c r="AY404" i="3" s="1"/>
  <c r="X405" i="3"/>
  <c r="AG406" i="3" l="1"/>
  <c r="AX405" i="3"/>
  <c r="AY405" i="3" s="1"/>
  <c r="Y406" i="3"/>
  <c r="Z406" i="3" s="1"/>
  <c r="AO406" i="3"/>
  <c r="BD403" i="3"/>
  <c r="BG403" i="3"/>
  <c r="BH403" i="3" s="1"/>
  <c r="BI403" i="3" s="1"/>
  <c r="X406" i="3"/>
  <c r="BB403" i="3"/>
  <c r="BF403" i="3"/>
  <c r="BJ402" i="3" s="1"/>
  <c r="BK402" i="3" s="1"/>
  <c r="BQ403" i="3"/>
  <c r="AT405" i="3"/>
  <c r="AN406" i="3"/>
  <c r="BN406" i="3"/>
  <c r="AV404" i="3"/>
  <c r="BC404" i="3" s="1"/>
  <c r="BA404" i="3"/>
  <c r="D407" i="3"/>
  <c r="AR407" i="3"/>
  <c r="AQ407" i="3"/>
  <c r="B407" i="3"/>
  <c r="A408" i="3"/>
  <c r="C407" i="3"/>
  <c r="F407" i="3"/>
  <c r="BM407" i="3" s="1"/>
  <c r="G407" i="3"/>
  <c r="H407" i="3" s="1"/>
  <c r="Q407" i="3"/>
  <c r="S407" i="3"/>
  <c r="O407" i="3"/>
  <c r="U407" i="3"/>
  <c r="AK407" i="3"/>
  <c r="AD407" i="3"/>
  <c r="M407" i="3"/>
  <c r="AM407" i="3"/>
  <c r="AN407" i="3" s="1"/>
  <c r="AF407" i="3"/>
  <c r="AE407" i="3"/>
  <c r="R407" i="3"/>
  <c r="P407" i="3"/>
  <c r="V407" i="3"/>
  <c r="T407" i="3"/>
  <c r="AH406" i="3"/>
  <c r="AX406" i="3" s="1"/>
  <c r="BN407" i="3" l="1"/>
  <c r="AG407" i="3"/>
  <c r="BF404" i="3"/>
  <c r="BJ403" i="3" s="1"/>
  <c r="BK403" i="3" s="1"/>
  <c r="BQ404" i="3"/>
  <c r="BB404" i="3"/>
  <c r="AT406" i="3"/>
  <c r="AW406" i="3"/>
  <c r="AY406" i="3" s="1"/>
  <c r="AU406" i="3"/>
  <c r="BD404" i="3"/>
  <c r="BG404" i="3"/>
  <c r="BH404" i="3" s="1"/>
  <c r="BI404" i="3" s="1"/>
  <c r="Y407" i="3"/>
  <c r="Z407" i="3" s="1"/>
  <c r="AH407" i="3"/>
  <c r="AO407" i="3"/>
  <c r="C408" i="3"/>
  <c r="D408" i="3"/>
  <c r="B408" i="3"/>
  <c r="AR408" i="3"/>
  <c r="AQ408" i="3"/>
  <c r="A409" i="3"/>
  <c r="F408" i="3"/>
  <c r="G408" i="3"/>
  <c r="H408" i="3" s="1"/>
  <c r="Q408" i="3"/>
  <c r="S408" i="3"/>
  <c r="O408" i="3"/>
  <c r="U408" i="3"/>
  <c r="AK408" i="3"/>
  <c r="AF408" i="3"/>
  <c r="AD408" i="3"/>
  <c r="AM408" i="3"/>
  <c r="M408" i="3"/>
  <c r="AE408" i="3"/>
  <c r="V408" i="3"/>
  <c r="P408" i="3"/>
  <c r="T408" i="3"/>
  <c r="R408" i="3"/>
  <c r="X407" i="3"/>
  <c r="BA405" i="3"/>
  <c r="AV405" i="3"/>
  <c r="BC405" i="3" s="1"/>
  <c r="BN408" i="3" l="1"/>
  <c r="BM408" i="3"/>
  <c r="AN408" i="3"/>
  <c r="AH408" i="3"/>
  <c r="BQ405" i="3"/>
  <c r="BB405" i="3"/>
  <c r="BF405" i="3"/>
  <c r="BJ404" i="3" s="1"/>
  <c r="BK404" i="3" s="1"/>
  <c r="AX407" i="3"/>
  <c r="B409" i="3"/>
  <c r="AR409" i="3"/>
  <c r="C409" i="3"/>
  <c r="D409" i="3"/>
  <c r="A410" i="3"/>
  <c r="AQ409" i="3"/>
  <c r="F409" i="3"/>
  <c r="G409" i="3"/>
  <c r="H409" i="3" s="1"/>
  <c r="Q409" i="3"/>
  <c r="S409" i="3"/>
  <c r="O409" i="3"/>
  <c r="U409" i="3"/>
  <c r="AF409" i="3"/>
  <c r="M409" i="3"/>
  <c r="AM409" i="3"/>
  <c r="AD409" i="3"/>
  <c r="AK409" i="3"/>
  <c r="AE409" i="3"/>
  <c r="R409" i="3"/>
  <c r="P409" i="3"/>
  <c r="V409" i="3"/>
  <c r="T409" i="3"/>
  <c r="AO408" i="3"/>
  <c r="X408" i="3"/>
  <c r="AV406" i="3"/>
  <c r="BC406" i="3" s="1"/>
  <c r="BA406" i="3"/>
  <c r="Y408" i="3"/>
  <c r="Z408" i="3" s="1"/>
  <c r="AU407" i="3"/>
  <c r="AW407" i="3"/>
  <c r="AT407" i="3"/>
  <c r="AG408" i="3"/>
  <c r="AW408" i="3" s="1"/>
  <c r="BD405" i="3"/>
  <c r="BG405" i="3"/>
  <c r="BH405" i="3" s="1"/>
  <c r="BI405" i="3" s="1"/>
  <c r="AG409" i="3" l="1"/>
  <c r="AO409" i="3"/>
  <c r="X409" i="3"/>
  <c r="AT408" i="3"/>
  <c r="AT409" i="3"/>
  <c r="BD406" i="3"/>
  <c r="BG406" i="3"/>
  <c r="BH406" i="3" s="1"/>
  <c r="BI406" i="3" s="1"/>
  <c r="AV407" i="3"/>
  <c r="BA407" i="3"/>
  <c r="AH409" i="3"/>
  <c r="AU409" i="3" s="1"/>
  <c r="AX408" i="3"/>
  <c r="AY408" i="3" s="1"/>
  <c r="AY407" i="3"/>
  <c r="AU408" i="3"/>
  <c r="BM409" i="3"/>
  <c r="BN409" i="3"/>
  <c r="AN409" i="3"/>
  <c r="BB406" i="3"/>
  <c r="BQ406" i="3"/>
  <c r="BF406" i="3"/>
  <c r="BJ405" i="3" s="1"/>
  <c r="BK405" i="3" s="1"/>
  <c r="Y409" i="3"/>
  <c r="Z409" i="3" s="1"/>
  <c r="AR410" i="3"/>
  <c r="A411" i="3"/>
  <c r="D410" i="3"/>
  <c r="B410" i="3"/>
  <c r="C410" i="3"/>
  <c r="AQ410" i="3"/>
  <c r="F410" i="3"/>
  <c r="BM410" i="3" s="1"/>
  <c r="G410" i="3"/>
  <c r="H410" i="3" s="1"/>
  <c r="Q410" i="3"/>
  <c r="S410" i="3"/>
  <c r="O410" i="3"/>
  <c r="U410" i="3"/>
  <c r="AD410" i="3"/>
  <c r="AK410" i="3"/>
  <c r="AM410" i="3"/>
  <c r="AN410" i="3" s="1"/>
  <c r="AF410" i="3"/>
  <c r="AE410" i="3"/>
  <c r="M410" i="3"/>
  <c r="P410" i="3"/>
  <c r="V410" i="3"/>
  <c r="R410" i="3"/>
  <c r="T410" i="3"/>
  <c r="AG410" i="3" l="1"/>
  <c r="AW409" i="3"/>
  <c r="BC407" i="3"/>
  <c r="BD407" i="3" s="1"/>
  <c r="BQ407" i="3"/>
  <c r="BB407" i="3"/>
  <c r="BF407" i="3"/>
  <c r="BJ406" i="3" s="1"/>
  <c r="BK406" i="3" s="1"/>
  <c r="AO410" i="3"/>
  <c r="AV409" i="3"/>
  <c r="AH410" i="3"/>
  <c r="AT410" i="3" s="1"/>
  <c r="BA408" i="3"/>
  <c r="AV408" i="3"/>
  <c r="BC408" i="3" s="1"/>
  <c r="D411" i="3"/>
  <c r="C411" i="3"/>
  <c r="AQ411" i="3"/>
  <c r="A412" i="3"/>
  <c r="B411" i="3"/>
  <c r="AR411" i="3"/>
  <c r="F411" i="3"/>
  <c r="G411" i="3"/>
  <c r="H411" i="3" s="1"/>
  <c r="Q411" i="3"/>
  <c r="S411" i="3"/>
  <c r="O411" i="3"/>
  <c r="U411" i="3"/>
  <c r="AM411" i="3"/>
  <c r="AK411" i="3"/>
  <c r="AF411" i="3"/>
  <c r="M411" i="3"/>
  <c r="AE411" i="3"/>
  <c r="AD411" i="3"/>
  <c r="P411" i="3"/>
  <c r="T411" i="3"/>
  <c r="V411" i="3"/>
  <c r="R411" i="3"/>
  <c r="BN410" i="3"/>
  <c r="Y410" i="3"/>
  <c r="Z410" i="3" s="1"/>
  <c r="X410" i="3"/>
  <c r="AX409" i="3"/>
  <c r="AY409" i="3" s="1"/>
  <c r="AO411" i="3" l="1"/>
  <c r="AH411" i="3"/>
  <c r="BG407" i="3"/>
  <c r="BH407" i="3" s="1"/>
  <c r="BI407" i="3" s="1"/>
  <c r="AU410" i="3"/>
  <c r="AV410" i="3"/>
  <c r="AG411" i="3"/>
  <c r="BN411" i="3"/>
  <c r="BM411" i="3"/>
  <c r="AN411" i="3"/>
  <c r="BA409" i="3"/>
  <c r="Y411" i="3"/>
  <c r="Z411" i="3" s="1"/>
  <c r="BD408" i="3"/>
  <c r="BG408" i="3"/>
  <c r="BH408" i="3" s="1"/>
  <c r="BI408" i="3" s="1"/>
  <c r="BB408" i="3"/>
  <c r="BQ408" i="3"/>
  <c r="BF408" i="3"/>
  <c r="BJ407" i="3" s="1"/>
  <c r="BK407" i="3" s="1"/>
  <c r="AX410" i="3"/>
  <c r="AW410" i="3"/>
  <c r="X411" i="3"/>
  <c r="AR412" i="3"/>
  <c r="B412" i="3"/>
  <c r="AQ412" i="3"/>
  <c r="A413" i="3"/>
  <c r="D412" i="3"/>
  <c r="C412" i="3"/>
  <c r="G412" i="3"/>
  <c r="H412" i="3" s="1"/>
  <c r="F412" i="3"/>
  <c r="BM412" i="3" s="1"/>
  <c r="Q412" i="3"/>
  <c r="S412" i="3"/>
  <c r="O412" i="3"/>
  <c r="U412" i="3"/>
  <c r="AK412" i="3"/>
  <c r="AD412" i="3"/>
  <c r="M412" i="3"/>
  <c r="AF412" i="3"/>
  <c r="AM412" i="3"/>
  <c r="AE412" i="3"/>
  <c r="V412" i="3"/>
  <c r="T412" i="3"/>
  <c r="P412" i="3"/>
  <c r="R412" i="3"/>
  <c r="BC409" i="3"/>
  <c r="AT411" i="3" l="1"/>
  <c r="BN412" i="3"/>
  <c r="AX411" i="3"/>
  <c r="AW411" i="3"/>
  <c r="AY410" i="3"/>
  <c r="AG412" i="3"/>
  <c r="AN412" i="3"/>
  <c r="B413" i="3"/>
  <c r="A414" i="3"/>
  <c r="D413" i="3"/>
  <c r="AQ413" i="3"/>
  <c r="AR413" i="3"/>
  <c r="C413" i="3"/>
  <c r="G413" i="3"/>
  <c r="H413" i="3" s="1"/>
  <c r="BN413" i="3" s="1"/>
  <c r="F413" i="3"/>
  <c r="BM413" i="3" s="1"/>
  <c r="Q413" i="3"/>
  <c r="S413" i="3"/>
  <c r="O413" i="3"/>
  <c r="U413" i="3"/>
  <c r="AD413" i="3"/>
  <c r="AE413" i="3"/>
  <c r="AM413" i="3"/>
  <c r="AK413" i="3"/>
  <c r="AO413" i="3" s="1"/>
  <c r="M413" i="3"/>
  <c r="AF413" i="3"/>
  <c r="V413" i="3"/>
  <c r="R413" i="3"/>
  <c r="P413" i="3"/>
  <c r="T413" i="3"/>
  <c r="AY411" i="3"/>
  <c r="AU411" i="3"/>
  <c r="BA411" i="3" s="1"/>
  <c r="X412" i="3"/>
  <c r="Y412" i="3"/>
  <c r="Z412" i="3" s="1"/>
  <c r="AH412" i="3"/>
  <c r="BF409" i="3"/>
  <c r="BJ408" i="3" s="1"/>
  <c r="BK408" i="3" s="1"/>
  <c r="BB409" i="3"/>
  <c r="BQ409" i="3"/>
  <c r="BC410" i="3"/>
  <c r="BD409" i="3"/>
  <c r="BG409" i="3"/>
  <c r="BH409" i="3" s="1"/>
  <c r="BI409" i="3" s="1"/>
  <c r="AO412" i="3"/>
  <c r="BA410" i="3"/>
  <c r="AV411" i="3" l="1"/>
  <c r="BC411" i="3" s="1"/>
  <c r="AG413" i="3"/>
  <c r="AX412" i="3"/>
  <c r="AT412" i="3"/>
  <c r="AN413" i="3"/>
  <c r="BD411" i="3"/>
  <c r="BG411" i="3"/>
  <c r="BH411" i="3" s="1"/>
  <c r="BI411" i="3" s="1"/>
  <c r="BF411" i="3"/>
  <c r="BQ411" i="3"/>
  <c r="BB411" i="3"/>
  <c r="AW412" i="3"/>
  <c r="X413" i="3"/>
  <c r="BD410" i="3"/>
  <c r="BG410" i="3"/>
  <c r="BH410" i="3" s="1"/>
  <c r="BI410" i="3" s="1"/>
  <c r="Y413" i="3"/>
  <c r="Z413" i="3" s="1"/>
  <c r="AR414" i="3"/>
  <c r="C414" i="3"/>
  <c r="A415" i="3"/>
  <c r="D414" i="3"/>
  <c r="B414" i="3"/>
  <c r="AQ414" i="3"/>
  <c r="G414" i="3"/>
  <c r="H414" i="3" s="1"/>
  <c r="BN414" i="3" s="1"/>
  <c r="F414" i="3"/>
  <c r="BM414" i="3" s="1"/>
  <c r="Q414" i="3"/>
  <c r="S414" i="3"/>
  <c r="O414" i="3"/>
  <c r="U414" i="3"/>
  <c r="AF414" i="3"/>
  <c r="M414" i="3"/>
  <c r="AM414" i="3"/>
  <c r="AK414" i="3"/>
  <c r="AE414" i="3"/>
  <c r="AD414" i="3"/>
  <c r="P414" i="3"/>
  <c r="R414" i="3"/>
  <c r="T414" i="3"/>
  <c r="V414" i="3"/>
  <c r="AU412" i="3"/>
  <c r="AV412" i="3" s="1"/>
  <c r="AH413" i="3"/>
  <c r="AX413" i="3" s="1"/>
  <c r="BB410" i="3"/>
  <c r="BF410" i="3"/>
  <c r="BJ409" i="3" s="1"/>
  <c r="BK409" i="3" s="1"/>
  <c r="BQ410" i="3"/>
  <c r="AY412" i="3" l="1"/>
  <c r="BC412" i="3" s="1"/>
  <c r="BA412" i="3"/>
  <c r="BQ412" i="3" s="1"/>
  <c r="Y414" i="3"/>
  <c r="Z414" i="3" s="1"/>
  <c r="AG414" i="3"/>
  <c r="AO414" i="3"/>
  <c r="BJ410" i="3"/>
  <c r="BK410" i="3" s="1"/>
  <c r="AW413" i="3"/>
  <c r="AY413" i="3" s="1"/>
  <c r="BF412" i="3"/>
  <c r="BJ411" i="3" s="1"/>
  <c r="BK411" i="3" s="1"/>
  <c r="AN414" i="3"/>
  <c r="X414" i="3"/>
  <c r="D415" i="3"/>
  <c r="A416" i="3"/>
  <c r="B415" i="3"/>
  <c r="AQ415" i="3"/>
  <c r="AR415" i="3"/>
  <c r="C415" i="3"/>
  <c r="F415" i="3"/>
  <c r="BM415" i="3" s="1"/>
  <c r="G415" i="3"/>
  <c r="H415" i="3" s="1"/>
  <c r="Q415" i="3"/>
  <c r="S415" i="3"/>
  <c r="O415" i="3"/>
  <c r="U415" i="3"/>
  <c r="AM415" i="3"/>
  <c r="AD415" i="3"/>
  <c r="AK415" i="3"/>
  <c r="AE415" i="3"/>
  <c r="M415" i="3"/>
  <c r="AF415" i="3"/>
  <c r="P415" i="3"/>
  <c r="T415" i="3"/>
  <c r="V415" i="3"/>
  <c r="R415" i="3"/>
  <c r="AT413" i="3"/>
  <c r="AU413" i="3"/>
  <c r="AH414" i="3"/>
  <c r="AX414" i="3" l="1"/>
  <c r="BB412" i="3"/>
  <c r="BG412" i="3"/>
  <c r="BH412" i="3" s="1"/>
  <c r="BI412" i="3" s="1"/>
  <c r="BD412" i="3"/>
  <c r="AN415" i="3"/>
  <c r="X415" i="3"/>
  <c r="Y415" i="3"/>
  <c r="Z415" i="3" s="1"/>
  <c r="AG415" i="3"/>
  <c r="BN415" i="3"/>
  <c r="AW414" i="3"/>
  <c r="AY414" i="3" s="1"/>
  <c r="AO415" i="3"/>
  <c r="AT414" i="3"/>
  <c r="AR416" i="3"/>
  <c r="D416" i="3"/>
  <c r="AQ416" i="3"/>
  <c r="C416" i="3"/>
  <c r="A417" i="3"/>
  <c r="B416" i="3"/>
  <c r="G416" i="3"/>
  <c r="H416" i="3" s="1"/>
  <c r="F416" i="3"/>
  <c r="Q416" i="3"/>
  <c r="S416" i="3"/>
  <c r="O416" i="3"/>
  <c r="U416" i="3"/>
  <c r="AE416" i="3"/>
  <c r="AD416" i="3"/>
  <c r="AK416" i="3"/>
  <c r="AM416" i="3"/>
  <c r="AN416" i="3" s="1"/>
  <c r="AF416" i="3"/>
  <c r="M416" i="3"/>
  <c r="R416" i="3"/>
  <c r="T416" i="3"/>
  <c r="V416" i="3"/>
  <c r="P416" i="3"/>
  <c r="AU414" i="3"/>
  <c r="BA413" i="3"/>
  <c r="AV413" i="3"/>
  <c r="BC413" i="3" s="1"/>
  <c r="AH415" i="3"/>
  <c r="AU415" i="3" l="1"/>
  <c r="X416" i="3"/>
  <c r="AW415" i="3"/>
  <c r="AG416" i="3"/>
  <c r="Y416" i="3"/>
  <c r="Z416" i="3" s="1"/>
  <c r="B417" i="3"/>
  <c r="D417" i="3"/>
  <c r="AR417" i="3"/>
  <c r="AQ417" i="3"/>
  <c r="C417" i="3"/>
  <c r="A418" i="3"/>
  <c r="G417" i="3"/>
  <c r="H417" i="3" s="1"/>
  <c r="F417" i="3"/>
  <c r="Q417" i="3"/>
  <c r="S417" i="3"/>
  <c r="O417" i="3"/>
  <c r="U417" i="3"/>
  <c r="AD417" i="3"/>
  <c r="AK417" i="3"/>
  <c r="AM417" i="3"/>
  <c r="AN417" i="3" s="1"/>
  <c r="AF417" i="3"/>
  <c r="M417" i="3"/>
  <c r="AE417" i="3"/>
  <c r="R417" i="3"/>
  <c r="P417" i="3"/>
  <c r="T417" i="3"/>
  <c r="V417" i="3"/>
  <c r="BD413" i="3"/>
  <c r="BG413" i="3"/>
  <c r="BH413" i="3" s="1"/>
  <c r="BI413" i="3" s="1"/>
  <c r="BQ413" i="3"/>
  <c r="BB413" i="3"/>
  <c r="BF413" i="3"/>
  <c r="BJ412" i="3" s="1"/>
  <c r="BK412" i="3" s="1"/>
  <c r="BM416" i="3"/>
  <c r="AV414" i="3"/>
  <c r="BC414" i="3" s="1"/>
  <c r="BA414" i="3"/>
  <c r="AX415" i="3"/>
  <c r="AY415" i="3" s="1"/>
  <c r="AH416" i="3"/>
  <c r="AU416" i="3" s="1"/>
  <c r="AO416" i="3"/>
  <c r="BN416" i="3"/>
  <c r="AT415" i="3"/>
  <c r="BN417" i="3" l="1"/>
  <c r="X417" i="3"/>
  <c r="AX416" i="3"/>
  <c r="Y417" i="3"/>
  <c r="Z417" i="3" s="1"/>
  <c r="AG417" i="3"/>
  <c r="AO417" i="3"/>
  <c r="AW416" i="3"/>
  <c r="AQ418" i="3"/>
  <c r="AR418" i="3"/>
  <c r="A419" i="3"/>
  <c r="B418" i="3"/>
  <c r="D418" i="3"/>
  <c r="C418" i="3"/>
  <c r="F418" i="3"/>
  <c r="BM418" i="3" s="1"/>
  <c r="G418" i="3"/>
  <c r="H418" i="3" s="1"/>
  <c r="BN418" i="3" s="1"/>
  <c r="Q418" i="3"/>
  <c r="S418" i="3"/>
  <c r="O418" i="3"/>
  <c r="U418" i="3"/>
  <c r="AM418" i="3"/>
  <c r="AK418" i="3"/>
  <c r="AO418" i="3" s="1"/>
  <c r="AF418" i="3"/>
  <c r="AE418" i="3"/>
  <c r="M418" i="3"/>
  <c r="AD418" i="3"/>
  <c r="V418" i="3"/>
  <c r="P418" i="3"/>
  <c r="R418" i="3"/>
  <c r="T418" i="3"/>
  <c r="BQ414" i="3"/>
  <c r="BF414" i="3"/>
  <c r="BJ413" i="3" s="1"/>
  <c r="BK413" i="3" s="1"/>
  <c r="BB414" i="3"/>
  <c r="AV415" i="3"/>
  <c r="BC415" i="3" s="1"/>
  <c r="BA415" i="3"/>
  <c r="BD414" i="3"/>
  <c r="BG414" i="3"/>
  <c r="BH414" i="3" s="1"/>
  <c r="BI414" i="3" s="1"/>
  <c r="AT416" i="3"/>
  <c r="AH417" i="3"/>
  <c r="AX417" i="3" s="1"/>
  <c r="BM417" i="3"/>
  <c r="BA416" i="3" l="1"/>
  <c r="AV416" i="3"/>
  <c r="AT417" i="3"/>
  <c r="AU417" i="3"/>
  <c r="AG418" i="3"/>
  <c r="AN418" i="3"/>
  <c r="AH418" i="3"/>
  <c r="AU418" i="3" s="1"/>
  <c r="BB415" i="3"/>
  <c r="BQ415" i="3"/>
  <c r="BF415" i="3"/>
  <c r="BJ414" i="3" s="1"/>
  <c r="BK414" i="3" s="1"/>
  <c r="AW417" i="3"/>
  <c r="AY417" i="3" s="1"/>
  <c r="BD415" i="3"/>
  <c r="BG415" i="3"/>
  <c r="BH415" i="3" s="1"/>
  <c r="BI415" i="3" s="1"/>
  <c r="X418" i="3"/>
  <c r="Y418" i="3"/>
  <c r="Z418" i="3" s="1"/>
  <c r="D419" i="3"/>
  <c r="AQ419" i="3"/>
  <c r="C419" i="3"/>
  <c r="AR419" i="3"/>
  <c r="B419" i="3"/>
  <c r="A420" i="3"/>
  <c r="G419" i="3"/>
  <c r="H419" i="3" s="1"/>
  <c r="F419" i="3"/>
  <c r="BM419" i="3" s="1"/>
  <c r="Q419" i="3"/>
  <c r="S419" i="3"/>
  <c r="O419" i="3"/>
  <c r="U419" i="3"/>
  <c r="AE419" i="3"/>
  <c r="AM419" i="3"/>
  <c r="AK419" i="3"/>
  <c r="AO419" i="3" s="1"/>
  <c r="M419" i="3"/>
  <c r="AF419" i="3"/>
  <c r="AD419" i="3"/>
  <c r="V419" i="3"/>
  <c r="P419" i="3"/>
  <c r="R419" i="3"/>
  <c r="T419" i="3"/>
  <c r="AY416" i="3"/>
  <c r="AG419" i="3" l="1"/>
  <c r="X419" i="3"/>
  <c r="AW418" i="3"/>
  <c r="Y419" i="3"/>
  <c r="Z419" i="3" s="1"/>
  <c r="AH419" i="3"/>
  <c r="BA417" i="3"/>
  <c r="AV417" i="3"/>
  <c r="BC417" i="3" s="1"/>
  <c r="AU419" i="3"/>
  <c r="AX418" i="3"/>
  <c r="BN419" i="3"/>
  <c r="BC416" i="3"/>
  <c r="AN419" i="3"/>
  <c r="A421" i="3"/>
  <c r="AQ420" i="3"/>
  <c r="B420" i="3"/>
  <c r="D420" i="3"/>
  <c r="AR420" i="3"/>
  <c r="C420" i="3"/>
  <c r="G420" i="3"/>
  <c r="H420" i="3" s="1"/>
  <c r="F420" i="3"/>
  <c r="Q420" i="3"/>
  <c r="S420" i="3"/>
  <c r="O420" i="3"/>
  <c r="U420" i="3"/>
  <c r="AD420" i="3"/>
  <c r="M420" i="3"/>
  <c r="AK420" i="3"/>
  <c r="AF420" i="3"/>
  <c r="AM420" i="3"/>
  <c r="AN420" i="3" s="1"/>
  <c r="AE420" i="3"/>
  <c r="P420" i="3"/>
  <c r="T420" i="3"/>
  <c r="R420" i="3"/>
  <c r="V420" i="3"/>
  <c r="AT418" i="3"/>
  <c r="BQ416" i="3"/>
  <c r="BB416" i="3"/>
  <c r="BF416" i="3"/>
  <c r="BJ415" i="3" s="1"/>
  <c r="BK415" i="3" s="1"/>
  <c r="BM420" i="3" l="1"/>
  <c r="BN420" i="3"/>
  <c r="AY418" i="3"/>
  <c r="AO420" i="3"/>
  <c r="AG420" i="3"/>
  <c r="BD417" i="3"/>
  <c r="BG417" i="3"/>
  <c r="BH417" i="3" s="1"/>
  <c r="BI417" i="3" s="1"/>
  <c r="B421" i="3"/>
  <c r="AR421" i="3"/>
  <c r="A422" i="3"/>
  <c r="C421" i="3"/>
  <c r="AQ421" i="3"/>
  <c r="D421" i="3"/>
  <c r="F421" i="3"/>
  <c r="G421" i="3"/>
  <c r="H421" i="3" s="1"/>
  <c r="BN421" i="3" s="1"/>
  <c r="Q421" i="3"/>
  <c r="S421" i="3"/>
  <c r="O421" i="3"/>
  <c r="U421" i="3"/>
  <c r="AK421" i="3"/>
  <c r="AM421" i="3"/>
  <c r="AD421" i="3"/>
  <c r="AF421" i="3"/>
  <c r="AE421" i="3"/>
  <c r="M421" i="3"/>
  <c r="T421" i="3"/>
  <c r="V421" i="3"/>
  <c r="P421" i="3"/>
  <c r="R421" i="3"/>
  <c r="BQ417" i="3"/>
  <c r="BF417" i="3"/>
  <c r="BJ416" i="3" s="1"/>
  <c r="BK416" i="3" s="1"/>
  <c r="BB417" i="3"/>
  <c r="AX419" i="3"/>
  <c r="BA418" i="3"/>
  <c r="AV418" i="3"/>
  <c r="BC418" i="3" s="1"/>
  <c r="Y420" i="3"/>
  <c r="Z420" i="3" s="1"/>
  <c r="BD416" i="3"/>
  <c r="BG416" i="3"/>
  <c r="BH416" i="3" s="1"/>
  <c r="BI416" i="3" s="1"/>
  <c r="AH420" i="3"/>
  <c r="AT420" i="3" s="1"/>
  <c r="AW419" i="3"/>
  <c r="AY419" i="3" s="1"/>
  <c r="X420" i="3"/>
  <c r="AT419" i="3"/>
  <c r="AG421" i="3" l="1"/>
  <c r="AO421" i="3"/>
  <c r="AV419" i="3"/>
  <c r="BC419" i="3" s="1"/>
  <c r="BA419" i="3"/>
  <c r="BD418" i="3"/>
  <c r="BG418" i="3"/>
  <c r="BH418" i="3" s="1"/>
  <c r="BI418" i="3" s="1"/>
  <c r="Y421" i="3"/>
  <c r="Z421" i="3" s="1"/>
  <c r="X421" i="3"/>
  <c r="BF418" i="3"/>
  <c r="BJ417" i="3" s="1"/>
  <c r="BK417" i="3" s="1"/>
  <c r="BQ418" i="3"/>
  <c r="BB418" i="3"/>
  <c r="AQ422" i="3"/>
  <c r="C422" i="3"/>
  <c r="AR422" i="3"/>
  <c r="A423" i="3"/>
  <c r="B422" i="3"/>
  <c r="D422" i="3"/>
  <c r="G422" i="3"/>
  <c r="H422" i="3" s="1"/>
  <c r="F422" i="3"/>
  <c r="Q422" i="3"/>
  <c r="S422" i="3"/>
  <c r="O422" i="3"/>
  <c r="U422" i="3"/>
  <c r="AM422" i="3"/>
  <c r="AK422" i="3"/>
  <c r="AD422" i="3"/>
  <c r="AE422" i="3"/>
  <c r="AF422" i="3"/>
  <c r="M422" i="3"/>
  <c r="V422" i="3"/>
  <c r="R422" i="3"/>
  <c r="P422" i="3"/>
  <c r="T422" i="3"/>
  <c r="BM421" i="3"/>
  <c r="AW420" i="3"/>
  <c r="AX420" i="3"/>
  <c r="AY420" i="3" s="1"/>
  <c r="AH421" i="3"/>
  <c r="AN421" i="3"/>
  <c r="AU420" i="3"/>
  <c r="AH422" i="3" l="1"/>
  <c r="AO422" i="3"/>
  <c r="BA420" i="3"/>
  <c r="AX421" i="3"/>
  <c r="BB420" i="3"/>
  <c r="BQ420" i="3"/>
  <c r="BF420" i="3"/>
  <c r="AN422" i="3"/>
  <c r="C423" i="3"/>
  <c r="B423" i="3"/>
  <c r="AR423" i="3"/>
  <c r="D423" i="3"/>
  <c r="A424" i="3"/>
  <c r="AQ423" i="3"/>
  <c r="G423" i="3"/>
  <c r="H423" i="3" s="1"/>
  <c r="F423" i="3"/>
  <c r="Q423" i="3"/>
  <c r="S423" i="3"/>
  <c r="O423" i="3"/>
  <c r="U423" i="3"/>
  <c r="AE423" i="3"/>
  <c r="AK423" i="3"/>
  <c r="AM423" i="3"/>
  <c r="AN423" i="3" s="1"/>
  <c r="M423" i="3"/>
  <c r="AF423" i="3"/>
  <c r="AD423" i="3"/>
  <c r="V423" i="3"/>
  <c r="R423" i="3"/>
  <c r="T423" i="3"/>
  <c r="P423" i="3"/>
  <c r="AT422" i="3"/>
  <c r="AU422" i="3"/>
  <c r="AU421" i="3"/>
  <c r="Y422" i="3"/>
  <c r="Z422" i="3" s="1"/>
  <c r="X422" i="3"/>
  <c r="AV420" i="3"/>
  <c r="BC420" i="3" s="1"/>
  <c r="BM422" i="3"/>
  <c r="BF419" i="3"/>
  <c r="BJ418" i="3" s="1"/>
  <c r="BK418" i="3" s="1"/>
  <c r="BB419" i="3"/>
  <c r="BQ419" i="3"/>
  <c r="AT421" i="3"/>
  <c r="AW421" i="3"/>
  <c r="AG422" i="3"/>
  <c r="BN422" i="3"/>
  <c r="BD419" i="3"/>
  <c r="BG419" i="3"/>
  <c r="BH419" i="3" s="1"/>
  <c r="BI419" i="3" s="1"/>
  <c r="AY421" i="3" l="1"/>
  <c r="AX422" i="3"/>
  <c r="Y423" i="3"/>
  <c r="Z423" i="3" s="1"/>
  <c r="AH423" i="3"/>
  <c r="X423" i="3"/>
  <c r="BA422" i="3"/>
  <c r="AV422" i="3"/>
  <c r="BN423" i="3"/>
  <c r="BJ419" i="3"/>
  <c r="BK419" i="3" s="1"/>
  <c r="BA421" i="3"/>
  <c r="AV421" i="3"/>
  <c r="BC421" i="3" s="1"/>
  <c r="AW422" i="3"/>
  <c r="AY422" i="3" s="1"/>
  <c r="BM423" i="3"/>
  <c r="BD420" i="3"/>
  <c r="BG420" i="3"/>
  <c r="BH420" i="3" s="1"/>
  <c r="BI420" i="3" s="1"/>
  <c r="AO423" i="3"/>
  <c r="AG423" i="3"/>
  <c r="B424" i="3"/>
  <c r="D424" i="3"/>
  <c r="C424" i="3"/>
  <c r="A425" i="3"/>
  <c r="AQ424" i="3"/>
  <c r="AR424" i="3"/>
  <c r="F424" i="3"/>
  <c r="G424" i="3"/>
  <c r="H424" i="3" s="1"/>
  <c r="Q424" i="3"/>
  <c r="S424" i="3"/>
  <c r="O424" i="3"/>
  <c r="U424" i="3"/>
  <c r="AK424" i="3"/>
  <c r="AM424" i="3"/>
  <c r="M424" i="3"/>
  <c r="AE424" i="3"/>
  <c r="AD424" i="3"/>
  <c r="AF424" i="3"/>
  <c r="V424" i="3"/>
  <c r="T424" i="3"/>
  <c r="P424" i="3"/>
  <c r="R424" i="3"/>
  <c r="AU423" i="3" l="1"/>
  <c r="AT423" i="3"/>
  <c r="X424" i="3"/>
  <c r="AH424" i="3"/>
  <c r="AO424" i="3"/>
  <c r="AW423" i="3"/>
  <c r="B425" i="3"/>
  <c r="C425" i="3"/>
  <c r="AR425" i="3"/>
  <c r="A426" i="3"/>
  <c r="AQ425" i="3"/>
  <c r="D425" i="3"/>
  <c r="F425" i="3"/>
  <c r="G425" i="3"/>
  <c r="H425" i="3" s="1"/>
  <c r="BN425" i="3" s="1"/>
  <c r="Q425" i="3"/>
  <c r="S425" i="3"/>
  <c r="O425" i="3"/>
  <c r="U425" i="3"/>
  <c r="AK425" i="3"/>
  <c r="AM425" i="3"/>
  <c r="AN425" i="3" s="1"/>
  <c r="AD425" i="3"/>
  <c r="AE425" i="3"/>
  <c r="AF425" i="3"/>
  <c r="M425" i="3"/>
  <c r="V425" i="3"/>
  <c r="R425" i="3"/>
  <c r="T425" i="3"/>
  <c r="P425" i="3"/>
  <c r="Y424" i="3"/>
  <c r="Z424" i="3" s="1"/>
  <c r="AV423" i="3"/>
  <c r="BC422" i="3"/>
  <c r="AG424" i="3"/>
  <c r="AU424" i="3" s="1"/>
  <c r="BN424" i="3"/>
  <c r="BM424" i="3"/>
  <c r="BD421" i="3"/>
  <c r="BG421" i="3"/>
  <c r="BH421" i="3" s="1"/>
  <c r="BI421" i="3" s="1"/>
  <c r="AX423" i="3"/>
  <c r="BB422" i="3"/>
  <c r="BF422" i="3"/>
  <c r="BQ422" i="3"/>
  <c r="AN424" i="3"/>
  <c r="BQ421" i="3"/>
  <c r="BB421" i="3"/>
  <c r="BF421" i="3"/>
  <c r="BJ420" i="3" s="1"/>
  <c r="BK420" i="3" s="1"/>
  <c r="BM425" i="3" l="1"/>
  <c r="AX424" i="3"/>
  <c r="BA423" i="3"/>
  <c r="AG425" i="3"/>
  <c r="BJ421" i="3"/>
  <c r="BK421" i="3" s="1"/>
  <c r="BB423" i="3"/>
  <c r="BF423" i="3"/>
  <c r="BJ422" i="3" s="1"/>
  <c r="BK422" i="3" s="1"/>
  <c r="BQ423" i="3"/>
  <c r="AW424" i="3"/>
  <c r="AY423" i="3"/>
  <c r="BC423" i="3" s="1"/>
  <c r="Y425" i="3"/>
  <c r="Z425" i="3" s="1"/>
  <c r="BD422" i="3"/>
  <c r="BG422" i="3"/>
  <c r="BH422" i="3" s="1"/>
  <c r="BI422" i="3" s="1"/>
  <c r="AH425" i="3"/>
  <c r="AT425" i="3" s="1"/>
  <c r="AO425" i="3"/>
  <c r="X425" i="3"/>
  <c r="AQ426" i="3"/>
  <c r="C426" i="3"/>
  <c r="D426" i="3"/>
  <c r="B426" i="3"/>
  <c r="AR426" i="3"/>
  <c r="A427" i="3"/>
  <c r="F426" i="3"/>
  <c r="BM426" i="3" s="1"/>
  <c r="G426" i="3"/>
  <c r="H426" i="3" s="1"/>
  <c r="BN426" i="3" s="1"/>
  <c r="Q426" i="3"/>
  <c r="S426" i="3"/>
  <c r="O426" i="3"/>
  <c r="U426" i="3"/>
  <c r="AE426" i="3"/>
  <c r="AK426" i="3"/>
  <c r="AM426" i="3"/>
  <c r="AN426" i="3" s="1"/>
  <c r="AD426" i="3"/>
  <c r="AF426" i="3"/>
  <c r="M426" i="3"/>
  <c r="V426" i="3"/>
  <c r="R426" i="3"/>
  <c r="T426" i="3"/>
  <c r="P426" i="3"/>
  <c r="AT424" i="3"/>
  <c r="AY424" i="3" l="1"/>
  <c r="AU425" i="3"/>
  <c r="AV425" i="3" s="1"/>
  <c r="AH426" i="3"/>
  <c r="AO426" i="3"/>
  <c r="C427" i="3"/>
  <c r="B427" i="3"/>
  <c r="AR427" i="3"/>
  <c r="A428" i="3"/>
  <c r="AQ427" i="3"/>
  <c r="D427" i="3"/>
  <c r="F427" i="3"/>
  <c r="G427" i="3"/>
  <c r="H427" i="3" s="1"/>
  <c r="Q427" i="3"/>
  <c r="S427" i="3"/>
  <c r="O427" i="3"/>
  <c r="U427" i="3"/>
  <c r="AD427" i="3"/>
  <c r="AE427" i="3"/>
  <c r="M427" i="3"/>
  <c r="AK427" i="3"/>
  <c r="AM427" i="3"/>
  <c r="AN427" i="3" s="1"/>
  <c r="AF427" i="3"/>
  <c r="R427" i="3"/>
  <c r="V427" i="3"/>
  <c r="T427" i="3"/>
  <c r="P427" i="3"/>
  <c r="AX425" i="3"/>
  <c r="AW425" i="3"/>
  <c r="AV424" i="3"/>
  <c r="BC424" i="3" s="1"/>
  <c r="BA424" i="3"/>
  <c r="Y426" i="3"/>
  <c r="Z426" i="3" s="1"/>
  <c r="X426" i="3"/>
  <c r="AG426" i="3"/>
  <c r="BD423" i="3"/>
  <c r="BG423" i="3"/>
  <c r="BH423" i="3" s="1"/>
  <c r="BI423" i="3" s="1"/>
  <c r="BM427" i="3" l="1"/>
  <c r="AW426" i="3"/>
  <c r="AU426" i="3"/>
  <c r="AT426" i="3"/>
  <c r="AV426" i="3" s="1"/>
  <c r="AX426" i="3"/>
  <c r="AY426" i="3" s="1"/>
  <c r="BA425" i="3"/>
  <c r="BQ425" i="3" s="1"/>
  <c r="AG427" i="3"/>
  <c r="AU427" i="3" s="1"/>
  <c r="Y427" i="3"/>
  <c r="Z427" i="3" s="1"/>
  <c r="AH427" i="3"/>
  <c r="C428" i="3"/>
  <c r="AQ428" i="3"/>
  <c r="AR428" i="3"/>
  <c r="B428" i="3"/>
  <c r="D428" i="3"/>
  <c r="A429" i="3"/>
  <c r="F428" i="3"/>
  <c r="G428" i="3"/>
  <c r="H428" i="3" s="1"/>
  <c r="S428" i="3"/>
  <c r="Q428" i="3"/>
  <c r="O428" i="3"/>
  <c r="U428" i="3"/>
  <c r="AK428" i="3"/>
  <c r="AO428" i="3" s="1"/>
  <c r="AF428" i="3"/>
  <c r="AE428" i="3"/>
  <c r="AM428" i="3"/>
  <c r="M428" i="3"/>
  <c r="AD428" i="3"/>
  <c r="V428" i="3"/>
  <c r="P428" i="3"/>
  <c r="R428" i="3"/>
  <c r="T428" i="3"/>
  <c r="BD424" i="3"/>
  <c r="BG424" i="3"/>
  <c r="BH424" i="3" s="1"/>
  <c r="BI424" i="3" s="1"/>
  <c r="X427" i="3"/>
  <c r="BF424" i="3"/>
  <c r="BJ423" i="3" s="1"/>
  <c r="BK423" i="3" s="1"/>
  <c r="BB424" i="3"/>
  <c r="BQ424" i="3"/>
  <c r="AY425" i="3"/>
  <c r="BC425" i="3" s="1"/>
  <c r="AO427" i="3"/>
  <c r="BN427" i="3"/>
  <c r="BF425" i="3" l="1"/>
  <c r="BA426" i="3"/>
  <c r="BC426" i="3"/>
  <c r="BB425" i="3"/>
  <c r="AT427" i="3"/>
  <c r="AV427" i="3" s="1"/>
  <c r="BD425" i="3"/>
  <c r="BG425" i="3"/>
  <c r="BH425" i="3" s="1"/>
  <c r="BI425" i="3" s="1"/>
  <c r="C429" i="3"/>
  <c r="AR429" i="3"/>
  <c r="D429" i="3"/>
  <c r="B429" i="3"/>
  <c r="AQ429" i="3"/>
  <c r="A430" i="3"/>
  <c r="G429" i="3"/>
  <c r="H429" i="3" s="1"/>
  <c r="F429" i="3"/>
  <c r="S429" i="3"/>
  <c r="Q429" i="3"/>
  <c r="O429" i="3"/>
  <c r="U429" i="3"/>
  <c r="AE429" i="3"/>
  <c r="AM429" i="3"/>
  <c r="AK429" i="3"/>
  <c r="AD429" i="3"/>
  <c r="M429" i="3"/>
  <c r="AF429" i="3"/>
  <c r="V429" i="3"/>
  <c r="P429" i="3"/>
  <c r="R429" i="3"/>
  <c r="T429" i="3"/>
  <c r="AX427" i="3"/>
  <c r="X428" i="3"/>
  <c r="BJ424" i="3"/>
  <c r="BK424" i="3" s="1"/>
  <c r="AN428" i="3"/>
  <c r="BN428" i="3"/>
  <c r="AW427" i="3"/>
  <c r="BB426" i="3"/>
  <c r="BQ426" i="3"/>
  <c r="BF426" i="3"/>
  <c r="BJ425" i="3" s="1"/>
  <c r="BK425" i="3" s="1"/>
  <c r="Y428" i="3"/>
  <c r="Z428" i="3" s="1"/>
  <c r="AH428" i="3"/>
  <c r="AG428" i="3"/>
  <c r="BM428" i="3"/>
  <c r="BD426" i="3"/>
  <c r="BG426" i="3"/>
  <c r="BH426" i="3" s="1"/>
  <c r="BI426" i="3" s="1"/>
  <c r="BM429" i="3" l="1"/>
  <c r="AN429" i="3"/>
  <c r="BA427" i="3"/>
  <c r="BB427" i="3" s="1"/>
  <c r="AG429" i="3"/>
  <c r="AX428" i="3"/>
  <c r="X429" i="3"/>
  <c r="BF427" i="3"/>
  <c r="BJ426" i="3" s="1"/>
  <c r="BK426" i="3" s="1"/>
  <c r="AY427" i="3"/>
  <c r="BC427" i="3" s="1"/>
  <c r="AT428" i="3"/>
  <c r="AR430" i="3"/>
  <c r="A431" i="3"/>
  <c r="AQ430" i="3"/>
  <c r="B430" i="3"/>
  <c r="C430" i="3"/>
  <c r="D430" i="3"/>
  <c r="F430" i="3"/>
  <c r="G430" i="3"/>
  <c r="H430" i="3" s="1"/>
  <c r="S430" i="3"/>
  <c r="Q430" i="3"/>
  <c r="O430" i="3"/>
  <c r="U430" i="3"/>
  <c r="AK430" i="3"/>
  <c r="AM430" i="3"/>
  <c r="AE430" i="3"/>
  <c r="AD430" i="3"/>
  <c r="M430" i="3"/>
  <c r="AF430" i="3"/>
  <c r="R430" i="3"/>
  <c r="V430" i="3"/>
  <c r="P430" i="3"/>
  <c r="T430" i="3"/>
  <c r="Y429" i="3"/>
  <c r="Z429" i="3" s="1"/>
  <c r="AH429" i="3"/>
  <c r="AU428" i="3"/>
  <c r="AW428" i="3"/>
  <c r="AO429" i="3"/>
  <c r="BN429" i="3"/>
  <c r="AY428" i="3" l="1"/>
  <c r="BQ427" i="3"/>
  <c r="BN430" i="3"/>
  <c r="AT429" i="3"/>
  <c r="AO430" i="3"/>
  <c r="X430" i="3"/>
  <c r="AX429" i="3"/>
  <c r="BD427" i="3"/>
  <c r="BG427" i="3"/>
  <c r="BH427" i="3" s="1"/>
  <c r="BI427" i="3" s="1"/>
  <c r="AR431" i="3"/>
  <c r="AQ431" i="3"/>
  <c r="C431" i="3"/>
  <c r="B431" i="3"/>
  <c r="D431" i="3"/>
  <c r="A432" i="3"/>
  <c r="G431" i="3"/>
  <c r="H431" i="3" s="1"/>
  <c r="BN431" i="3" s="1"/>
  <c r="F431" i="3"/>
  <c r="S431" i="3"/>
  <c r="Q431" i="3"/>
  <c r="O431" i="3"/>
  <c r="U431" i="3"/>
  <c r="AM431" i="3"/>
  <c r="AK431" i="3"/>
  <c r="AO431" i="3" s="1"/>
  <c r="AD431" i="3"/>
  <c r="M431" i="3"/>
  <c r="AE431" i="3"/>
  <c r="AF431" i="3"/>
  <c r="P431" i="3"/>
  <c r="V431" i="3"/>
  <c r="T431" i="3"/>
  <c r="R431" i="3"/>
  <c r="BM430" i="3"/>
  <c r="AV428" i="3"/>
  <c r="BC428" i="3" s="1"/>
  <c r="BA428" i="3"/>
  <c r="AU429" i="3"/>
  <c r="AH430" i="3"/>
  <c r="AG430" i="3"/>
  <c r="AN430" i="3"/>
  <c r="Y430" i="3"/>
  <c r="Z430" i="3" s="1"/>
  <c r="AW429" i="3"/>
  <c r="AY429" i="3" s="1"/>
  <c r="BA429" i="3" l="1"/>
  <c r="AH431" i="3"/>
  <c r="AV429" i="3"/>
  <c r="BQ429" i="3"/>
  <c r="BF429" i="3"/>
  <c r="BB429" i="3"/>
  <c r="BC429" i="3"/>
  <c r="BB428" i="3"/>
  <c r="BF428" i="3"/>
  <c r="BJ427" i="3" s="1"/>
  <c r="BK427" i="3" s="1"/>
  <c r="BQ428" i="3"/>
  <c r="AG431" i="3"/>
  <c r="AU431" i="3" s="1"/>
  <c r="BD428" i="3"/>
  <c r="BG428" i="3"/>
  <c r="BH428" i="3" s="1"/>
  <c r="BI428" i="3" s="1"/>
  <c r="BM431" i="3"/>
  <c r="AW430" i="3"/>
  <c r="AX430" i="3"/>
  <c r="D432" i="3"/>
  <c r="A433" i="3"/>
  <c r="C432" i="3"/>
  <c r="B432" i="3"/>
  <c r="AQ432" i="3"/>
  <c r="AR432" i="3"/>
  <c r="F432" i="3"/>
  <c r="BM432" i="3" s="1"/>
  <c r="G432" i="3"/>
  <c r="H432" i="3" s="1"/>
  <c r="Q432" i="3"/>
  <c r="S432" i="3"/>
  <c r="O432" i="3"/>
  <c r="U432" i="3"/>
  <c r="AM432" i="3"/>
  <c r="AF432" i="3"/>
  <c r="AK432" i="3"/>
  <c r="AO432" i="3" s="1"/>
  <c r="AD432" i="3"/>
  <c r="M432" i="3"/>
  <c r="AE432" i="3"/>
  <c r="V432" i="3"/>
  <c r="P432" i="3"/>
  <c r="R432" i="3"/>
  <c r="T432" i="3"/>
  <c r="AT430" i="3"/>
  <c r="AN431" i="3"/>
  <c r="AX431" i="3" s="1"/>
  <c r="AU430" i="3"/>
  <c r="Y431" i="3"/>
  <c r="Z431" i="3" s="1"/>
  <c r="X431" i="3"/>
  <c r="BN432" i="3" l="1"/>
  <c r="AH432" i="3"/>
  <c r="AY430" i="3"/>
  <c r="AN432" i="3"/>
  <c r="X432" i="3"/>
  <c r="Y432" i="3"/>
  <c r="Z432" i="3" s="1"/>
  <c r="AG432" i="3"/>
  <c r="AW432" i="3" s="1"/>
  <c r="BJ428" i="3"/>
  <c r="BK428" i="3" s="1"/>
  <c r="AW431" i="3"/>
  <c r="AY431" i="3" s="1"/>
  <c r="AV430" i="3"/>
  <c r="BA430" i="3"/>
  <c r="BD429" i="3"/>
  <c r="BG429" i="3"/>
  <c r="BH429" i="3" s="1"/>
  <c r="BI429" i="3" s="1"/>
  <c r="AR433" i="3"/>
  <c r="B433" i="3"/>
  <c r="A434" i="3"/>
  <c r="AQ433" i="3"/>
  <c r="C433" i="3"/>
  <c r="D433" i="3"/>
  <c r="F433" i="3"/>
  <c r="G433" i="3"/>
  <c r="H433" i="3" s="1"/>
  <c r="Q433" i="3"/>
  <c r="S433" i="3"/>
  <c r="O433" i="3"/>
  <c r="U433" i="3"/>
  <c r="AK433" i="3"/>
  <c r="AM433" i="3"/>
  <c r="AF433" i="3"/>
  <c r="M433" i="3"/>
  <c r="AE433" i="3"/>
  <c r="AD433" i="3"/>
  <c r="R433" i="3"/>
  <c r="T433" i="3"/>
  <c r="V433" i="3"/>
  <c r="P433" i="3"/>
  <c r="AT431" i="3"/>
  <c r="BN433" i="3" l="1"/>
  <c r="BM433" i="3"/>
  <c r="AN433" i="3"/>
  <c r="AG433" i="3"/>
  <c r="AX432" i="3"/>
  <c r="AY432" i="3" s="1"/>
  <c r="BA431" i="3"/>
  <c r="AV431" i="3"/>
  <c r="BC431" i="3" s="1"/>
  <c r="AO433" i="3"/>
  <c r="X433" i="3"/>
  <c r="AU432" i="3"/>
  <c r="BF430" i="3"/>
  <c r="BJ429" i="3" s="1"/>
  <c r="BK429" i="3" s="1"/>
  <c r="BQ430" i="3"/>
  <c r="BB430" i="3"/>
  <c r="BC430" i="3"/>
  <c r="AR434" i="3"/>
  <c r="AQ434" i="3"/>
  <c r="D434" i="3"/>
  <c r="B434" i="3"/>
  <c r="C434" i="3"/>
  <c r="A435" i="3"/>
  <c r="G434" i="3"/>
  <c r="H434" i="3" s="1"/>
  <c r="F434" i="3"/>
  <c r="S434" i="3"/>
  <c r="Q434" i="3"/>
  <c r="O434" i="3"/>
  <c r="U434" i="3"/>
  <c r="AF434" i="3"/>
  <c r="AM434" i="3"/>
  <c r="AK434" i="3"/>
  <c r="AO434" i="3" s="1"/>
  <c r="AE434" i="3"/>
  <c r="AD434" i="3"/>
  <c r="M434" i="3"/>
  <c r="R434" i="3"/>
  <c r="V434" i="3"/>
  <c r="T434" i="3"/>
  <c r="P434" i="3"/>
  <c r="AT432" i="3"/>
  <c r="Y433" i="3"/>
  <c r="Z433" i="3" s="1"/>
  <c r="AH433" i="3"/>
  <c r="BM434" i="3" l="1"/>
  <c r="AH434" i="3"/>
  <c r="AX433" i="3"/>
  <c r="AG434" i="3"/>
  <c r="AU434" i="3" s="1"/>
  <c r="AW433" i="3"/>
  <c r="AY433" i="3" s="1"/>
  <c r="AT434" i="3"/>
  <c r="AT433" i="3"/>
  <c r="BD431" i="3"/>
  <c r="BG431" i="3"/>
  <c r="BH431" i="3" s="1"/>
  <c r="BI431" i="3" s="1"/>
  <c r="BN434" i="3"/>
  <c r="AU433" i="3"/>
  <c r="AV432" i="3"/>
  <c r="BC432" i="3" s="1"/>
  <c r="BA432" i="3"/>
  <c r="BD430" i="3"/>
  <c r="BG430" i="3"/>
  <c r="BH430" i="3" s="1"/>
  <c r="BI430" i="3" s="1"/>
  <c r="AN434" i="3"/>
  <c r="AW434" i="3" s="1"/>
  <c r="AR435" i="3"/>
  <c r="A436" i="3"/>
  <c r="D435" i="3"/>
  <c r="B435" i="3"/>
  <c r="AQ435" i="3"/>
  <c r="C435" i="3"/>
  <c r="G435" i="3"/>
  <c r="H435" i="3" s="1"/>
  <c r="BN435" i="3" s="1"/>
  <c r="F435" i="3"/>
  <c r="BM435" i="3" s="1"/>
  <c r="Q435" i="3"/>
  <c r="S435" i="3"/>
  <c r="O435" i="3"/>
  <c r="U435" i="3"/>
  <c r="M435" i="3"/>
  <c r="AM435" i="3"/>
  <c r="AK435" i="3"/>
  <c r="AO435" i="3" s="1"/>
  <c r="AF435" i="3"/>
  <c r="AD435" i="3"/>
  <c r="AE435" i="3"/>
  <c r="V435" i="3"/>
  <c r="P435" i="3"/>
  <c r="T435" i="3"/>
  <c r="R435" i="3"/>
  <c r="BF431" i="3"/>
  <c r="BJ430" i="3" s="1"/>
  <c r="BK430" i="3" s="1"/>
  <c r="BQ431" i="3"/>
  <c r="BB431" i="3"/>
  <c r="Y434" i="3"/>
  <c r="Z434" i="3" s="1"/>
  <c r="X434" i="3"/>
  <c r="AN435" i="3" l="1"/>
  <c r="BB432" i="3"/>
  <c r="BQ432" i="3"/>
  <c r="BF432" i="3"/>
  <c r="BJ431" i="3" s="1"/>
  <c r="BK431" i="3" s="1"/>
  <c r="BD432" i="3"/>
  <c r="BG432" i="3"/>
  <c r="BH432" i="3" s="1"/>
  <c r="BI432" i="3" s="1"/>
  <c r="Y435" i="3"/>
  <c r="Z435" i="3" s="1"/>
  <c r="AX434" i="3"/>
  <c r="AY434" i="3" s="1"/>
  <c r="BA433" i="3"/>
  <c r="AV433" i="3"/>
  <c r="BC433" i="3" s="1"/>
  <c r="X435" i="3"/>
  <c r="AG435" i="3"/>
  <c r="D436" i="3"/>
  <c r="A437" i="3"/>
  <c r="B436" i="3"/>
  <c r="AR436" i="3"/>
  <c r="AQ436" i="3"/>
  <c r="C436" i="3"/>
  <c r="F436" i="3"/>
  <c r="BM436" i="3" s="1"/>
  <c r="G436" i="3"/>
  <c r="H436" i="3" s="1"/>
  <c r="Q436" i="3"/>
  <c r="S436" i="3"/>
  <c r="O436" i="3"/>
  <c r="U436" i="3"/>
  <c r="AK436" i="3"/>
  <c r="M436" i="3"/>
  <c r="AD436" i="3"/>
  <c r="AM436" i="3"/>
  <c r="AN436" i="3" s="1"/>
  <c r="AF436" i="3"/>
  <c r="AE436" i="3"/>
  <c r="AG436" i="3" s="1"/>
  <c r="V436" i="3"/>
  <c r="R436" i="3"/>
  <c r="T436" i="3"/>
  <c r="P436" i="3"/>
  <c r="AV434" i="3"/>
  <c r="AH435" i="3"/>
  <c r="AT435" i="3"/>
  <c r="BN436" i="3" l="1"/>
  <c r="AX435" i="3"/>
  <c r="BC434" i="3"/>
  <c r="BD434" i="3" s="1"/>
  <c r="BA434" i="3"/>
  <c r="BF434" i="3" s="1"/>
  <c r="AW435" i="3"/>
  <c r="AY435" i="3" s="1"/>
  <c r="AH436" i="3"/>
  <c r="BB433" i="3"/>
  <c r="BQ433" i="3"/>
  <c r="BF433" i="3"/>
  <c r="BJ432" i="3" s="1"/>
  <c r="BK432" i="3" s="1"/>
  <c r="BD433" i="3"/>
  <c r="BG433" i="3"/>
  <c r="BH433" i="3" s="1"/>
  <c r="BI433" i="3" s="1"/>
  <c r="AU435" i="3"/>
  <c r="A438" i="3"/>
  <c r="D437" i="3"/>
  <c r="AQ437" i="3"/>
  <c r="C437" i="3"/>
  <c r="B437" i="3"/>
  <c r="AR437" i="3"/>
  <c r="F437" i="3"/>
  <c r="G437" i="3"/>
  <c r="H437" i="3" s="1"/>
  <c r="S437" i="3"/>
  <c r="Q437" i="3"/>
  <c r="O437" i="3"/>
  <c r="U437" i="3"/>
  <c r="AM437" i="3"/>
  <c r="AK437" i="3"/>
  <c r="M437" i="3"/>
  <c r="AD437" i="3"/>
  <c r="AF437" i="3"/>
  <c r="AE437" i="3"/>
  <c r="T437" i="3"/>
  <c r="V437" i="3"/>
  <c r="P437" i="3"/>
  <c r="R437" i="3"/>
  <c r="AO436" i="3"/>
  <c r="X436" i="3"/>
  <c r="Y436" i="3"/>
  <c r="Z436" i="3" s="1"/>
  <c r="BN437" i="3" l="1"/>
  <c r="BA435" i="3"/>
  <c r="BG434" i="3"/>
  <c r="BH434" i="3" s="1"/>
  <c r="BI434" i="3" s="1"/>
  <c r="BB434" i="3"/>
  <c r="BJ433" i="3"/>
  <c r="BK433" i="3" s="1"/>
  <c r="BQ434" i="3"/>
  <c r="AX436" i="3"/>
  <c r="AN437" i="3"/>
  <c r="Y437" i="3"/>
  <c r="Z437" i="3" s="1"/>
  <c r="X437" i="3"/>
  <c r="BB435" i="3"/>
  <c r="BF435" i="3"/>
  <c r="BJ434" i="3" s="1"/>
  <c r="BK434" i="3" s="1"/>
  <c r="BQ435" i="3"/>
  <c r="AG437" i="3"/>
  <c r="AU436" i="3"/>
  <c r="AH437" i="3"/>
  <c r="AV435" i="3"/>
  <c r="BC435" i="3" s="1"/>
  <c r="AR438" i="3"/>
  <c r="A439" i="3"/>
  <c r="C438" i="3"/>
  <c r="B438" i="3"/>
  <c r="AQ438" i="3"/>
  <c r="D438" i="3"/>
  <c r="F438" i="3"/>
  <c r="G438" i="3"/>
  <c r="H438" i="3" s="1"/>
  <c r="Q438" i="3"/>
  <c r="S438" i="3"/>
  <c r="O438" i="3"/>
  <c r="U438" i="3"/>
  <c r="M438" i="3"/>
  <c r="AK438" i="3"/>
  <c r="AM438" i="3"/>
  <c r="AF438" i="3"/>
  <c r="AD438" i="3"/>
  <c r="AE438" i="3"/>
  <c r="V438" i="3"/>
  <c r="P438" i="3"/>
  <c r="R438" i="3"/>
  <c r="T438" i="3"/>
  <c r="AW436" i="3"/>
  <c r="BM437" i="3"/>
  <c r="AO437" i="3"/>
  <c r="AT436" i="3"/>
  <c r="AY436" i="3" l="1"/>
  <c r="AN438" i="3"/>
  <c r="BM438" i="3"/>
  <c r="AG438" i="3"/>
  <c r="AX437" i="3"/>
  <c r="AO438" i="3"/>
  <c r="AW437" i="3"/>
  <c r="AY437" i="3" s="1"/>
  <c r="AR439" i="3"/>
  <c r="A440" i="3"/>
  <c r="B439" i="3"/>
  <c r="C439" i="3"/>
  <c r="AQ439" i="3"/>
  <c r="D439" i="3"/>
  <c r="G439" i="3"/>
  <c r="H439" i="3" s="1"/>
  <c r="BN439" i="3" s="1"/>
  <c r="F439" i="3"/>
  <c r="Q439" i="3"/>
  <c r="S439" i="3"/>
  <c r="O439" i="3"/>
  <c r="U439" i="3"/>
  <c r="AK439" i="3"/>
  <c r="AM439" i="3"/>
  <c r="M439" i="3"/>
  <c r="AF439" i="3"/>
  <c r="AD439" i="3"/>
  <c r="AE439" i="3"/>
  <c r="V439" i="3"/>
  <c r="P439" i="3"/>
  <c r="R439" i="3"/>
  <c r="T439" i="3"/>
  <c r="AV436" i="3"/>
  <c r="BC436" i="3" s="1"/>
  <c r="BA436" i="3"/>
  <c r="AU437" i="3"/>
  <c r="AT437" i="3"/>
  <c r="AH438" i="3"/>
  <c r="X438" i="3"/>
  <c r="Y438" i="3"/>
  <c r="Z438" i="3" s="1"/>
  <c r="BN438" i="3"/>
  <c r="BD435" i="3"/>
  <c r="BG435" i="3"/>
  <c r="BH435" i="3" s="1"/>
  <c r="BI435" i="3" s="1"/>
  <c r="AX438" i="3" l="1"/>
  <c r="AO439" i="3"/>
  <c r="X439" i="3"/>
  <c r="AH439" i="3"/>
  <c r="Y439" i="3"/>
  <c r="Z439" i="3" s="1"/>
  <c r="AG439" i="3"/>
  <c r="D440" i="3"/>
  <c r="AR440" i="3"/>
  <c r="C440" i="3"/>
  <c r="AQ440" i="3"/>
  <c r="B440" i="3"/>
  <c r="A441" i="3"/>
  <c r="G440" i="3"/>
  <c r="H440" i="3" s="1"/>
  <c r="F440" i="3"/>
  <c r="S440" i="3"/>
  <c r="Q440" i="3"/>
  <c r="O440" i="3"/>
  <c r="U440" i="3"/>
  <c r="AF440" i="3"/>
  <c r="M440" i="3"/>
  <c r="AE440" i="3"/>
  <c r="AM440" i="3"/>
  <c r="AK440" i="3"/>
  <c r="AO440" i="3" s="1"/>
  <c r="AD440" i="3"/>
  <c r="P440" i="3"/>
  <c r="V440" i="3"/>
  <c r="R440" i="3"/>
  <c r="T440" i="3"/>
  <c r="BD436" i="3"/>
  <c r="BG436" i="3"/>
  <c r="BH436" i="3" s="1"/>
  <c r="BI436" i="3" s="1"/>
  <c r="AV437" i="3"/>
  <c r="BC437" i="3" s="1"/>
  <c r="BA437" i="3"/>
  <c r="AN439" i="3"/>
  <c r="BB436" i="3"/>
  <c r="BQ436" i="3"/>
  <c r="BF436" i="3"/>
  <c r="BJ435" i="3" s="1"/>
  <c r="BK435" i="3" s="1"/>
  <c r="BM439" i="3"/>
  <c r="AW438" i="3"/>
  <c r="AY438" i="3" s="1"/>
  <c r="AT438" i="3"/>
  <c r="AU438" i="3"/>
  <c r="AT439" i="3" l="1"/>
  <c r="AU439" i="3"/>
  <c r="AX439" i="3"/>
  <c r="AN440" i="3"/>
  <c r="B441" i="3"/>
  <c r="C441" i="3"/>
  <c r="AR441" i="3"/>
  <c r="AQ441" i="3"/>
  <c r="A442" i="3"/>
  <c r="D441" i="3"/>
  <c r="G441" i="3"/>
  <c r="H441" i="3" s="1"/>
  <c r="F441" i="3"/>
  <c r="Q441" i="3"/>
  <c r="S441" i="3"/>
  <c r="O441" i="3"/>
  <c r="U441" i="3"/>
  <c r="AK441" i="3"/>
  <c r="AF441" i="3"/>
  <c r="M441" i="3"/>
  <c r="AM441" i="3"/>
  <c r="AE441" i="3"/>
  <c r="AD441" i="3"/>
  <c r="T441" i="3"/>
  <c r="V441" i="3"/>
  <c r="P441" i="3"/>
  <c r="R441" i="3"/>
  <c r="AV438" i="3"/>
  <c r="BC438" i="3" s="1"/>
  <c r="BA438" i="3"/>
  <c r="BD437" i="3"/>
  <c r="BG437" i="3"/>
  <c r="BH437" i="3" s="1"/>
  <c r="BI437" i="3" s="1"/>
  <c r="AH440" i="3"/>
  <c r="AV439" i="3"/>
  <c r="BC439" i="3" s="1"/>
  <c r="X440" i="3"/>
  <c r="BM440" i="3"/>
  <c r="AW439" i="3"/>
  <c r="AY439" i="3" s="1"/>
  <c r="Y440" i="3"/>
  <c r="Z440" i="3" s="1"/>
  <c r="BB437" i="3"/>
  <c r="BQ437" i="3"/>
  <c r="BF437" i="3"/>
  <c r="BJ436" i="3" s="1"/>
  <c r="BK436" i="3" s="1"/>
  <c r="AG440" i="3"/>
  <c r="BN440" i="3"/>
  <c r="BN441" i="3" l="1"/>
  <c r="AW440" i="3"/>
  <c r="BA439" i="3"/>
  <c r="BM441" i="3"/>
  <c r="AH441" i="3"/>
  <c r="AN441" i="3"/>
  <c r="BB438" i="3"/>
  <c r="BQ438" i="3"/>
  <c r="BF438" i="3"/>
  <c r="BJ437" i="3" s="1"/>
  <c r="BK437" i="3" s="1"/>
  <c r="BD439" i="3"/>
  <c r="BG439" i="3"/>
  <c r="BH439" i="3" s="1"/>
  <c r="BI439" i="3" s="1"/>
  <c r="BD438" i="3"/>
  <c r="BG438" i="3"/>
  <c r="BH438" i="3" s="1"/>
  <c r="BI438" i="3" s="1"/>
  <c r="AR442" i="3"/>
  <c r="AQ442" i="3"/>
  <c r="B442" i="3"/>
  <c r="C442" i="3"/>
  <c r="A443" i="3"/>
  <c r="D442" i="3"/>
  <c r="G442" i="3"/>
  <c r="H442" i="3" s="1"/>
  <c r="BN442" i="3" s="1"/>
  <c r="F442" i="3"/>
  <c r="BM442" i="3" s="1"/>
  <c r="S442" i="3"/>
  <c r="Q442" i="3"/>
  <c r="O442" i="3"/>
  <c r="U442" i="3"/>
  <c r="AK442" i="3"/>
  <c r="AD442" i="3"/>
  <c r="AE442" i="3"/>
  <c r="AM442" i="3"/>
  <c r="M442" i="3"/>
  <c r="AF442" i="3"/>
  <c r="P442" i="3"/>
  <c r="R442" i="3"/>
  <c r="V442" i="3"/>
  <c r="T442" i="3"/>
  <c r="AT440" i="3"/>
  <c r="BF439" i="3"/>
  <c r="BB439" i="3"/>
  <c r="BQ439" i="3"/>
  <c r="AO441" i="3"/>
  <c r="Y441" i="3"/>
  <c r="Z441" i="3" s="1"/>
  <c r="AU440" i="3"/>
  <c r="X441" i="3"/>
  <c r="AX440" i="3"/>
  <c r="AY440" i="3" s="1"/>
  <c r="AG441" i="3"/>
  <c r="AU441" i="3" s="1"/>
  <c r="AX441" i="3" l="1"/>
  <c r="AG442" i="3"/>
  <c r="BJ438" i="3"/>
  <c r="BK438" i="3" s="1"/>
  <c r="AN442" i="3"/>
  <c r="AH442" i="3"/>
  <c r="AU442" i="3" s="1"/>
  <c r="X442" i="3"/>
  <c r="AO442" i="3"/>
  <c r="AW441" i="3"/>
  <c r="AY441" i="3" s="1"/>
  <c r="BA440" i="3"/>
  <c r="AV440" i="3"/>
  <c r="BC440" i="3" s="1"/>
  <c r="Y442" i="3"/>
  <c r="Z442" i="3" s="1"/>
  <c r="AQ443" i="3"/>
  <c r="D443" i="3"/>
  <c r="C443" i="3"/>
  <c r="A444" i="3"/>
  <c r="AR443" i="3"/>
  <c r="B443" i="3"/>
  <c r="F443" i="3"/>
  <c r="G443" i="3"/>
  <c r="H443" i="3" s="1"/>
  <c r="S443" i="3"/>
  <c r="Q443" i="3"/>
  <c r="O443" i="3"/>
  <c r="U443" i="3"/>
  <c r="AM443" i="3"/>
  <c r="AD443" i="3"/>
  <c r="AK443" i="3"/>
  <c r="AF443" i="3"/>
  <c r="M443" i="3"/>
  <c r="AE443" i="3"/>
  <c r="V443" i="3"/>
  <c r="P443" i="3"/>
  <c r="R443" i="3"/>
  <c r="T443" i="3"/>
  <c r="AT441" i="3"/>
  <c r="AT442" i="3" l="1"/>
  <c r="AG443" i="3"/>
  <c r="AN443" i="3"/>
  <c r="D444" i="3"/>
  <c r="AR444" i="3"/>
  <c r="AQ444" i="3"/>
  <c r="B444" i="3"/>
  <c r="A445" i="3"/>
  <c r="C444" i="3"/>
  <c r="F444" i="3"/>
  <c r="BM444" i="3" s="1"/>
  <c r="G444" i="3"/>
  <c r="H444" i="3" s="1"/>
  <c r="S444" i="3"/>
  <c r="Q444" i="3"/>
  <c r="O444" i="3"/>
  <c r="U444" i="3"/>
  <c r="M444" i="3"/>
  <c r="AM444" i="3"/>
  <c r="AK444" i="3"/>
  <c r="AF444" i="3"/>
  <c r="AE444" i="3"/>
  <c r="AD444" i="3"/>
  <c r="V444" i="3"/>
  <c r="P444" i="3"/>
  <c r="R444" i="3"/>
  <c r="T444" i="3"/>
  <c r="Y443" i="3"/>
  <c r="Z443" i="3" s="1"/>
  <c r="X443" i="3"/>
  <c r="BN443" i="3"/>
  <c r="AV441" i="3"/>
  <c r="BC441" i="3" s="1"/>
  <c r="BA441" i="3"/>
  <c r="BM443" i="3"/>
  <c r="BD440" i="3"/>
  <c r="BG440" i="3"/>
  <c r="BH440" i="3" s="1"/>
  <c r="BI440" i="3" s="1"/>
  <c r="AX442" i="3"/>
  <c r="AV442" i="3"/>
  <c r="AO443" i="3"/>
  <c r="AH443" i="3"/>
  <c r="AX443" i="3" s="1"/>
  <c r="BQ440" i="3"/>
  <c r="BF440" i="3"/>
  <c r="BJ439" i="3" s="1"/>
  <c r="BK439" i="3" s="1"/>
  <c r="BB440" i="3"/>
  <c r="AW442" i="3"/>
  <c r="AO444" i="3" l="1"/>
  <c r="BA442" i="3"/>
  <c r="BQ442" i="3" s="1"/>
  <c r="AG444" i="3"/>
  <c r="AN444" i="3"/>
  <c r="BQ441" i="3"/>
  <c r="BF441" i="3"/>
  <c r="BJ440" i="3" s="1"/>
  <c r="BK440" i="3" s="1"/>
  <c r="BB441" i="3"/>
  <c r="AQ445" i="3"/>
  <c r="B445" i="3"/>
  <c r="C445" i="3"/>
  <c r="A446" i="3"/>
  <c r="AR445" i="3"/>
  <c r="D445" i="3"/>
  <c r="F445" i="3"/>
  <c r="G445" i="3"/>
  <c r="H445" i="3" s="1"/>
  <c r="BN445" i="3" s="1"/>
  <c r="S445" i="3"/>
  <c r="Q445" i="3"/>
  <c r="O445" i="3"/>
  <c r="U445" i="3"/>
  <c r="M445" i="3"/>
  <c r="AD445" i="3"/>
  <c r="AM445" i="3"/>
  <c r="AK445" i="3"/>
  <c r="AF445" i="3"/>
  <c r="AE445" i="3"/>
  <c r="P445" i="3"/>
  <c r="V445" i="3"/>
  <c r="R445" i="3"/>
  <c r="T445" i="3"/>
  <c r="X444" i="3"/>
  <c r="AU443" i="3"/>
  <c r="Y444" i="3"/>
  <c r="Z444" i="3" s="1"/>
  <c r="AY442" i="3"/>
  <c r="BC442" i="3" s="1"/>
  <c r="AW443" i="3"/>
  <c r="AY443" i="3" s="1"/>
  <c r="AH444" i="3"/>
  <c r="BD441" i="3"/>
  <c r="BG441" i="3"/>
  <c r="BH441" i="3" s="1"/>
  <c r="BI441" i="3" s="1"/>
  <c r="AW444" i="3"/>
  <c r="BF442" i="3"/>
  <c r="BB442" i="3"/>
  <c r="BN444" i="3"/>
  <c r="AT443" i="3"/>
  <c r="AX444" i="3" l="1"/>
  <c r="AY444" i="3" s="1"/>
  <c r="BJ441" i="3"/>
  <c r="BK441" i="3" s="1"/>
  <c r="AU444" i="3"/>
  <c r="AG445" i="3"/>
  <c r="AO445" i="3"/>
  <c r="Y445" i="3"/>
  <c r="Z445" i="3" s="1"/>
  <c r="X445" i="3"/>
  <c r="BD442" i="3"/>
  <c r="BG442" i="3"/>
  <c r="BH442" i="3" s="1"/>
  <c r="BI442" i="3" s="1"/>
  <c r="BM445" i="3"/>
  <c r="BA443" i="3"/>
  <c r="AV443" i="3"/>
  <c r="BC443" i="3" s="1"/>
  <c r="AN445" i="3"/>
  <c r="AT444" i="3"/>
  <c r="AH445" i="3"/>
  <c r="B446" i="3"/>
  <c r="C446" i="3"/>
  <c r="D446" i="3"/>
  <c r="AR446" i="3"/>
  <c r="A447" i="3"/>
  <c r="AQ446" i="3"/>
  <c r="G446" i="3"/>
  <c r="H446" i="3" s="1"/>
  <c r="F446" i="3"/>
  <c r="Q446" i="3"/>
  <c r="S446" i="3"/>
  <c r="O446" i="3"/>
  <c r="U446" i="3"/>
  <c r="M446" i="3"/>
  <c r="AM446" i="3"/>
  <c r="AK446" i="3"/>
  <c r="AO446" i="3" s="1"/>
  <c r="AF446" i="3"/>
  <c r="AE446" i="3"/>
  <c r="AD446" i="3"/>
  <c r="R446" i="3"/>
  <c r="V446" i="3"/>
  <c r="P446" i="3"/>
  <c r="T446" i="3"/>
  <c r="AW445" i="3" l="1"/>
  <c r="AU445" i="3"/>
  <c r="AH446" i="3"/>
  <c r="AT445" i="3"/>
  <c r="BD443" i="3"/>
  <c r="BG443" i="3"/>
  <c r="BH443" i="3" s="1"/>
  <c r="BI443" i="3" s="1"/>
  <c r="BF443" i="3"/>
  <c r="BJ442" i="3" s="1"/>
  <c r="BK442" i="3" s="1"/>
  <c r="BB443" i="3"/>
  <c r="BQ443" i="3"/>
  <c r="X446" i="3"/>
  <c r="BM446" i="3"/>
  <c r="AG446" i="3"/>
  <c r="BN446" i="3"/>
  <c r="AX445" i="3"/>
  <c r="AY445" i="3" s="1"/>
  <c r="AR447" i="3"/>
  <c r="AQ447" i="3"/>
  <c r="B447" i="3"/>
  <c r="A448" i="3"/>
  <c r="C447" i="3"/>
  <c r="D447" i="3"/>
  <c r="F447" i="3"/>
  <c r="BM447" i="3" s="1"/>
  <c r="G447" i="3"/>
  <c r="H447" i="3" s="1"/>
  <c r="BN447" i="3" s="1"/>
  <c r="Q447" i="3"/>
  <c r="S447" i="3"/>
  <c r="O447" i="3"/>
  <c r="U447" i="3"/>
  <c r="AE447" i="3"/>
  <c r="AM447" i="3"/>
  <c r="AK447" i="3"/>
  <c r="AO447" i="3" s="1"/>
  <c r="AD447" i="3"/>
  <c r="M447" i="3"/>
  <c r="AF447" i="3"/>
  <c r="P447" i="3"/>
  <c r="T447" i="3"/>
  <c r="R447" i="3"/>
  <c r="V447" i="3"/>
  <c r="Y446" i="3"/>
  <c r="Z446" i="3" s="1"/>
  <c r="AV445" i="3"/>
  <c r="AN446" i="3"/>
  <c r="AX446" i="3" s="1"/>
  <c r="AU446" i="3"/>
  <c r="BA444" i="3"/>
  <c r="AV444" i="3"/>
  <c r="BC444" i="3" s="1"/>
  <c r="BC445" i="3" l="1"/>
  <c r="AH447" i="3"/>
  <c r="BA445" i="3"/>
  <c r="AW446" i="3"/>
  <c r="AY446" i="3" s="1"/>
  <c r="Y447" i="3"/>
  <c r="Z447" i="3" s="1"/>
  <c r="AG447" i="3"/>
  <c r="BD445" i="3"/>
  <c r="BG445" i="3"/>
  <c r="BH445" i="3" s="1"/>
  <c r="BI445" i="3" s="1"/>
  <c r="AN447" i="3"/>
  <c r="BD444" i="3"/>
  <c r="BG444" i="3"/>
  <c r="BH444" i="3" s="1"/>
  <c r="BI444" i="3" s="1"/>
  <c r="BB444" i="3"/>
  <c r="BF444" i="3"/>
  <c r="BJ443" i="3" s="1"/>
  <c r="BK443" i="3" s="1"/>
  <c r="BQ444" i="3"/>
  <c r="X447" i="3"/>
  <c r="D448" i="3"/>
  <c r="B448" i="3"/>
  <c r="AQ448" i="3"/>
  <c r="C448" i="3"/>
  <c r="AR448" i="3"/>
  <c r="A449" i="3"/>
  <c r="F448" i="3"/>
  <c r="BM448" i="3" s="1"/>
  <c r="G448" i="3"/>
  <c r="H448" i="3" s="1"/>
  <c r="S448" i="3"/>
  <c r="Q448" i="3"/>
  <c r="O448" i="3"/>
  <c r="U448" i="3"/>
  <c r="AM448" i="3"/>
  <c r="M448" i="3"/>
  <c r="AK448" i="3"/>
  <c r="AO448" i="3" s="1"/>
  <c r="AE448" i="3"/>
  <c r="AF448" i="3"/>
  <c r="AD448" i="3"/>
  <c r="V448" i="3"/>
  <c r="T448" i="3"/>
  <c r="P448" i="3"/>
  <c r="R448" i="3"/>
  <c r="AT446" i="3"/>
  <c r="AX447" i="3" l="1"/>
  <c r="AH448" i="3"/>
  <c r="AW447" i="3"/>
  <c r="AY447" i="3" s="1"/>
  <c r="AV446" i="3"/>
  <c r="BC446" i="3" s="1"/>
  <c r="BA446" i="3"/>
  <c r="AN448" i="3"/>
  <c r="X448" i="3"/>
  <c r="AT447" i="3"/>
  <c r="C449" i="3"/>
  <c r="D449" i="3"/>
  <c r="AR449" i="3"/>
  <c r="AQ449" i="3"/>
  <c r="A450" i="3"/>
  <c r="B449" i="3"/>
  <c r="F449" i="3"/>
  <c r="BM449" i="3" s="1"/>
  <c r="G449" i="3"/>
  <c r="H449" i="3" s="1"/>
  <c r="Q449" i="3"/>
  <c r="S449" i="3"/>
  <c r="O449" i="3"/>
  <c r="U449" i="3"/>
  <c r="AE449" i="3"/>
  <c r="AM449" i="3"/>
  <c r="AK449" i="3"/>
  <c r="AF449" i="3"/>
  <c r="AD449" i="3"/>
  <c r="M449" i="3"/>
  <c r="V449" i="3"/>
  <c r="R449" i="3"/>
  <c r="P449" i="3"/>
  <c r="T449" i="3"/>
  <c r="BQ445" i="3"/>
  <c r="BB445" i="3"/>
  <c r="BF445" i="3"/>
  <c r="BJ444" i="3" s="1"/>
  <c r="BK444" i="3" s="1"/>
  <c r="Y448" i="3"/>
  <c r="Z448" i="3" s="1"/>
  <c r="AG448" i="3"/>
  <c r="BN448" i="3"/>
  <c r="AU447" i="3"/>
  <c r="AO449" i="3" l="1"/>
  <c r="BN449" i="3"/>
  <c r="AW448" i="3"/>
  <c r="AV447" i="3"/>
  <c r="BC447" i="3" s="1"/>
  <c r="BA447" i="3"/>
  <c r="AN449" i="3"/>
  <c r="AU448" i="3"/>
  <c r="AT448" i="3"/>
  <c r="AQ450" i="3"/>
  <c r="A451" i="3"/>
  <c r="B450" i="3"/>
  <c r="AR450" i="3"/>
  <c r="C450" i="3"/>
  <c r="D450" i="3"/>
  <c r="F450" i="3"/>
  <c r="BM450" i="3" s="1"/>
  <c r="G450" i="3"/>
  <c r="H450" i="3" s="1"/>
  <c r="Q450" i="3"/>
  <c r="S450" i="3"/>
  <c r="O450" i="3"/>
  <c r="U450" i="3"/>
  <c r="AE450" i="3"/>
  <c r="AK450" i="3"/>
  <c r="AM450" i="3"/>
  <c r="AN450" i="3" s="1"/>
  <c r="AD450" i="3"/>
  <c r="M450" i="3"/>
  <c r="AF450" i="3"/>
  <c r="T450" i="3"/>
  <c r="V450" i="3"/>
  <c r="R450" i="3"/>
  <c r="P450" i="3"/>
  <c r="AY448" i="3"/>
  <c r="BB446" i="3"/>
  <c r="BF446" i="3"/>
  <c r="BJ445" i="3" s="1"/>
  <c r="BK445" i="3" s="1"/>
  <c r="BQ446" i="3"/>
  <c r="AG449" i="3"/>
  <c r="AX448" i="3"/>
  <c r="X449" i="3"/>
  <c r="Y449" i="3"/>
  <c r="Z449" i="3" s="1"/>
  <c r="AH449" i="3"/>
  <c r="AX449" i="3" s="1"/>
  <c r="BD446" i="3"/>
  <c r="BG446" i="3"/>
  <c r="BH446" i="3" s="1"/>
  <c r="BI446" i="3" s="1"/>
  <c r="BN450" i="3" l="1"/>
  <c r="AH450" i="3"/>
  <c r="BA448" i="3"/>
  <c r="AV448" i="3"/>
  <c r="BC448" i="3" s="1"/>
  <c r="AU449" i="3"/>
  <c r="AW449" i="3"/>
  <c r="AY449" i="3" s="1"/>
  <c r="AO450" i="3"/>
  <c r="X450" i="3"/>
  <c r="BB447" i="3"/>
  <c r="BQ447" i="3"/>
  <c r="BF447" i="3"/>
  <c r="BJ446" i="3" s="1"/>
  <c r="BK446" i="3" s="1"/>
  <c r="AQ451" i="3"/>
  <c r="B451" i="3"/>
  <c r="A452" i="3"/>
  <c r="C451" i="3"/>
  <c r="AR451" i="3"/>
  <c r="D451" i="3"/>
  <c r="G451" i="3"/>
  <c r="H451" i="3" s="1"/>
  <c r="F451" i="3"/>
  <c r="Q451" i="3"/>
  <c r="S451" i="3"/>
  <c r="O451" i="3"/>
  <c r="U451" i="3"/>
  <c r="AK451" i="3"/>
  <c r="AO451" i="3" s="1"/>
  <c r="AE451" i="3"/>
  <c r="AM451" i="3"/>
  <c r="AF451" i="3"/>
  <c r="AD451" i="3"/>
  <c r="M451" i="3"/>
  <c r="V451" i="3"/>
  <c r="R451" i="3"/>
  <c r="T451" i="3"/>
  <c r="P451" i="3"/>
  <c r="AT449" i="3"/>
  <c r="AG450" i="3"/>
  <c r="Y450" i="3"/>
  <c r="Z450" i="3" s="1"/>
  <c r="AT450" i="3"/>
  <c r="BD447" i="3"/>
  <c r="BG447" i="3"/>
  <c r="BH447" i="3" s="1"/>
  <c r="BI447" i="3" s="1"/>
  <c r="AG451" i="3" l="1"/>
  <c r="AW450" i="3"/>
  <c r="X451" i="3"/>
  <c r="Y451" i="3"/>
  <c r="Z451" i="3" s="1"/>
  <c r="BD448" i="3"/>
  <c r="BG448" i="3"/>
  <c r="BH448" i="3" s="1"/>
  <c r="BI448" i="3" s="1"/>
  <c r="D452" i="3"/>
  <c r="C452" i="3"/>
  <c r="A453" i="3"/>
  <c r="AQ452" i="3"/>
  <c r="AR452" i="3"/>
  <c r="B452" i="3"/>
  <c r="F452" i="3"/>
  <c r="G452" i="3"/>
  <c r="H452" i="3" s="1"/>
  <c r="S452" i="3"/>
  <c r="Q452" i="3"/>
  <c r="O452" i="3"/>
  <c r="U452" i="3"/>
  <c r="AM452" i="3"/>
  <c r="AF452" i="3"/>
  <c r="AK452" i="3"/>
  <c r="AO452" i="3" s="1"/>
  <c r="AD452" i="3"/>
  <c r="M452" i="3"/>
  <c r="AE452" i="3"/>
  <c r="V452" i="3"/>
  <c r="P452" i="3"/>
  <c r="T452" i="3"/>
  <c r="R452" i="3"/>
  <c r="AH451" i="3"/>
  <c r="BA449" i="3"/>
  <c r="AV449" i="3"/>
  <c r="BC449" i="3" s="1"/>
  <c r="BM451" i="3"/>
  <c r="BB448" i="3"/>
  <c r="BF448" i="3"/>
  <c r="BJ447" i="3" s="1"/>
  <c r="BK447" i="3" s="1"/>
  <c r="BQ448" i="3"/>
  <c r="AU450" i="3"/>
  <c r="AV450" i="3" s="1"/>
  <c r="AN451" i="3"/>
  <c r="BN451" i="3"/>
  <c r="AX450" i="3"/>
  <c r="BA450" i="3" s="1"/>
  <c r="BM452" i="3" l="1"/>
  <c r="BN452" i="3"/>
  <c r="AX451" i="3"/>
  <c r="AY450" i="3"/>
  <c r="BC450" i="3" s="1"/>
  <c r="BF450" i="3"/>
  <c r="BQ450" i="3"/>
  <c r="BB450" i="3"/>
  <c r="Y452" i="3"/>
  <c r="Z452" i="3" s="1"/>
  <c r="AN452" i="3"/>
  <c r="X452" i="3"/>
  <c r="A454" i="3"/>
  <c r="B453" i="3"/>
  <c r="AQ453" i="3"/>
  <c r="AR453" i="3"/>
  <c r="C453" i="3"/>
  <c r="D453" i="3"/>
  <c r="G453" i="3"/>
  <c r="H453" i="3" s="1"/>
  <c r="F453" i="3"/>
  <c r="Q453" i="3"/>
  <c r="S453" i="3"/>
  <c r="O453" i="3"/>
  <c r="U453" i="3"/>
  <c r="AK453" i="3"/>
  <c r="M453" i="3"/>
  <c r="AM453" i="3"/>
  <c r="AD453" i="3"/>
  <c r="AF453" i="3"/>
  <c r="AE453" i="3"/>
  <c r="P453" i="3"/>
  <c r="R453" i="3"/>
  <c r="V453" i="3"/>
  <c r="T453" i="3"/>
  <c r="AG452" i="3"/>
  <c r="BD449" i="3"/>
  <c r="BG449" i="3"/>
  <c r="BH449" i="3" s="1"/>
  <c r="BI449" i="3" s="1"/>
  <c r="AT451" i="3"/>
  <c r="AW451" i="3"/>
  <c r="AU451" i="3"/>
  <c r="BB449" i="3"/>
  <c r="BQ449" i="3"/>
  <c r="BF449" i="3"/>
  <c r="BJ448" i="3" s="1"/>
  <c r="BK448" i="3" s="1"/>
  <c r="AH452" i="3"/>
  <c r="AX452" i="3" s="1"/>
  <c r="AY451" i="3" l="1"/>
  <c r="AO453" i="3"/>
  <c r="AG453" i="3"/>
  <c r="BD450" i="3"/>
  <c r="BG450" i="3"/>
  <c r="BH450" i="3" s="1"/>
  <c r="BI450" i="3" s="1"/>
  <c r="Y453" i="3"/>
  <c r="Z453" i="3" s="1"/>
  <c r="AU452" i="3"/>
  <c r="AV451" i="3"/>
  <c r="BC451" i="3" s="1"/>
  <c r="BA451" i="3"/>
  <c r="AT452" i="3"/>
  <c r="BM453" i="3"/>
  <c r="AH453" i="3"/>
  <c r="AW452" i="3"/>
  <c r="AY452" i="3" s="1"/>
  <c r="AN453" i="3"/>
  <c r="BN453" i="3"/>
  <c r="X453" i="3"/>
  <c r="B454" i="3"/>
  <c r="AQ454" i="3"/>
  <c r="AR454" i="3"/>
  <c r="D454" i="3"/>
  <c r="A455" i="3"/>
  <c r="C454" i="3"/>
  <c r="G454" i="3"/>
  <c r="H454" i="3" s="1"/>
  <c r="BN454" i="3" s="1"/>
  <c r="F454" i="3"/>
  <c r="BM454" i="3" s="1"/>
  <c r="Q454" i="3"/>
  <c r="S454" i="3"/>
  <c r="O454" i="3"/>
  <c r="U454" i="3"/>
  <c r="AD454" i="3"/>
  <c r="AE454" i="3"/>
  <c r="AM454" i="3"/>
  <c r="AF454" i="3"/>
  <c r="M454" i="3"/>
  <c r="AK454" i="3"/>
  <c r="V454" i="3"/>
  <c r="T454" i="3"/>
  <c r="P454" i="3"/>
  <c r="R454" i="3"/>
  <c r="BJ449" i="3"/>
  <c r="BK449" i="3" s="1"/>
  <c r="AW453" i="3" l="1"/>
  <c r="AH454" i="3"/>
  <c r="AU453" i="3"/>
  <c r="AO454" i="3"/>
  <c r="BA452" i="3"/>
  <c r="AV452" i="3"/>
  <c r="BC452" i="3" s="1"/>
  <c r="AN454" i="3"/>
  <c r="AR455" i="3"/>
  <c r="C455" i="3"/>
  <c r="D455" i="3"/>
  <c r="B455" i="3"/>
  <c r="AQ455" i="3"/>
  <c r="A456" i="3"/>
  <c r="F455" i="3"/>
  <c r="G455" i="3"/>
  <c r="H455" i="3" s="1"/>
  <c r="S455" i="3"/>
  <c r="Q455" i="3"/>
  <c r="O455" i="3"/>
  <c r="U455" i="3"/>
  <c r="AF455" i="3"/>
  <c r="AK455" i="3"/>
  <c r="AM455" i="3"/>
  <c r="AN455" i="3" s="1"/>
  <c r="AE455" i="3"/>
  <c r="AD455" i="3"/>
  <c r="M455" i="3"/>
  <c r="R455" i="3"/>
  <c r="V455" i="3"/>
  <c r="P455" i="3"/>
  <c r="T455" i="3"/>
  <c r="BD451" i="3"/>
  <c r="BG451" i="3"/>
  <c r="BH451" i="3" s="1"/>
  <c r="BI451" i="3" s="1"/>
  <c r="AG454" i="3"/>
  <c r="BB451" i="3"/>
  <c r="BQ451" i="3"/>
  <c r="BF451" i="3"/>
  <c r="BJ450" i="3" s="1"/>
  <c r="BK450" i="3" s="1"/>
  <c r="X454" i="3"/>
  <c r="Y454" i="3"/>
  <c r="Z454" i="3" s="1"/>
  <c r="AX453" i="3"/>
  <c r="AY453" i="3" s="1"/>
  <c r="AT453" i="3"/>
  <c r="AW454" i="3" l="1"/>
  <c r="AH455" i="3"/>
  <c r="AX454" i="3"/>
  <c r="AY454" i="3" s="1"/>
  <c r="BD452" i="3"/>
  <c r="BG452" i="3"/>
  <c r="BH452" i="3" s="1"/>
  <c r="BI452" i="3" s="1"/>
  <c r="AT454" i="3"/>
  <c r="AG455" i="3"/>
  <c r="AW455" i="3" s="1"/>
  <c r="BA453" i="3"/>
  <c r="AV453" i="3"/>
  <c r="BC453" i="3" s="1"/>
  <c r="BN455" i="3"/>
  <c r="BM455" i="3"/>
  <c r="AU454" i="3"/>
  <c r="AO455" i="3"/>
  <c r="C456" i="3"/>
  <c r="AR456" i="3"/>
  <c r="AQ456" i="3"/>
  <c r="B456" i="3"/>
  <c r="A457" i="3"/>
  <c r="D456" i="3"/>
  <c r="F456" i="3"/>
  <c r="G456" i="3"/>
  <c r="H456" i="3" s="1"/>
  <c r="BN456" i="3" s="1"/>
  <c r="Q456" i="3"/>
  <c r="S456" i="3"/>
  <c r="O456" i="3"/>
  <c r="U456" i="3"/>
  <c r="AK456" i="3"/>
  <c r="AE456" i="3"/>
  <c r="M456" i="3"/>
  <c r="AM456" i="3"/>
  <c r="AF456" i="3"/>
  <c r="AD456" i="3"/>
  <c r="AH456" i="3" s="1"/>
  <c r="P456" i="3"/>
  <c r="V456" i="3"/>
  <c r="T456" i="3"/>
  <c r="R456" i="3"/>
  <c r="BF452" i="3"/>
  <c r="BJ451" i="3" s="1"/>
  <c r="BK451" i="3" s="1"/>
  <c r="BB452" i="3"/>
  <c r="BQ452" i="3"/>
  <c r="Y455" i="3"/>
  <c r="Z455" i="3" s="1"/>
  <c r="X455" i="3"/>
  <c r="BM456" i="3" l="1"/>
  <c r="AN456" i="3"/>
  <c r="X456" i="3"/>
  <c r="AV454" i="3"/>
  <c r="BC454" i="3" s="1"/>
  <c r="BA454" i="3"/>
  <c r="AG456" i="3"/>
  <c r="AT456" i="3"/>
  <c r="AO456" i="3"/>
  <c r="A458" i="3"/>
  <c r="AR457" i="3"/>
  <c r="C457" i="3"/>
  <c r="B457" i="3"/>
  <c r="AQ457" i="3"/>
  <c r="D457" i="3"/>
  <c r="G457" i="3"/>
  <c r="H457" i="3" s="1"/>
  <c r="F457" i="3"/>
  <c r="Q457" i="3"/>
  <c r="S457" i="3"/>
  <c r="O457" i="3"/>
  <c r="U457" i="3"/>
  <c r="AM457" i="3"/>
  <c r="AD457" i="3"/>
  <c r="M457" i="3"/>
  <c r="AF457" i="3"/>
  <c r="AK457" i="3"/>
  <c r="AE457" i="3"/>
  <c r="V457" i="3"/>
  <c r="P457" i="3"/>
  <c r="R457" i="3"/>
  <c r="T457" i="3"/>
  <c r="AT455" i="3"/>
  <c r="BF453" i="3"/>
  <c r="BJ452" i="3" s="1"/>
  <c r="BK452" i="3" s="1"/>
  <c r="BQ453" i="3"/>
  <c r="BB453" i="3"/>
  <c r="AU455" i="3"/>
  <c r="Y456" i="3"/>
  <c r="Z456" i="3" s="1"/>
  <c r="BD453" i="3"/>
  <c r="BG453" i="3"/>
  <c r="BH453" i="3" s="1"/>
  <c r="BI453" i="3" s="1"/>
  <c r="AX455" i="3"/>
  <c r="AY455" i="3" s="1"/>
  <c r="AW456" i="3" l="1"/>
  <c r="AN457" i="3"/>
  <c r="AH457" i="3"/>
  <c r="X457" i="3"/>
  <c r="AX456" i="3"/>
  <c r="AY456" i="3" s="1"/>
  <c r="BB454" i="3"/>
  <c r="BQ454" i="3"/>
  <c r="BF454" i="3"/>
  <c r="BJ453" i="3" s="1"/>
  <c r="BK453" i="3" s="1"/>
  <c r="BD454" i="3"/>
  <c r="BG454" i="3"/>
  <c r="BH454" i="3" s="1"/>
  <c r="BI454" i="3" s="1"/>
  <c r="AQ458" i="3"/>
  <c r="D458" i="3"/>
  <c r="C458" i="3"/>
  <c r="B458" i="3"/>
  <c r="A459" i="3"/>
  <c r="AR458" i="3"/>
  <c r="F458" i="3"/>
  <c r="G458" i="3"/>
  <c r="H458" i="3" s="1"/>
  <c r="Q458" i="3"/>
  <c r="S458" i="3"/>
  <c r="O458" i="3"/>
  <c r="U458" i="3"/>
  <c r="AF458" i="3"/>
  <c r="AD458" i="3"/>
  <c r="AM458" i="3"/>
  <c r="AK458" i="3"/>
  <c r="M458" i="3"/>
  <c r="AE458" i="3"/>
  <c r="P458" i="3"/>
  <c r="T458" i="3"/>
  <c r="V458" i="3"/>
  <c r="R458" i="3"/>
  <c r="AO457" i="3"/>
  <c r="BM457" i="3"/>
  <c r="Y457" i="3"/>
  <c r="Z457" i="3" s="1"/>
  <c r="AG457" i="3"/>
  <c r="AV455" i="3"/>
  <c r="BC455" i="3" s="1"/>
  <c r="BA455" i="3"/>
  <c r="BN457" i="3"/>
  <c r="AU456" i="3"/>
  <c r="AV456" i="3" s="1"/>
  <c r="BC456" i="3" l="1"/>
  <c r="AH458" i="3"/>
  <c r="AW457" i="3"/>
  <c r="BA456" i="3"/>
  <c r="BB456" i="3" s="1"/>
  <c r="AO458" i="3"/>
  <c r="BD456" i="3"/>
  <c r="BG456" i="3"/>
  <c r="BH456" i="3" s="1"/>
  <c r="BI456" i="3" s="1"/>
  <c r="Y458" i="3"/>
  <c r="Z458" i="3" s="1"/>
  <c r="X458" i="3"/>
  <c r="AU457" i="3"/>
  <c r="BD455" i="3"/>
  <c r="BG455" i="3"/>
  <c r="BH455" i="3" s="1"/>
  <c r="BI455" i="3" s="1"/>
  <c r="AQ459" i="3"/>
  <c r="AR459" i="3"/>
  <c r="A460" i="3"/>
  <c r="B459" i="3"/>
  <c r="D459" i="3"/>
  <c r="C459" i="3"/>
  <c r="F459" i="3"/>
  <c r="BM459" i="3" s="1"/>
  <c r="G459" i="3"/>
  <c r="H459" i="3" s="1"/>
  <c r="S459" i="3"/>
  <c r="Q459" i="3"/>
  <c r="O459" i="3"/>
  <c r="U459" i="3"/>
  <c r="AF459" i="3"/>
  <c r="AD459" i="3"/>
  <c r="AM459" i="3"/>
  <c r="AK459" i="3"/>
  <c r="M459" i="3"/>
  <c r="AE459" i="3"/>
  <c r="R459" i="3"/>
  <c r="V459" i="3"/>
  <c r="T459" i="3"/>
  <c r="P459" i="3"/>
  <c r="AX457" i="3"/>
  <c r="AY457" i="3" s="1"/>
  <c r="AG458" i="3"/>
  <c r="BN458" i="3"/>
  <c r="BB455" i="3"/>
  <c r="BF455" i="3"/>
  <c r="BJ454" i="3" s="1"/>
  <c r="BK454" i="3" s="1"/>
  <c r="BQ455" i="3"/>
  <c r="AT457" i="3"/>
  <c r="AN458" i="3"/>
  <c r="BM458" i="3"/>
  <c r="AW458" i="3" l="1"/>
  <c r="BF456" i="3"/>
  <c r="BQ456" i="3"/>
  <c r="AH459" i="3"/>
  <c r="AN459" i="3"/>
  <c r="Y459" i="3"/>
  <c r="Z459" i="3" s="1"/>
  <c r="X459" i="3"/>
  <c r="BA457" i="3"/>
  <c r="AV457" i="3"/>
  <c r="BC457" i="3" s="1"/>
  <c r="AU458" i="3"/>
  <c r="AG459" i="3"/>
  <c r="AT458" i="3"/>
  <c r="AX458" i="3"/>
  <c r="AY458" i="3" s="1"/>
  <c r="C460" i="3"/>
  <c r="B460" i="3"/>
  <c r="A461" i="3"/>
  <c r="AR460" i="3"/>
  <c r="D460" i="3"/>
  <c r="AQ460" i="3"/>
  <c r="G460" i="3"/>
  <c r="H460" i="3" s="1"/>
  <c r="BN460" i="3" s="1"/>
  <c r="F460" i="3"/>
  <c r="S460" i="3"/>
  <c r="Q460" i="3"/>
  <c r="O460" i="3"/>
  <c r="U460" i="3"/>
  <c r="AK460" i="3"/>
  <c r="AF460" i="3"/>
  <c r="AM460" i="3"/>
  <c r="AD460" i="3"/>
  <c r="AE460" i="3"/>
  <c r="M460" i="3"/>
  <c r="T460" i="3"/>
  <c r="V460" i="3"/>
  <c r="R460" i="3"/>
  <c r="P460" i="3"/>
  <c r="BJ455" i="3"/>
  <c r="BK455" i="3" s="1"/>
  <c r="AO459" i="3"/>
  <c r="BN459" i="3"/>
  <c r="X460" i="3" l="1"/>
  <c r="AN460" i="3"/>
  <c r="AW459" i="3"/>
  <c r="AG460" i="3"/>
  <c r="BF457" i="3"/>
  <c r="BJ456" i="3" s="1"/>
  <c r="BK456" i="3" s="1"/>
  <c r="BQ457" i="3"/>
  <c r="BB457" i="3"/>
  <c r="BD457" i="3"/>
  <c r="BG457" i="3"/>
  <c r="BH457" i="3" s="1"/>
  <c r="BI457" i="3" s="1"/>
  <c r="AU459" i="3"/>
  <c r="AX459" i="3"/>
  <c r="BM460" i="3"/>
  <c r="AV458" i="3"/>
  <c r="BC458" i="3" s="1"/>
  <c r="BA458" i="3"/>
  <c r="D461" i="3"/>
  <c r="A462" i="3"/>
  <c r="C461" i="3"/>
  <c r="AR461" i="3"/>
  <c r="AQ461" i="3"/>
  <c r="B461" i="3"/>
  <c r="F461" i="3"/>
  <c r="G461" i="3"/>
  <c r="H461" i="3" s="1"/>
  <c r="Q461" i="3"/>
  <c r="S461" i="3"/>
  <c r="O461" i="3"/>
  <c r="U461" i="3"/>
  <c r="AF461" i="3"/>
  <c r="AM461" i="3"/>
  <c r="AK461" i="3"/>
  <c r="AO461" i="3" s="1"/>
  <c r="M461" i="3"/>
  <c r="AE461" i="3"/>
  <c r="AD461" i="3"/>
  <c r="V461" i="3"/>
  <c r="P461" i="3"/>
  <c r="T461" i="3"/>
  <c r="R461" i="3"/>
  <c r="AH460" i="3"/>
  <c r="AT460" i="3" s="1"/>
  <c r="AO460" i="3"/>
  <c r="Y460" i="3"/>
  <c r="Z460" i="3" s="1"/>
  <c r="AT459" i="3"/>
  <c r="AY459" i="3" l="1"/>
  <c r="Y461" i="3"/>
  <c r="Z461" i="3" s="1"/>
  <c r="AH461" i="3"/>
  <c r="AN461" i="3"/>
  <c r="AG461" i="3"/>
  <c r="AW461" i="3" s="1"/>
  <c r="BN461" i="3"/>
  <c r="AW460" i="3"/>
  <c r="BM461" i="3"/>
  <c r="BQ458" i="3"/>
  <c r="BF458" i="3"/>
  <c r="BJ457" i="3" s="1"/>
  <c r="BK457" i="3" s="1"/>
  <c r="BB458" i="3"/>
  <c r="BD458" i="3"/>
  <c r="BG458" i="3"/>
  <c r="BH458" i="3" s="1"/>
  <c r="BI458" i="3" s="1"/>
  <c r="B462" i="3"/>
  <c r="A463" i="3"/>
  <c r="AR462" i="3"/>
  <c r="AQ462" i="3"/>
  <c r="D462" i="3"/>
  <c r="C462" i="3"/>
  <c r="G462" i="3"/>
  <c r="H462" i="3" s="1"/>
  <c r="BN462" i="3" s="1"/>
  <c r="F462" i="3"/>
  <c r="BM462" i="3" s="1"/>
  <c r="S462" i="3"/>
  <c r="Q462" i="3"/>
  <c r="O462" i="3"/>
  <c r="U462" i="3"/>
  <c r="AM462" i="3"/>
  <c r="AK462" i="3"/>
  <c r="AO462" i="3" s="1"/>
  <c r="AF462" i="3"/>
  <c r="AD462" i="3"/>
  <c r="AE462" i="3"/>
  <c r="AG462" i="3" s="1"/>
  <c r="M462" i="3"/>
  <c r="V462" i="3"/>
  <c r="P462" i="3"/>
  <c r="T462" i="3"/>
  <c r="R462" i="3"/>
  <c r="AX460" i="3"/>
  <c r="AU461" i="3"/>
  <c r="AU460" i="3"/>
  <c r="BA459" i="3"/>
  <c r="AV459" i="3"/>
  <c r="BC459" i="3" s="1"/>
  <c r="X461" i="3"/>
  <c r="BA460" i="3" l="1"/>
  <c r="Y462" i="3"/>
  <c r="Z462" i="3" s="1"/>
  <c r="AX461" i="3"/>
  <c r="AY461" i="3" s="1"/>
  <c r="AT461" i="3"/>
  <c r="BB460" i="3"/>
  <c r="BF460" i="3"/>
  <c r="BQ460" i="3"/>
  <c r="AY460" i="3"/>
  <c r="AR463" i="3"/>
  <c r="A464" i="3"/>
  <c r="C463" i="3"/>
  <c r="AQ463" i="3"/>
  <c r="D463" i="3"/>
  <c r="B463" i="3"/>
  <c r="G463" i="3"/>
  <c r="H463" i="3" s="1"/>
  <c r="BN463" i="3" s="1"/>
  <c r="F463" i="3"/>
  <c r="BM463" i="3" s="1"/>
  <c r="S463" i="3"/>
  <c r="Q463" i="3"/>
  <c r="O463" i="3"/>
  <c r="U463" i="3"/>
  <c r="AM463" i="3"/>
  <c r="AK463" i="3"/>
  <c r="AO463" i="3" s="1"/>
  <c r="AF463" i="3"/>
  <c r="AD463" i="3"/>
  <c r="AE463" i="3"/>
  <c r="M463" i="3"/>
  <c r="R463" i="3"/>
  <c r="V463" i="3"/>
  <c r="T463" i="3"/>
  <c r="P463" i="3"/>
  <c r="AV461" i="3"/>
  <c r="BA461" i="3"/>
  <c r="AN462" i="3"/>
  <c r="AV460" i="3"/>
  <c r="BF459" i="3"/>
  <c r="BJ458" i="3" s="1"/>
  <c r="BK458" i="3" s="1"/>
  <c r="BQ459" i="3"/>
  <c r="BB459" i="3"/>
  <c r="AH462" i="3"/>
  <c r="AT462" i="3" s="1"/>
  <c r="BD459" i="3"/>
  <c r="BG459" i="3"/>
  <c r="BH459" i="3" s="1"/>
  <c r="BI459" i="3" s="1"/>
  <c r="X462" i="3"/>
  <c r="AG463" i="3" l="1"/>
  <c r="D464" i="3"/>
  <c r="AR464" i="3"/>
  <c r="C464" i="3"/>
  <c r="A465" i="3"/>
  <c r="B464" i="3"/>
  <c r="AQ464" i="3"/>
  <c r="F464" i="3"/>
  <c r="G464" i="3"/>
  <c r="H464" i="3" s="1"/>
  <c r="Q464" i="3"/>
  <c r="S464" i="3"/>
  <c r="O464" i="3"/>
  <c r="U464" i="3"/>
  <c r="AM464" i="3"/>
  <c r="AK464" i="3"/>
  <c r="AE464" i="3"/>
  <c r="AD464" i="3"/>
  <c r="M464" i="3"/>
  <c r="AF464" i="3"/>
  <c r="P464" i="3"/>
  <c r="V464" i="3"/>
  <c r="R464" i="3"/>
  <c r="T464" i="3"/>
  <c r="BC461" i="3"/>
  <c r="AX462" i="3"/>
  <c r="BF461" i="3"/>
  <c r="BQ461" i="3"/>
  <c r="BB461" i="3"/>
  <c r="X463" i="3"/>
  <c r="BJ459" i="3"/>
  <c r="BK459" i="3" s="1"/>
  <c r="AH463" i="3"/>
  <c r="AT463" i="3" s="1"/>
  <c r="AW462" i="3"/>
  <c r="AN463" i="3"/>
  <c r="AU462" i="3"/>
  <c r="BC460" i="3"/>
  <c r="Y463" i="3"/>
  <c r="Z463" i="3" s="1"/>
  <c r="X464" i="3" l="1"/>
  <c r="AN464" i="3"/>
  <c r="AH464" i="3"/>
  <c r="BA462" i="3"/>
  <c r="BF462" i="3" s="1"/>
  <c r="BJ461" i="3" s="1"/>
  <c r="BK461" i="3" s="1"/>
  <c r="AW463" i="3"/>
  <c r="BQ462" i="3"/>
  <c r="BB462" i="3"/>
  <c r="Y464" i="3"/>
  <c r="Z464" i="3" s="1"/>
  <c r="AY462" i="3"/>
  <c r="BN464" i="3"/>
  <c r="BJ460" i="3"/>
  <c r="BK460" i="3" s="1"/>
  <c r="AG464" i="3"/>
  <c r="AX464" i="3" s="1"/>
  <c r="BD460" i="3"/>
  <c r="BG460" i="3"/>
  <c r="BH460" i="3" s="1"/>
  <c r="BI460" i="3" s="1"/>
  <c r="AQ465" i="3"/>
  <c r="B465" i="3"/>
  <c r="AR465" i="3"/>
  <c r="A466" i="3"/>
  <c r="D465" i="3"/>
  <c r="C465" i="3"/>
  <c r="F465" i="3"/>
  <c r="BM465" i="3" s="1"/>
  <c r="G465" i="3"/>
  <c r="H465" i="3" s="1"/>
  <c r="BN465" i="3" s="1"/>
  <c r="Q465" i="3"/>
  <c r="S465" i="3"/>
  <c r="O465" i="3"/>
  <c r="U465" i="3"/>
  <c r="AK465" i="3"/>
  <c r="AF465" i="3"/>
  <c r="AM465" i="3"/>
  <c r="AN465" i="3" s="1"/>
  <c r="AD465" i="3"/>
  <c r="AE465" i="3"/>
  <c r="M465" i="3"/>
  <c r="R465" i="3"/>
  <c r="V465" i="3"/>
  <c r="P465" i="3"/>
  <c r="T465" i="3"/>
  <c r="AX463" i="3"/>
  <c r="AY463" i="3" s="1"/>
  <c r="BD461" i="3"/>
  <c r="BG461" i="3"/>
  <c r="BH461" i="3" s="1"/>
  <c r="BI461" i="3" s="1"/>
  <c r="BM464" i="3"/>
  <c r="AV462" i="3"/>
  <c r="BC462" i="3" s="1"/>
  <c r="AU463" i="3"/>
  <c r="AO464" i="3"/>
  <c r="AU464" i="3"/>
  <c r="AH465" i="3" l="1"/>
  <c r="AT464" i="3"/>
  <c r="AV464" i="3" s="1"/>
  <c r="BA463" i="3"/>
  <c r="BB463" i="3" s="1"/>
  <c r="BQ463" i="3"/>
  <c r="BF463" i="3"/>
  <c r="BJ462" i="3" s="1"/>
  <c r="BK462" i="3" s="1"/>
  <c r="AW464" i="3"/>
  <c r="AY464" i="3" s="1"/>
  <c r="BD462" i="3"/>
  <c r="BG462" i="3"/>
  <c r="BH462" i="3" s="1"/>
  <c r="BI462" i="3" s="1"/>
  <c r="AV463" i="3"/>
  <c r="BC463" i="3" s="1"/>
  <c r="Y465" i="3"/>
  <c r="Z465" i="3" s="1"/>
  <c r="AQ466" i="3"/>
  <c r="AR466" i="3"/>
  <c r="D466" i="3"/>
  <c r="A467" i="3"/>
  <c r="B466" i="3"/>
  <c r="C466" i="3"/>
  <c r="G466" i="3"/>
  <c r="H466" i="3" s="1"/>
  <c r="F466" i="3"/>
  <c r="Q466" i="3"/>
  <c r="S466" i="3"/>
  <c r="O466" i="3"/>
  <c r="U466" i="3"/>
  <c r="AM466" i="3"/>
  <c r="AK466" i="3"/>
  <c r="M466" i="3"/>
  <c r="AD466" i="3"/>
  <c r="AE466" i="3"/>
  <c r="AF466" i="3"/>
  <c r="V466" i="3"/>
  <c r="P466" i="3"/>
  <c r="R466" i="3"/>
  <c r="T466" i="3"/>
  <c r="AO465" i="3"/>
  <c r="X465" i="3"/>
  <c r="AG465" i="3"/>
  <c r="AW465" i="3" s="1"/>
  <c r="AU465" i="3"/>
  <c r="BM466" i="3" l="1"/>
  <c r="AN466" i="3"/>
  <c r="X466" i="3"/>
  <c r="AQ467" i="3"/>
  <c r="AR467" i="3"/>
  <c r="C467" i="3"/>
  <c r="B467" i="3"/>
  <c r="A468" i="3"/>
  <c r="D467" i="3"/>
  <c r="G467" i="3"/>
  <c r="H467" i="3" s="1"/>
  <c r="BN467" i="3" s="1"/>
  <c r="F467" i="3"/>
  <c r="Q467" i="3"/>
  <c r="S467" i="3"/>
  <c r="O467" i="3"/>
  <c r="U467" i="3"/>
  <c r="AD467" i="3"/>
  <c r="M467" i="3"/>
  <c r="AM467" i="3"/>
  <c r="AK467" i="3"/>
  <c r="AF467" i="3"/>
  <c r="AE467" i="3"/>
  <c r="P467" i="3"/>
  <c r="T467" i="3"/>
  <c r="V467" i="3"/>
  <c r="R467" i="3"/>
  <c r="BC464" i="3"/>
  <c r="BA464" i="3"/>
  <c r="AH466" i="3"/>
  <c r="Y466" i="3"/>
  <c r="Z466" i="3" s="1"/>
  <c r="AG466" i="3"/>
  <c r="BN466" i="3"/>
  <c r="BD463" i="3"/>
  <c r="BG463" i="3"/>
  <c r="BH463" i="3" s="1"/>
  <c r="BI463" i="3" s="1"/>
  <c r="AT465" i="3"/>
  <c r="AX465" i="3"/>
  <c r="AY465" i="3" s="1"/>
  <c r="AO466" i="3"/>
  <c r="AO467" i="3" l="1"/>
  <c r="AH467" i="3"/>
  <c r="BM467" i="3"/>
  <c r="AW466" i="3"/>
  <c r="AT466" i="3"/>
  <c r="D468" i="3"/>
  <c r="AQ468" i="3"/>
  <c r="AR468" i="3"/>
  <c r="A469" i="3"/>
  <c r="B468" i="3"/>
  <c r="C468" i="3"/>
  <c r="F468" i="3"/>
  <c r="BM468" i="3" s="1"/>
  <c r="G468" i="3"/>
  <c r="H468" i="3" s="1"/>
  <c r="S468" i="3"/>
  <c r="Q468" i="3"/>
  <c r="O468" i="3"/>
  <c r="U468" i="3"/>
  <c r="AK468" i="3"/>
  <c r="AM468" i="3"/>
  <c r="AF468" i="3"/>
  <c r="AE468" i="3"/>
  <c r="M468" i="3"/>
  <c r="AD468" i="3"/>
  <c r="V468" i="3"/>
  <c r="T468" i="3"/>
  <c r="P468" i="3"/>
  <c r="R468" i="3"/>
  <c r="BA465" i="3"/>
  <c r="AV465" i="3"/>
  <c r="BC465" i="3" s="1"/>
  <c r="AN467" i="3"/>
  <c r="BD464" i="3"/>
  <c r="BG464" i="3"/>
  <c r="BH464" i="3" s="1"/>
  <c r="BI464" i="3" s="1"/>
  <c r="Y467" i="3"/>
  <c r="Z467" i="3" s="1"/>
  <c r="AX466" i="3"/>
  <c r="AU466" i="3"/>
  <c r="X467" i="3"/>
  <c r="BF464" i="3"/>
  <c r="BJ463" i="3" s="1"/>
  <c r="BK463" i="3" s="1"/>
  <c r="BQ464" i="3"/>
  <c r="BB464" i="3"/>
  <c r="AG467" i="3"/>
  <c r="AW467" i="3" s="1"/>
  <c r="BN468" i="3" l="1"/>
  <c r="AY466" i="3"/>
  <c r="AO468" i="3"/>
  <c r="AH468" i="3"/>
  <c r="X468" i="3"/>
  <c r="AX467" i="3"/>
  <c r="AY467" i="3" s="1"/>
  <c r="BG465" i="3"/>
  <c r="BH465" i="3" s="1"/>
  <c r="BI465" i="3" s="1"/>
  <c r="BD465" i="3"/>
  <c r="BA466" i="3"/>
  <c r="AV466" i="3"/>
  <c r="BC466" i="3" s="1"/>
  <c r="BB465" i="3"/>
  <c r="BF465" i="3"/>
  <c r="BJ464" i="3" s="1"/>
  <c r="BK464" i="3" s="1"/>
  <c r="BQ465" i="3"/>
  <c r="AN468" i="3"/>
  <c r="AR469" i="3"/>
  <c r="C469" i="3"/>
  <c r="B469" i="3"/>
  <c r="D469" i="3"/>
  <c r="A470" i="3"/>
  <c r="AQ469" i="3"/>
  <c r="F469" i="3"/>
  <c r="G469" i="3"/>
  <c r="H469" i="3" s="1"/>
  <c r="Q469" i="3"/>
  <c r="S469" i="3"/>
  <c r="O469" i="3"/>
  <c r="U469" i="3"/>
  <c r="AE469" i="3"/>
  <c r="AM469" i="3"/>
  <c r="AK469" i="3"/>
  <c r="AF469" i="3"/>
  <c r="AD469" i="3"/>
  <c r="M469" i="3"/>
  <c r="V469" i="3"/>
  <c r="T469" i="3"/>
  <c r="R469" i="3"/>
  <c r="P469" i="3"/>
  <c r="Y468" i="3"/>
  <c r="Z468" i="3" s="1"/>
  <c r="AT467" i="3"/>
  <c r="AG468" i="3"/>
  <c r="AW468" i="3" s="1"/>
  <c r="AU467" i="3"/>
  <c r="AX468" i="3" l="1"/>
  <c r="AN469" i="3"/>
  <c r="AG469" i="3"/>
  <c r="X469" i="3"/>
  <c r="AY468" i="3"/>
  <c r="BF466" i="3"/>
  <c r="BJ465" i="3" s="1"/>
  <c r="BK465" i="3" s="1"/>
  <c r="BB466" i="3"/>
  <c r="BQ466" i="3"/>
  <c r="BN469" i="3"/>
  <c r="B470" i="3"/>
  <c r="A471" i="3"/>
  <c r="C470" i="3"/>
  <c r="AR470" i="3"/>
  <c r="D470" i="3"/>
  <c r="AQ470" i="3"/>
  <c r="G470" i="3"/>
  <c r="H470" i="3" s="1"/>
  <c r="F470" i="3"/>
  <c r="Q470" i="3"/>
  <c r="S470" i="3"/>
  <c r="O470" i="3"/>
  <c r="U470" i="3"/>
  <c r="AD470" i="3"/>
  <c r="AK470" i="3"/>
  <c r="AM470" i="3"/>
  <c r="AF470" i="3"/>
  <c r="AE470" i="3"/>
  <c r="M470" i="3"/>
  <c r="V470" i="3"/>
  <c r="T470" i="3"/>
  <c r="P470" i="3"/>
  <c r="R470" i="3"/>
  <c r="BD466" i="3"/>
  <c r="BG466" i="3"/>
  <c r="BH466" i="3" s="1"/>
  <c r="BI466" i="3" s="1"/>
  <c r="AH469" i="3"/>
  <c r="BA467" i="3"/>
  <c r="AV467" i="3"/>
  <c r="BC467" i="3" s="1"/>
  <c r="AO469" i="3"/>
  <c r="BM469" i="3"/>
  <c r="AU468" i="3"/>
  <c r="Y469" i="3"/>
  <c r="Z469" i="3" s="1"/>
  <c r="AT468" i="3"/>
  <c r="AN470" i="3" l="1"/>
  <c r="BN470" i="3"/>
  <c r="AU469" i="3"/>
  <c r="Y470" i="3"/>
  <c r="Z470" i="3" s="1"/>
  <c r="AX469" i="3"/>
  <c r="AG470" i="3"/>
  <c r="AV468" i="3"/>
  <c r="BC468" i="3" s="1"/>
  <c r="BA468" i="3"/>
  <c r="BD467" i="3"/>
  <c r="BG467" i="3"/>
  <c r="BH467" i="3" s="1"/>
  <c r="BI467" i="3" s="1"/>
  <c r="BQ467" i="3"/>
  <c r="BB467" i="3"/>
  <c r="BF467" i="3"/>
  <c r="BJ466" i="3" s="1"/>
  <c r="BK466" i="3" s="1"/>
  <c r="AR471" i="3"/>
  <c r="B471" i="3"/>
  <c r="AQ471" i="3"/>
  <c r="C471" i="3"/>
  <c r="A472" i="3"/>
  <c r="D471" i="3"/>
  <c r="F471" i="3"/>
  <c r="G471" i="3"/>
  <c r="H471" i="3" s="1"/>
  <c r="BN471" i="3" s="1"/>
  <c r="Q471" i="3"/>
  <c r="S471" i="3"/>
  <c r="O471" i="3"/>
  <c r="U471" i="3"/>
  <c r="AE471" i="3"/>
  <c r="AD471" i="3"/>
  <c r="AM471" i="3"/>
  <c r="AK471" i="3"/>
  <c r="AO471" i="3" s="1"/>
  <c r="AF471" i="3"/>
  <c r="M471" i="3"/>
  <c r="P471" i="3"/>
  <c r="V471" i="3"/>
  <c r="R471" i="3"/>
  <c r="T471" i="3"/>
  <c r="BM470" i="3"/>
  <c r="AW469" i="3"/>
  <c r="AY469" i="3" s="1"/>
  <c r="AO470" i="3"/>
  <c r="AH470" i="3"/>
  <c r="AX470" i="3" s="1"/>
  <c r="X470" i="3"/>
  <c r="AT469" i="3"/>
  <c r="AT470" i="3" l="1"/>
  <c r="BM471" i="3"/>
  <c r="AG471" i="3"/>
  <c r="AW470" i="3"/>
  <c r="AY470" i="3" s="1"/>
  <c r="BA469" i="3"/>
  <c r="AV469" i="3"/>
  <c r="BC469" i="3" s="1"/>
  <c r="AN471" i="3"/>
  <c r="AH471" i="3"/>
  <c r="AX471" i="3" s="1"/>
  <c r="D472" i="3"/>
  <c r="A473" i="3"/>
  <c r="C472" i="3"/>
  <c r="AQ472" i="3"/>
  <c r="AR472" i="3"/>
  <c r="B472" i="3"/>
  <c r="G472" i="3"/>
  <c r="H472" i="3" s="1"/>
  <c r="F472" i="3"/>
  <c r="Q472" i="3"/>
  <c r="S472" i="3"/>
  <c r="O472" i="3"/>
  <c r="U472" i="3"/>
  <c r="AE472" i="3"/>
  <c r="AF472" i="3"/>
  <c r="AK472" i="3"/>
  <c r="AM472" i="3"/>
  <c r="AD472" i="3"/>
  <c r="M472" i="3"/>
  <c r="V472" i="3"/>
  <c r="P472" i="3"/>
  <c r="R472" i="3"/>
  <c r="T472" i="3"/>
  <c r="Y471" i="3"/>
  <c r="Z471" i="3" s="1"/>
  <c r="X471" i="3"/>
  <c r="AU470" i="3"/>
  <c r="AV470" i="3" s="1"/>
  <c r="BF468" i="3"/>
  <c r="BJ467" i="3" s="1"/>
  <c r="BK467" i="3" s="1"/>
  <c r="BB468" i="3"/>
  <c r="BQ468" i="3"/>
  <c r="BG468" i="3"/>
  <c r="BH468" i="3" s="1"/>
  <c r="BI468" i="3" s="1"/>
  <c r="BD468" i="3"/>
  <c r="BC470" i="3" l="1"/>
  <c r="BN472" i="3"/>
  <c r="AO472" i="3"/>
  <c r="X472" i="3"/>
  <c r="BD470" i="3"/>
  <c r="BG470" i="3"/>
  <c r="BH470" i="3" s="1"/>
  <c r="BI470" i="3" s="1"/>
  <c r="AG472" i="3"/>
  <c r="AT472" i="3"/>
  <c r="BA470" i="3"/>
  <c r="Y472" i="3"/>
  <c r="Z472" i="3" s="1"/>
  <c r="AT471" i="3"/>
  <c r="B473" i="3"/>
  <c r="D473" i="3"/>
  <c r="AQ473" i="3"/>
  <c r="C473" i="3"/>
  <c r="A474" i="3"/>
  <c r="AR473" i="3"/>
  <c r="F473" i="3"/>
  <c r="G473" i="3"/>
  <c r="H473" i="3" s="1"/>
  <c r="Q473" i="3"/>
  <c r="S473" i="3"/>
  <c r="O473" i="3"/>
  <c r="U473" i="3"/>
  <c r="AD473" i="3"/>
  <c r="AF473" i="3"/>
  <c r="AE473" i="3"/>
  <c r="AM473" i="3"/>
  <c r="AK473" i="3"/>
  <c r="M473" i="3"/>
  <c r="P473" i="3"/>
  <c r="R473" i="3"/>
  <c r="V473" i="3"/>
  <c r="T473" i="3"/>
  <c r="BD469" i="3"/>
  <c r="BG469" i="3"/>
  <c r="BH469" i="3" s="1"/>
  <c r="BI469" i="3" s="1"/>
  <c r="AH472" i="3"/>
  <c r="BF469" i="3"/>
  <c r="BJ468" i="3" s="1"/>
  <c r="BK468" i="3" s="1"/>
  <c r="BQ469" i="3"/>
  <c r="BB469" i="3"/>
  <c r="AU471" i="3"/>
  <c r="AN472" i="3"/>
  <c r="BM472" i="3"/>
  <c r="AW471" i="3"/>
  <c r="AY471" i="3" s="1"/>
  <c r="BN473" i="3" l="1"/>
  <c r="Y473" i="3"/>
  <c r="Z473" i="3" s="1"/>
  <c r="X473" i="3"/>
  <c r="AU472" i="3"/>
  <c r="AW472" i="3"/>
  <c r="AN473" i="3"/>
  <c r="BA471" i="3"/>
  <c r="AV471" i="3"/>
  <c r="BC471" i="3" s="1"/>
  <c r="AG473" i="3"/>
  <c r="BM473" i="3"/>
  <c r="AH473" i="3"/>
  <c r="BF470" i="3"/>
  <c r="BJ469" i="3" s="1"/>
  <c r="BK469" i="3" s="1"/>
  <c r="BB470" i="3"/>
  <c r="BQ470" i="3"/>
  <c r="AQ474" i="3"/>
  <c r="B474" i="3"/>
  <c r="A475" i="3"/>
  <c r="C474" i="3"/>
  <c r="AR474" i="3"/>
  <c r="D474" i="3"/>
  <c r="F474" i="3"/>
  <c r="BM474" i="3" s="1"/>
  <c r="G474" i="3"/>
  <c r="H474" i="3" s="1"/>
  <c r="Q474" i="3"/>
  <c r="S474" i="3"/>
  <c r="O474" i="3"/>
  <c r="U474" i="3"/>
  <c r="AM474" i="3"/>
  <c r="AD474" i="3"/>
  <c r="AK474" i="3"/>
  <c r="AO474" i="3" s="1"/>
  <c r="AF474" i="3"/>
  <c r="M474" i="3"/>
  <c r="AE474" i="3"/>
  <c r="P474" i="3"/>
  <c r="T474" i="3"/>
  <c r="V474" i="3"/>
  <c r="R474" i="3"/>
  <c r="AV472" i="3"/>
  <c r="AX472" i="3"/>
  <c r="AO473" i="3"/>
  <c r="AT473" i="3" l="1"/>
  <c r="AY472" i="3"/>
  <c r="BA472" i="3"/>
  <c r="AH474" i="3"/>
  <c r="Y474" i="3"/>
  <c r="Z474" i="3" s="1"/>
  <c r="BF472" i="3"/>
  <c r="BB472" i="3"/>
  <c r="BQ472" i="3"/>
  <c r="X474" i="3"/>
  <c r="AN474" i="3"/>
  <c r="AX473" i="3"/>
  <c r="AQ475" i="3"/>
  <c r="C475" i="3"/>
  <c r="D475" i="3"/>
  <c r="A476" i="3"/>
  <c r="AR475" i="3"/>
  <c r="B475" i="3"/>
  <c r="G475" i="3"/>
  <c r="H475" i="3" s="1"/>
  <c r="F475" i="3"/>
  <c r="Q475" i="3"/>
  <c r="S475" i="3"/>
  <c r="O475" i="3"/>
  <c r="U475" i="3"/>
  <c r="AK475" i="3"/>
  <c r="AE475" i="3"/>
  <c r="AM475" i="3"/>
  <c r="AD475" i="3"/>
  <c r="AF475" i="3"/>
  <c r="M475" i="3"/>
  <c r="T475" i="3"/>
  <c r="V475" i="3"/>
  <c r="R475" i="3"/>
  <c r="P475" i="3"/>
  <c r="AG474" i="3"/>
  <c r="AW473" i="3"/>
  <c r="AU473" i="3"/>
  <c r="BD471" i="3"/>
  <c r="BG471" i="3"/>
  <c r="BH471" i="3" s="1"/>
  <c r="BI471" i="3" s="1"/>
  <c r="BC472" i="3"/>
  <c r="BN474" i="3"/>
  <c r="BQ471" i="3"/>
  <c r="BF471" i="3"/>
  <c r="BJ470" i="3" s="1"/>
  <c r="BK470" i="3" s="1"/>
  <c r="BB471" i="3"/>
  <c r="AG475" i="3" l="1"/>
  <c r="BM475" i="3"/>
  <c r="BN475" i="3"/>
  <c r="AW474" i="3"/>
  <c r="AN475" i="3"/>
  <c r="AX474" i="3"/>
  <c r="AY474" i="3" s="1"/>
  <c r="BA473" i="3"/>
  <c r="BQ473" i="3" s="1"/>
  <c r="BJ471" i="3"/>
  <c r="BK471" i="3" s="1"/>
  <c r="BD472" i="3"/>
  <c r="BG472" i="3"/>
  <c r="BH472" i="3" s="1"/>
  <c r="BI472" i="3" s="1"/>
  <c r="AV473" i="3"/>
  <c r="AO475" i="3"/>
  <c r="Y475" i="3"/>
  <c r="Z475" i="3" s="1"/>
  <c r="D476" i="3"/>
  <c r="AQ476" i="3"/>
  <c r="B476" i="3"/>
  <c r="AR476" i="3"/>
  <c r="A477" i="3"/>
  <c r="C476" i="3"/>
  <c r="F476" i="3"/>
  <c r="BM476" i="3" s="1"/>
  <c r="G476" i="3"/>
  <c r="H476" i="3" s="1"/>
  <c r="S476" i="3"/>
  <c r="Q476" i="3"/>
  <c r="O476" i="3"/>
  <c r="U476" i="3"/>
  <c r="M476" i="3"/>
  <c r="AK476" i="3"/>
  <c r="AM476" i="3"/>
  <c r="AN476" i="3" s="1"/>
  <c r="AD476" i="3"/>
  <c r="AF476" i="3"/>
  <c r="AE476" i="3"/>
  <c r="V476" i="3"/>
  <c r="R476" i="3"/>
  <c r="T476" i="3"/>
  <c r="P476" i="3"/>
  <c r="AT474" i="3"/>
  <c r="AU474" i="3"/>
  <c r="X475" i="3"/>
  <c r="AH475" i="3"/>
  <c r="AU475" i="3" s="1"/>
  <c r="AY473" i="3"/>
  <c r="BN476" i="3" l="1"/>
  <c r="BB473" i="3"/>
  <c r="BF473" i="3"/>
  <c r="BJ472" i="3" s="1"/>
  <c r="BK472" i="3" s="1"/>
  <c r="AH476" i="3"/>
  <c r="AW475" i="3"/>
  <c r="BC473" i="3"/>
  <c r="AX475" i="3"/>
  <c r="AY475" i="3" s="1"/>
  <c r="AO476" i="3"/>
  <c r="AX476" i="3" s="1"/>
  <c r="B477" i="3"/>
  <c r="A478" i="3"/>
  <c r="C477" i="3"/>
  <c r="AQ477" i="3"/>
  <c r="AR477" i="3"/>
  <c r="D477" i="3"/>
  <c r="G477" i="3"/>
  <c r="H477" i="3" s="1"/>
  <c r="F477" i="3"/>
  <c r="Q477" i="3"/>
  <c r="S477" i="3"/>
  <c r="O477" i="3"/>
  <c r="U477" i="3"/>
  <c r="M477" i="3"/>
  <c r="AM477" i="3"/>
  <c r="AF477" i="3"/>
  <c r="AD477" i="3"/>
  <c r="AK477" i="3"/>
  <c r="AE477" i="3"/>
  <c r="V477" i="3"/>
  <c r="R477" i="3"/>
  <c r="P477" i="3"/>
  <c r="T477" i="3"/>
  <c r="BD473" i="3"/>
  <c r="BG473" i="3"/>
  <c r="BH473" i="3" s="1"/>
  <c r="BI473" i="3" s="1"/>
  <c r="X476" i="3"/>
  <c r="Y476" i="3"/>
  <c r="Z476" i="3" s="1"/>
  <c r="AT475" i="3"/>
  <c r="AG476" i="3"/>
  <c r="BA474" i="3"/>
  <c r="AV474" i="3"/>
  <c r="BC474" i="3" s="1"/>
  <c r="AO477" i="3" l="1"/>
  <c r="AG477" i="3"/>
  <c r="AW476" i="3"/>
  <c r="AY476" i="3" s="1"/>
  <c r="BA475" i="3"/>
  <c r="AV475" i="3"/>
  <c r="BC475" i="3" s="1"/>
  <c r="X477" i="3"/>
  <c r="B478" i="3"/>
  <c r="C478" i="3"/>
  <c r="D478" i="3"/>
  <c r="AR478" i="3"/>
  <c r="A479" i="3"/>
  <c r="AQ478" i="3"/>
  <c r="F478" i="3"/>
  <c r="G478" i="3"/>
  <c r="H478" i="3" s="1"/>
  <c r="Q478" i="3"/>
  <c r="S478" i="3"/>
  <c r="O478" i="3"/>
  <c r="U478" i="3"/>
  <c r="AM478" i="3"/>
  <c r="AK478" i="3"/>
  <c r="AO478" i="3" s="1"/>
  <c r="AF478" i="3"/>
  <c r="AE478" i="3"/>
  <c r="M478" i="3"/>
  <c r="AD478" i="3"/>
  <c r="P478" i="3"/>
  <c r="R478" i="3"/>
  <c r="T478" i="3"/>
  <c r="V478" i="3"/>
  <c r="Y477" i="3"/>
  <c r="Z477" i="3" s="1"/>
  <c r="AH477" i="3"/>
  <c r="AT476" i="3"/>
  <c r="BD474" i="3"/>
  <c r="BG474" i="3"/>
  <c r="BH474" i="3" s="1"/>
  <c r="BI474" i="3" s="1"/>
  <c r="BM477" i="3"/>
  <c r="BQ474" i="3"/>
  <c r="BB474" i="3"/>
  <c r="BF474" i="3"/>
  <c r="BJ473" i="3" s="1"/>
  <c r="BK473" i="3" s="1"/>
  <c r="BN477" i="3"/>
  <c r="AU476" i="3"/>
  <c r="AN477" i="3"/>
  <c r="BN478" i="3" l="1"/>
  <c r="BM478" i="3"/>
  <c r="AG478" i="3"/>
  <c r="AX477" i="3"/>
  <c r="Y478" i="3"/>
  <c r="Z478" i="3" s="1"/>
  <c r="BA476" i="3"/>
  <c r="AV476" i="3"/>
  <c r="BC476" i="3" s="1"/>
  <c r="AW477" i="3"/>
  <c r="AU477" i="3"/>
  <c r="AN478" i="3"/>
  <c r="AQ479" i="3"/>
  <c r="B479" i="3"/>
  <c r="AR479" i="3"/>
  <c r="A480" i="3"/>
  <c r="C479" i="3"/>
  <c r="D479" i="3"/>
  <c r="F479" i="3"/>
  <c r="G479" i="3"/>
  <c r="H479" i="3" s="1"/>
  <c r="Q479" i="3"/>
  <c r="S479" i="3"/>
  <c r="O479" i="3"/>
  <c r="U479" i="3"/>
  <c r="AD479" i="3"/>
  <c r="AM479" i="3"/>
  <c r="AF479" i="3"/>
  <c r="AK479" i="3"/>
  <c r="AE479" i="3"/>
  <c r="M479" i="3"/>
  <c r="V479" i="3"/>
  <c r="R479" i="3"/>
  <c r="P479" i="3"/>
  <c r="T479" i="3"/>
  <c r="BD475" i="3"/>
  <c r="BG475" i="3"/>
  <c r="BH475" i="3" s="1"/>
  <c r="BI475" i="3" s="1"/>
  <c r="X478" i="3"/>
  <c r="BQ475" i="3"/>
  <c r="BB475" i="3"/>
  <c r="BF475" i="3"/>
  <c r="BJ474" i="3" s="1"/>
  <c r="BK474" i="3" s="1"/>
  <c r="AT477" i="3"/>
  <c r="AH478" i="3"/>
  <c r="AY477" i="3" l="1"/>
  <c r="BN479" i="3"/>
  <c r="AO479" i="3"/>
  <c r="BM479" i="3"/>
  <c r="AX478" i="3"/>
  <c r="AV477" i="3"/>
  <c r="BC477" i="3" s="1"/>
  <c r="BA477" i="3"/>
  <c r="AG479" i="3"/>
  <c r="AN479" i="3"/>
  <c r="AH479" i="3"/>
  <c r="X479" i="3"/>
  <c r="C480" i="3"/>
  <c r="AQ480" i="3"/>
  <c r="AR480" i="3"/>
  <c r="D480" i="3"/>
  <c r="B480" i="3"/>
  <c r="A481" i="3"/>
  <c r="G480" i="3"/>
  <c r="H480" i="3" s="1"/>
  <c r="F480" i="3"/>
  <c r="Q480" i="3"/>
  <c r="S480" i="3"/>
  <c r="O480" i="3"/>
  <c r="U480" i="3"/>
  <c r="AF480" i="3"/>
  <c r="AM480" i="3"/>
  <c r="AK480" i="3"/>
  <c r="AO480" i="3" s="1"/>
  <c r="AD480" i="3"/>
  <c r="AE480" i="3"/>
  <c r="M480" i="3"/>
  <c r="P480" i="3"/>
  <c r="V480" i="3"/>
  <c r="T480" i="3"/>
  <c r="R480" i="3"/>
  <c r="AW478" i="3"/>
  <c r="Y479" i="3"/>
  <c r="Z479" i="3" s="1"/>
  <c r="BG476" i="3"/>
  <c r="BH476" i="3" s="1"/>
  <c r="BI476" i="3" s="1"/>
  <c r="BD476" i="3"/>
  <c r="AU478" i="3"/>
  <c r="AT478" i="3"/>
  <c r="BQ476" i="3"/>
  <c r="BF476" i="3"/>
  <c r="BJ475" i="3" s="1"/>
  <c r="BK475" i="3" s="1"/>
  <c r="BB476" i="3"/>
  <c r="AY478" i="3" l="1"/>
  <c r="BM480" i="3"/>
  <c r="BN480" i="3"/>
  <c r="AX479" i="3"/>
  <c r="AT479" i="3"/>
  <c r="AG480" i="3"/>
  <c r="AH480" i="3"/>
  <c r="AT480" i="3" s="1"/>
  <c r="Y480" i="3"/>
  <c r="Z480" i="3" s="1"/>
  <c r="AW479" i="3"/>
  <c r="BA478" i="3"/>
  <c r="AV478" i="3"/>
  <c r="BC478" i="3" s="1"/>
  <c r="AU479" i="3"/>
  <c r="X480" i="3"/>
  <c r="BQ477" i="3"/>
  <c r="BF477" i="3"/>
  <c r="BJ476" i="3" s="1"/>
  <c r="BK476" i="3" s="1"/>
  <c r="BB477" i="3"/>
  <c r="AN480" i="3"/>
  <c r="D481" i="3"/>
  <c r="C481" i="3"/>
  <c r="AR481" i="3"/>
  <c r="AQ481" i="3"/>
  <c r="B481" i="3"/>
  <c r="A482" i="3"/>
  <c r="F481" i="3"/>
  <c r="BM481" i="3" s="1"/>
  <c r="G481" i="3"/>
  <c r="H481" i="3" s="1"/>
  <c r="Q481" i="3"/>
  <c r="S481" i="3"/>
  <c r="O481" i="3"/>
  <c r="U481" i="3"/>
  <c r="AF481" i="3"/>
  <c r="M481" i="3"/>
  <c r="AD481" i="3"/>
  <c r="AK481" i="3"/>
  <c r="AM481" i="3"/>
  <c r="AN481" i="3" s="1"/>
  <c r="AE481" i="3"/>
  <c r="R481" i="3"/>
  <c r="V481" i="3"/>
  <c r="T481" i="3"/>
  <c r="P481" i="3"/>
  <c r="BD477" i="3"/>
  <c r="BG477" i="3"/>
  <c r="BH477" i="3" s="1"/>
  <c r="BI477" i="3" s="1"/>
  <c r="AU480" i="3" l="1"/>
  <c r="AY479" i="3"/>
  <c r="AH481" i="3"/>
  <c r="BD478" i="3"/>
  <c r="BG478" i="3"/>
  <c r="BH478" i="3" s="1"/>
  <c r="BI478" i="3" s="1"/>
  <c r="AO481" i="3"/>
  <c r="BN481" i="3"/>
  <c r="BB478" i="3"/>
  <c r="BQ478" i="3"/>
  <c r="BF478" i="3"/>
  <c r="BJ477" i="3" s="1"/>
  <c r="BK477" i="3" s="1"/>
  <c r="AV480" i="3"/>
  <c r="AX480" i="3"/>
  <c r="AW480" i="3"/>
  <c r="BA480" i="3" s="1"/>
  <c r="B482" i="3"/>
  <c r="AQ482" i="3"/>
  <c r="A483" i="3"/>
  <c r="AR482" i="3"/>
  <c r="C482" i="3"/>
  <c r="D482" i="3"/>
  <c r="G482" i="3"/>
  <c r="H482" i="3" s="1"/>
  <c r="BN482" i="3" s="1"/>
  <c r="F482" i="3"/>
  <c r="BM482" i="3" s="1"/>
  <c r="Q482" i="3"/>
  <c r="S482" i="3"/>
  <c r="O482" i="3"/>
  <c r="U482" i="3"/>
  <c r="AD482" i="3"/>
  <c r="AK482" i="3"/>
  <c r="AM482" i="3"/>
  <c r="AN482" i="3" s="1"/>
  <c r="AF482" i="3"/>
  <c r="M482" i="3"/>
  <c r="AE482" i="3"/>
  <c r="V482" i="3"/>
  <c r="P482" i="3"/>
  <c r="T482" i="3"/>
  <c r="R482" i="3"/>
  <c r="Y481" i="3"/>
  <c r="Z481" i="3" s="1"/>
  <c r="X481" i="3"/>
  <c r="AG481" i="3"/>
  <c r="AW481" i="3" s="1"/>
  <c r="AV479" i="3"/>
  <c r="BC479" i="3" s="1"/>
  <c r="BA479" i="3"/>
  <c r="BQ480" i="3" l="1"/>
  <c r="BB480" i="3"/>
  <c r="BF480" i="3"/>
  <c r="BD479" i="3"/>
  <c r="BG479" i="3"/>
  <c r="BH479" i="3" s="1"/>
  <c r="BI479" i="3" s="1"/>
  <c r="AG482" i="3"/>
  <c r="AX481" i="3"/>
  <c r="AY481" i="3" s="1"/>
  <c r="AH482" i="3"/>
  <c r="AT481" i="3"/>
  <c r="AO482" i="3"/>
  <c r="AY480" i="3"/>
  <c r="BC480" i="3" s="1"/>
  <c r="X482" i="3"/>
  <c r="BQ479" i="3"/>
  <c r="BB479" i="3"/>
  <c r="BF479" i="3"/>
  <c r="BJ478" i="3" s="1"/>
  <c r="BK478" i="3" s="1"/>
  <c r="Y482" i="3"/>
  <c r="Z482" i="3" s="1"/>
  <c r="AQ483" i="3"/>
  <c r="B483" i="3"/>
  <c r="A484" i="3"/>
  <c r="D483" i="3"/>
  <c r="AR483" i="3"/>
  <c r="C483" i="3"/>
  <c r="F483" i="3"/>
  <c r="BM483" i="3" s="1"/>
  <c r="G483" i="3"/>
  <c r="H483" i="3" s="1"/>
  <c r="BN483" i="3" s="1"/>
  <c r="Q483" i="3"/>
  <c r="S483" i="3"/>
  <c r="O483" i="3"/>
  <c r="U483" i="3"/>
  <c r="M483" i="3"/>
  <c r="AK483" i="3"/>
  <c r="AM483" i="3"/>
  <c r="AD483" i="3"/>
  <c r="AE483" i="3"/>
  <c r="AF483" i="3"/>
  <c r="P483" i="3"/>
  <c r="V483" i="3"/>
  <c r="T483" i="3"/>
  <c r="R483" i="3"/>
  <c r="AU481" i="3"/>
  <c r="AW482" i="3" l="1"/>
  <c r="AN483" i="3"/>
  <c r="C484" i="3"/>
  <c r="D484" i="3"/>
  <c r="A485" i="3"/>
  <c r="B484" i="3"/>
  <c r="AQ484" i="3"/>
  <c r="AR484" i="3"/>
  <c r="F484" i="3"/>
  <c r="G484" i="3"/>
  <c r="H484" i="3" s="1"/>
  <c r="Q484" i="3"/>
  <c r="S484" i="3"/>
  <c r="O484" i="3"/>
  <c r="U484" i="3"/>
  <c r="AD484" i="3"/>
  <c r="AM484" i="3"/>
  <c r="AK484" i="3"/>
  <c r="AF484" i="3"/>
  <c r="AE484" i="3"/>
  <c r="M484" i="3"/>
  <c r="T484" i="3"/>
  <c r="V484" i="3"/>
  <c r="P484" i="3"/>
  <c r="R484" i="3"/>
  <c r="AU482" i="3"/>
  <c r="BD480" i="3"/>
  <c r="BG480" i="3"/>
  <c r="BH480" i="3" s="1"/>
  <c r="BI480" i="3" s="1"/>
  <c r="AV481" i="3"/>
  <c r="BC481" i="3" s="1"/>
  <c r="BA481" i="3"/>
  <c r="AH483" i="3"/>
  <c r="AO483" i="3"/>
  <c r="AX482" i="3"/>
  <c r="AY482" i="3" s="1"/>
  <c r="AG483" i="3"/>
  <c r="AT482" i="3"/>
  <c r="BJ479" i="3"/>
  <c r="BK479" i="3" s="1"/>
  <c r="Y483" i="3"/>
  <c r="Z483" i="3" s="1"/>
  <c r="X483" i="3"/>
  <c r="BM484" i="3" l="1"/>
  <c r="AH484" i="3"/>
  <c r="AN484" i="3"/>
  <c r="AU483" i="3"/>
  <c r="AO484" i="3"/>
  <c r="X484" i="3"/>
  <c r="BF481" i="3"/>
  <c r="BJ480" i="3" s="1"/>
  <c r="BK480" i="3" s="1"/>
  <c r="BB481" i="3"/>
  <c r="BQ481" i="3"/>
  <c r="AQ485" i="3"/>
  <c r="A486" i="3"/>
  <c r="B485" i="3"/>
  <c r="C485" i="3"/>
  <c r="AR485" i="3"/>
  <c r="D485" i="3"/>
  <c r="G485" i="3"/>
  <c r="H485" i="3" s="1"/>
  <c r="BN485" i="3" s="1"/>
  <c r="F485" i="3"/>
  <c r="Q485" i="3"/>
  <c r="S485" i="3"/>
  <c r="O485" i="3"/>
  <c r="U485" i="3"/>
  <c r="M485" i="3"/>
  <c r="AK485" i="3"/>
  <c r="AM485" i="3"/>
  <c r="AN485" i="3" s="1"/>
  <c r="AF485" i="3"/>
  <c r="AD485" i="3"/>
  <c r="AE485" i="3"/>
  <c r="P485" i="3"/>
  <c r="V485" i="3"/>
  <c r="R485" i="3"/>
  <c r="T485" i="3"/>
  <c r="BG481" i="3"/>
  <c r="BH481" i="3" s="1"/>
  <c r="BI481" i="3" s="1"/>
  <c r="BD481" i="3"/>
  <c r="BA482" i="3"/>
  <c r="AV482" i="3"/>
  <c r="BC482" i="3" s="1"/>
  <c r="AG484" i="3"/>
  <c r="AX483" i="3"/>
  <c r="AU484" i="3"/>
  <c r="Y484" i="3"/>
  <c r="Z484" i="3" s="1"/>
  <c r="AT483" i="3"/>
  <c r="AW483" i="3"/>
  <c r="BN484" i="3"/>
  <c r="BM485" i="3" l="1"/>
  <c r="AH485" i="3"/>
  <c r="AY483" i="3"/>
  <c r="AW484" i="3"/>
  <c r="AO485" i="3"/>
  <c r="AU485" i="3"/>
  <c r="X485" i="3"/>
  <c r="AX484" i="3"/>
  <c r="AV483" i="3"/>
  <c r="BA483" i="3"/>
  <c r="Y485" i="3"/>
  <c r="Z485" i="3" s="1"/>
  <c r="BD482" i="3"/>
  <c r="BG482" i="3"/>
  <c r="BH482" i="3" s="1"/>
  <c r="BI482" i="3" s="1"/>
  <c r="AT484" i="3"/>
  <c r="BF482" i="3"/>
  <c r="BJ481" i="3" s="1"/>
  <c r="BK481" i="3" s="1"/>
  <c r="BB482" i="3"/>
  <c r="BQ482" i="3"/>
  <c r="AG485" i="3"/>
  <c r="AT485" i="3" s="1"/>
  <c r="B486" i="3"/>
  <c r="AQ486" i="3"/>
  <c r="AR486" i="3"/>
  <c r="C486" i="3"/>
  <c r="A487" i="3"/>
  <c r="D486" i="3"/>
  <c r="F486" i="3"/>
  <c r="G486" i="3"/>
  <c r="H486" i="3" s="1"/>
  <c r="S486" i="3"/>
  <c r="Q486" i="3"/>
  <c r="O486" i="3"/>
  <c r="U486" i="3"/>
  <c r="AD486" i="3"/>
  <c r="AM486" i="3"/>
  <c r="M486" i="3"/>
  <c r="AF486" i="3"/>
  <c r="AK486" i="3"/>
  <c r="AE486" i="3"/>
  <c r="V486" i="3"/>
  <c r="P486" i="3"/>
  <c r="R486" i="3"/>
  <c r="T486" i="3"/>
  <c r="AN486" i="3" l="1"/>
  <c r="AY484" i="3"/>
  <c r="AH486" i="3"/>
  <c r="X486" i="3"/>
  <c r="AW485" i="3"/>
  <c r="BC483" i="3"/>
  <c r="BG483" i="3" s="1"/>
  <c r="BH483" i="3" s="1"/>
  <c r="BI483" i="3" s="1"/>
  <c r="BD483" i="3"/>
  <c r="Y486" i="3"/>
  <c r="Z486" i="3" s="1"/>
  <c r="AQ487" i="3"/>
  <c r="C487" i="3"/>
  <c r="D487" i="3"/>
  <c r="AR487" i="3"/>
  <c r="B487" i="3"/>
  <c r="A488" i="3"/>
  <c r="F487" i="3"/>
  <c r="G487" i="3"/>
  <c r="H487" i="3" s="1"/>
  <c r="Q487" i="3"/>
  <c r="S487" i="3"/>
  <c r="O487" i="3"/>
  <c r="U487" i="3"/>
  <c r="AF487" i="3"/>
  <c r="AK487" i="3"/>
  <c r="AM487" i="3"/>
  <c r="AD487" i="3"/>
  <c r="AE487" i="3"/>
  <c r="M487" i="3"/>
  <c r="P487" i="3"/>
  <c r="V487" i="3"/>
  <c r="T487" i="3"/>
  <c r="R487" i="3"/>
  <c r="BA484" i="3"/>
  <c r="AV484" i="3"/>
  <c r="BC484" i="3" s="1"/>
  <c r="AV485" i="3"/>
  <c r="AG486" i="3"/>
  <c r="AO486" i="3"/>
  <c r="BN486" i="3"/>
  <c r="BM486" i="3"/>
  <c r="BQ483" i="3"/>
  <c r="BB483" i="3"/>
  <c r="BF483" i="3"/>
  <c r="BJ482" i="3" s="1"/>
  <c r="BK482" i="3" s="1"/>
  <c r="AX485" i="3"/>
  <c r="AU486" i="3" l="1"/>
  <c r="AW486" i="3"/>
  <c r="AO487" i="3"/>
  <c r="BA485" i="3"/>
  <c r="BF485" i="3" s="1"/>
  <c r="AN487" i="3"/>
  <c r="AG487" i="3"/>
  <c r="AY485" i="3"/>
  <c r="BC485" i="3" s="1"/>
  <c r="AT486" i="3"/>
  <c r="AV486" i="3" s="1"/>
  <c r="AX486" i="3"/>
  <c r="X487" i="3"/>
  <c r="AH487" i="3"/>
  <c r="Y487" i="3"/>
  <c r="Z487" i="3" s="1"/>
  <c r="BN487" i="3"/>
  <c r="BQ484" i="3"/>
  <c r="BF484" i="3"/>
  <c r="BJ483" i="3" s="1"/>
  <c r="BK483" i="3" s="1"/>
  <c r="BB484" i="3"/>
  <c r="BM487" i="3"/>
  <c r="BD484" i="3"/>
  <c r="BG484" i="3"/>
  <c r="BH484" i="3" s="1"/>
  <c r="BI484" i="3" s="1"/>
  <c r="C488" i="3"/>
  <c r="B488" i="3"/>
  <c r="AR488" i="3"/>
  <c r="AQ488" i="3"/>
  <c r="A489" i="3"/>
  <c r="D488" i="3"/>
  <c r="F488" i="3"/>
  <c r="G488" i="3"/>
  <c r="H488" i="3" s="1"/>
  <c r="Q488" i="3"/>
  <c r="S488" i="3"/>
  <c r="O488" i="3"/>
  <c r="U488" i="3"/>
  <c r="AE488" i="3"/>
  <c r="AD488" i="3"/>
  <c r="AK488" i="3"/>
  <c r="AM488" i="3"/>
  <c r="AF488" i="3"/>
  <c r="M488" i="3"/>
  <c r="P488" i="3"/>
  <c r="V488" i="3"/>
  <c r="T488" i="3"/>
  <c r="R488" i="3"/>
  <c r="AN488" i="3" l="1"/>
  <c r="AY486" i="3"/>
  <c r="BC486" i="3" s="1"/>
  <c r="BD486" i="3" s="1"/>
  <c r="BN488" i="3"/>
  <c r="AG488" i="3"/>
  <c r="BB485" i="3"/>
  <c r="BQ485" i="3"/>
  <c r="BD485" i="3"/>
  <c r="BG485" i="3"/>
  <c r="BH485" i="3" s="1"/>
  <c r="BI485" i="3" s="1"/>
  <c r="BA486" i="3"/>
  <c r="BF486" i="3" s="1"/>
  <c r="BJ485" i="3" s="1"/>
  <c r="BK485" i="3" s="1"/>
  <c r="AO488" i="3"/>
  <c r="AW487" i="3"/>
  <c r="AX487" i="3"/>
  <c r="AH488" i="3"/>
  <c r="AU488" i="3" s="1"/>
  <c r="BM488" i="3"/>
  <c r="A490" i="3"/>
  <c r="AR489" i="3"/>
  <c r="C489" i="3"/>
  <c r="B489" i="3"/>
  <c r="D489" i="3"/>
  <c r="AQ489" i="3"/>
  <c r="G489" i="3"/>
  <c r="H489" i="3" s="1"/>
  <c r="BN489" i="3" s="1"/>
  <c r="F489" i="3"/>
  <c r="Q489" i="3"/>
  <c r="S489" i="3"/>
  <c r="O489" i="3"/>
  <c r="U489" i="3"/>
  <c r="AM489" i="3"/>
  <c r="AK489" i="3"/>
  <c r="AO489" i="3" s="1"/>
  <c r="M489" i="3"/>
  <c r="AE489" i="3"/>
  <c r="AD489" i="3"/>
  <c r="AF489" i="3"/>
  <c r="T489" i="3"/>
  <c r="V489" i="3"/>
  <c r="P489" i="3"/>
  <c r="R489" i="3"/>
  <c r="BJ484" i="3"/>
  <c r="BK484" i="3" s="1"/>
  <c r="Y488" i="3"/>
  <c r="Z488" i="3" s="1"/>
  <c r="X488" i="3"/>
  <c r="AU487" i="3"/>
  <c r="AT487" i="3"/>
  <c r="BB486" i="3" l="1"/>
  <c r="BG486" i="3"/>
  <c r="BH486" i="3" s="1"/>
  <c r="BI486" i="3" s="1"/>
  <c r="BQ486" i="3"/>
  <c r="AV487" i="3"/>
  <c r="BA487" i="3"/>
  <c r="Y489" i="3"/>
  <c r="Z489" i="3" s="1"/>
  <c r="X489" i="3"/>
  <c r="AG489" i="3"/>
  <c r="AH489" i="3"/>
  <c r="BM489" i="3"/>
  <c r="AW488" i="3"/>
  <c r="AX488" i="3"/>
  <c r="B490" i="3"/>
  <c r="C490" i="3"/>
  <c r="D490" i="3"/>
  <c r="A491" i="3"/>
  <c r="AQ490" i="3"/>
  <c r="AR490" i="3"/>
  <c r="F490" i="3"/>
  <c r="G490" i="3"/>
  <c r="H490" i="3" s="1"/>
  <c r="S490" i="3"/>
  <c r="Q490" i="3"/>
  <c r="O490" i="3"/>
  <c r="U490" i="3"/>
  <c r="M490" i="3"/>
  <c r="AF490" i="3"/>
  <c r="AM490" i="3"/>
  <c r="AK490" i="3"/>
  <c r="AD490" i="3"/>
  <c r="AE490" i="3"/>
  <c r="V490" i="3"/>
  <c r="P490" i="3"/>
  <c r="R490" i="3"/>
  <c r="T490" i="3"/>
  <c r="AN489" i="3"/>
  <c r="AY487" i="3"/>
  <c r="AT488" i="3"/>
  <c r="X490" i="3" l="1"/>
  <c r="AG490" i="3"/>
  <c r="AX489" i="3"/>
  <c r="AO490" i="3"/>
  <c r="AU489" i="3"/>
  <c r="AW489" i="3"/>
  <c r="BN490" i="3"/>
  <c r="AT489" i="3"/>
  <c r="AH490" i="3"/>
  <c r="AN490" i="3"/>
  <c r="BM490" i="3"/>
  <c r="AY488" i="3"/>
  <c r="BQ487" i="3"/>
  <c r="BB487" i="3"/>
  <c r="BF487" i="3"/>
  <c r="BJ486" i="3" s="1"/>
  <c r="BK486" i="3" s="1"/>
  <c r="AQ491" i="3"/>
  <c r="AR491" i="3"/>
  <c r="A492" i="3"/>
  <c r="B491" i="3"/>
  <c r="D491" i="3"/>
  <c r="C491" i="3"/>
  <c r="F491" i="3"/>
  <c r="BM491" i="3" s="1"/>
  <c r="G491" i="3"/>
  <c r="H491" i="3" s="1"/>
  <c r="BN491" i="3" s="1"/>
  <c r="Q491" i="3"/>
  <c r="S491" i="3"/>
  <c r="O491" i="3"/>
  <c r="U491" i="3"/>
  <c r="AD491" i="3"/>
  <c r="AM491" i="3"/>
  <c r="AK491" i="3"/>
  <c r="AO491" i="3" s="1"/>
  <c r="AF491" i="3"/>
  <c r="AE491" i="3"/>
  <c r="AG491" i="3" s="1"/>
  <c r="M491" i="3"/>
  <c r="V491" i="3"/>
  <c r="T491" i="3"/>
  <c r="P491" i="3"/>
  <c r="R491" i="3"/>
  <c r="Y490" i="3"/>
  <c r="Z490" i="3" s="1"/>
  <c r="AV488" i="3"/>
  <c r="BC488" i="3" s="1"/>
  <c r="BA488" i="3"/>
  <c r="BC487" i="3"/>
  <c r="AT490" i="3" l="1"/>
  <c r="AY489" i="3"/>
  <c r="AX490" i="3"/>
  <c r="BA489" i="3"/>
  <c r="AV489" i="3"/>
  <c r="BD488" i="3"/>
  <c r="BG488" i="3"/>
  <c r="BH488" i="3" s="1"/>
  <c r="BI488" i="3" s="1"/>
  <c r="AU490" i="3"/>
  <c r="AV490" i="3" s="1"/>
  <c r="BB488" i="3"/>
  <c r="BF488" i="3"/>
  <c r="BJ487" i="3" s="1"/>
  <c r="BK487" i="3" s="1"/>
  <c r="BQ488" i="3"/>
  <c r="AN491" i="3"/>
  <c r="AH491" i="3"/>
  <c r="AT491" i="3" s="1"/>
  <c r="X491" i="3"/>
  <c r="BD487" i="3"/>
  <c r="BG487" i="3"/>
  <c r="BH487" i="3" s="1"/>
  <c r="BI487" i="3" s="1"/>
  <c r="Y491" i="3"/>
  <c r="Z491" i="3" s="1"/>
  <c r="D492" i="3"/>
  <c r="AR492" i="3"/>
  <c r="A493" i="3"/>
  <c r="AQ492" i="3"/>
  <c r="C492" i="3"/>
  <c r="B492" i="3"/>
  <c r="G492" i="3"/>
  <c r="H492" i="3" s="1"/>
  <c r="F492" i="3"/>
  <c r="S492" i="3"/>
  <c r="Q492" i="3"/>
  <c r="O492" i="3"/>
  <c r="U492" i="3"/>
  <c r="AK492" i="3"/>
  <c r="AE492" i="3"/>
  <c r="AM492" i="3"/>
  <c r="M492" i="3"/>
  <c r="AD492" i="3"/>
  <c r="AF492" i="3"/>
  <c r="V492" i="3"/>
  <c r="T492" i="3"/>
  <c r="P492" i="3"/>
  <c r="R492" i="3"/>
  <c r="AW490" i="3"/>
  <c r="AY490" i="3" s="1"/>
  <c r="BC489" i="3" l="1"/>
  <c r="BM492" i="3"/>
  <c r="BA490" i="3"/>
  <c r="BF490" i="3" s="1"/>
  <c r="AH492" i="3"/>
  <c r="Y492" i="3"/>
  <c r="Z492" i="3" s="1"/>
  <c r="AU491" i="3"/>
  <c r="AW491" i="3"/>
  <c r="AN492" i="3"/>
  <c r="BC490" i="3"/>
  <c r="BG490" i="3" s="1"/>
  <c r="BH490" i="3" s="1"/>
  <c r="BI490" i="3" s="1"/>
  <c r="D493" i="3"/>
  <c r="AQ493" i="3"/>
  <c r="C493" i="3"/>
  <c r="B493" i="3"/>
  <c r="A494" i="3"/>
  <c r="AR493" i="3"/>
  <c r="G493" i="3"/>
  <c r="H493" i="3" s="1"/>
  <c r="F493" i="3"/>
  <c r="Q493" i="3"/>
  <c r="S493" i="3"/>
  <c r="O493" i="3"/>
  <c r="U493" i="3"/>
  <c r="AD493" i="3"/>
  <c r="AK493" i="3"/>
  <c r="AM493" i="3"/>
  <c r="AF493" i="3"/>
  <c r="AE493" i="3"/>
  <c r="M493" i="3"/>
  <c r="V493" i="3"/>
  <c r="P493" i="3"/>
  <c r="R493" i="3"/>
  <c r="T493" i="3"/>
  <c r="X492" i="3"/>
  <c r="AX491" i="3"/>
  <c r="BN492" i="3"/>
  <c r="AG492" i="3"/>
  <c r="BD489" i="3"/>
  <c r="BG489" i="3"/>
  <c r="BH489" i="3" s="1"/>
  <c r="BI489" i="3" s="1"/>
  <c r="AV491" i="3"/>
  <c r="BB490" i="3"/>
  <c r="BQ490" i="3"/>
  <c r="AO492" i="3"/>
  <c r="BB489" i="3"/>
  <c r="BF489" i="3"/>
  <c r="BJ488" i="3" s="1"/>
  <c r="BK488" i="3" s="1"/>
  <c r="BQ489" i="3"/>
  <c r="BD490" i="3" l="1"/>
  <c r="BA491" i="3"/>
  <c r="AY491" i="3"/>
  <c r="AO493" i="3"/>
  <c r="AH493" i="3"/>
  <c r="X493" i="3"/>
  <c r="AW492" i="3"/>
  <c r="AX492" i="3"/>
  <c r="BJ489" i="3"/>
  <c r="BK489" i="3" s="1"/>
  <c r="BQ491" i="3"/>
  <c r="BB491" i="3"/>
  <c r="BF491" i="3"/>
  <c r="BJ490" i="3" s="1"/>
  <c r="BK490" i="3" s="1"/>
  <c r="Y493" i="3"/>
  <c r="Z493" i="3" s="1"/>
  <c r="BC491" i="3"/>
  <c r="AT492" i="3"/>
  <c r="B494" i="3"/>
  <c r="A495" i="3"/>
  <c r="AR494" i="3"/>
  <c r="AQ494" i="3"/>
  <c r="D494" i="3"/>
  <c r="C494" i="3"/>
  <c r="F494" i="3"/>
  <c r="BM494" i="3" s="1"/>
  <c r="G494" i="3"/>
  <c r="H494" i="3" s="1"/>
  <c r="S494" i="3"/>
  <c r="Q494" i="3"/>
  <c r="O494" i="3"/>
  <c r="U494" i="3"/>
  <c r="AK494" i="3"/>
  <c r="AD494" i="3"/>
  <c r="M494" i="3"/>
  <c r="AM494" i="3"/>
  <c r="AF494" i="3"/>
  <c r="AE494" i="3"/>
  <c r="V494" i="3"/>
  <c r="P494" i="3"/>
  <c r="R494" i="3"/>
  <c r="T494" i="3"/>
  <c r="AG493" i="3"/>
  <c r="AU492" i="3"/>
  <c r="BM493" i="3"/>
  <c r="AN493" i="3"/>
  <c r="BN493" i="3"/>
  <c r="AY492" i="3" l="1"/>
  <c r="AT493" i="3"/>
  <c r="AO494" i="3"/>
  <c r="AX493" i="3"/>
  <c r="AG494" i="3"/>
  <c r="Y494" i="3"/>
  <c r="Z494" i="3" s="1"/>
  <c r="AQ495" i="3"/>
  <c r="A496" i="3"/>
  <c r="D495" i="3"/>
  <c r="B495" i="3"/>
  <c r="C495" i="3"/>
  <c r="AR495" i="3"/>
  <c r="G495" i="3"/>
  <c r="H495" i="3" s="1"/>
  <c r="F495" i="3"/>
  <c r="BM495" i="3" s="1"/>
  <c r="Q495" i="3"/>
  <c r="S495" i="3"/>
  <c r="O495" i="3"/>
  <c r="U495" i="3"/>
  <c r="AM495" i="3"/>
  <c r="AD495" i="3"/>
  <c r="AK495" i="3"/>
  <c r="AO495" i="3" s="1"/>
  <c r="AE495" i="3"/>
  <c r="M495" i="3"/>
  <c r="AF495" i="3"/>
  <c r="V495" i="3"/>
  <c r="T495" i="3"/>
  <c r="R495" i="3"/>
  <c r="P495" i="3"/>
  <c r="BN494" i="3"/>
  <c r="BA493" i="3"/>
  <c r="AU494" i="3"/>
  <c r="AN494" i="3"/>
  <c r="BA492" i="3"/>
  <c r="AV492" i="3"/>
  <c r="BC492" i="3" s="1"/>
  <c r="AW493" i="3"/>
  <c r="AU493" i="3"/>
  <c r="AV493" i="3" s="1"/>
  <c r="AH494" i="3"/>
  <c r="AT494" i="3" s="1"/>
  <c r="X494" i="3"/>
  <c r="BD491" i="3"/>
  <c r="BG491" i="3"/>
  <c r="BH491" i="3" s="1"/>
  <c r="BI491" i="3" s="1"/>
  <c r="Y495" i="3" l="1"/>
  <c r="Z495" i="3" s="1"/>
  <c r="AY493" i="3"/>
  <c r="BC493" i="3" s="1"/>
  <c r="AV494" i="3"/>
  <c r="C496" i="3"/>
  <c r="B496" i="3"/>
  <c r="D496" i="3"/>
  <c r="AQ496" i="3"/>
  <c r="AR496" i="3"/>
  <c r="A497" i="3"/>
  <c r="G496" i="3"/>
  <c r="H496" i="3" s="1"/>
  <c r="F496" i="3"/>
  <c r="Q496" i="3"/>
  <c r="S496" i="3"/>
  <c r="O496" i="3"/>
  <c r="U496" i="3"/>
  <c r="AF496" i="3"/>
  <c r="AK496" i="3"/>
  <c r="AM496" i="3"/>
  <c r="M496" i="3"/>
  <c r="AE496" i="3"/>
  <c r="AD496" i="3"/>
  <c r="V496" i="3"/>
  <c r="R496" i="3"/>
  <c r="P496" i="3"/>
  <c r="T496" i="3"/>
  <c r="BQ492" i="3"/>
  <c r="BF492" i="3"/>
  <c r="BJ491" i="3" s="1"/>
  <c r="BK491" i="3" s="1"/>
  <c r="BB492" i="3"/>
  <c r="X495" i="3"/>
  <c r="BQ493" i="3"/>
  <c r="BB493" i="3"/>
  <c r="BF493" i="3"/>
  <c r="BN495" i="3"/>
  <c r="AX494" i="3"/>
  <c r="AG495" i="3"/>
  <c r="AH495" i="3"/>
  <c r="AW494" i="3"/>
  <c r="BD492" i="3"/>
  <c r="BG492" i="3"/>
  <c r="BH492" i="3" s="1"/>
  <c r="BI492" i="3" s="1"/>
  <c r="AN495" i="3"/>
  <c r="X496" i="3" l="1"/>
  <c r="AH496" i="3"/>
  <c r="AX495" i="3"/>
  <c r="BD493" i="3"/>
  <c r="BG493" i="3"/>
  <c r="BH493" i="3" s="1"/>
  <c r="BI493" i="3" s="1"/>
  <c r="AO496" i="3"/>
  <c r="AY494" i="3"/>
  <c r="Y496" i="3"/>
  <c r="Z496" i="3" s="1"/>
  <c r="BM496" i="3"/>
  <c r="AG496" i="3"/>
  <c r="AU495" i="3"/>
  <c r="AN496" i="3"/>
  <c r="BN496" i="3"/>
  <c r="BA494" i="3"/>
  <c r="AW495" i="3"/>
  <c r="AY495" i="3" s="1"/>
  <c r="AT495" i="3"/>
  <c r="BJ492" i="3"/>
  <c r="BK492" i="3" s="1"/>
  <c r="AQ497" i="3"/>
  <c r="B497" i="3"/>
  <c r="AR497" i="3"/>
  <c r="A498" i="3"/>
  <c r="D497" i="3"/>
  <c r="C497" i="3"/>
  <c r="F497" i="3"/>
  <c r="BM497" i="3" s="1"/>
  <c r="G497" i="3"/>
  <c r="H497" i="3" s="1"/>
  <c r="Q497" i="3"/>
  <c r="S497" i="3"/>
  <c r="O497" i="3"/>
  <c r="U497" i="3"/>
  <c r="AK497" i="3"/>
  <c r="AF497" i="3"/>
  <c r="AM497" i="3"/>
  <c r="AN497" i="3" s="1"/>
  <c r="AD497" i="3"/>
  <c r="M497" i="3"/>
  <c r="AE497" i="3"/>
  <c r="V497" i="3"/>
  <c r="P497" i="3"/>
  <c r="T497" i="3"/>
  <c r="R497" i="3"/>
  <c r="BC494" i="3"/>
  <c r="AW496" i="3" l="1"/>
  <c r="AH497" i="3"/>
  <c r="BN497" i="3"/>
  <c r="AX496" i="3"/>
  <c r="AY496" i="3" s="1"/>
  <c r="BB494" i="3"/>
  <c r="BQ494" i="3"/>
  <c r="BF494" i="3"/>
  <c r="BJ493" i="3" s="1"/>
  <c r="BK493" i="3" s="1"/>
  <c r="AT496" i="3"/>
  <c r="BD494" i="3"/>
  <c r="BG494" i="3"/>
  <c r="BH494" i="3" s="1"/>
  <c r="BI494" i="3" s="1"/>
  <c r="AO497" i="3"/>
  <c r="Y497" i="3"/>
  <c r="Z497" i="3" s="1"/>
  <c r="AG497" i="3"/>
  <c r="AW497" i="3" s="1"/>
  <c r="AV495" i="3"/>
  <c r="BC495" i="3" s="1"/>
  <c r="BA495" i="3"/>
  <c r="X497" i="3"/>
  <c r="B498" i="3"/>
  <c r="AR498" i="3"/>
  <c r="C498" i="3"/>
  <c r="AQ498" i="3"/>
  <c r="D498" i="3"/>
  <c r="A499" i="3"/>
  <c r="F498" i="3"/>
  <c r="G498" i="3"/>
  <c r="H498" i="3" s="1"/>
  <c r="S498" i="3"/>
  <c r="Q498" i="3"/>
  <c r="O498" i="3"/>
  <c r="U498" i="3"/>
  <c r="M498" i="3"/>
  <c r="AF498" i="3"/>
  <c r="AD498" i="3"/>
  <c r="AK498" i="3"/>
  <c r="AM498" i="3"/>
  <c r="AE498" i="3"/>
  <c r="P498" i="3"/>
  <c r="V498" i="3"/>
  <c r="T498" i="3"/>
  <c r="R498" i="3"/>
  <c r="AU496" i="3"/>
  <c r="AN498" i="3" l="1"/>
  <c r="AG498" i="3"/>
  <c r="AQ499" i="3"/>
  <c r="AR499" i="3"/>
  <c r="C499" i="3"/>
  <c r="B499" i="3"/>
  <c r="A500" i="3"/>
  <c r="D499" i="3"/>
  <c r="F499" i="3"/>
  <c r="G499" i="3"/>
  <c r="H499" i="3" s="1"/>
  <c r="Q499" i="3"/>
  <c r="S499" i="3"/>
  <c r="O499" i="3"/>
  <c r="U499" i="3"/>
  <c r="AK499" i="3"/>
  <c r="AM499" i="3"/>
  <c r="AE499" i="3"/>
  <c r="AF499" i="3"/>
  <c r="AD499" i="3"/>
  <c r="M499" i="3"/>
  <c r="T499" i="3"/>
  <c r="V499" i="3"/>
  <c r="P499" i="3"/>
  <c r="R499" i="3"/>
  <c r="BD495" i="3"/>
  <c r="BG495" i="3"/>
  <c r="BH495" i="3" s="1"/>
  <c r="BI495" i="3" s="1"/>
  <c r="AX497" i="3"/>
  <c r="AY497" i="3" s="1"/>
  <c r="Y498" i="3"/>
  <c r="Z498" i="3" s="1"/>
  <c r="AT497" i="3"/>
  <c r="AO498" i="3"/>
  <c r="X498" i="3"/>
  <c r="BN498" i="3"/>
  <c r="AU497" i="3"/>
  <c r="AH498" i="3"/>
  <c r="BM498" i="3"/>
  <c r="BB495" i="3"/>
  <c r="BQ495" i="3"/>
  <c r="BF495" i="3"/>
  <c r="BJ494" i="3" s="1"/>
  <c r="BK494" i="3" s="1"/>
  <c r="BA496" i="3"/>
  <c r="AV496" i="3"/>
  <c r="BC496" i="3" s="1"/>
  <c r="BN499" i="3" l="1"/>
  <c r="BM499" i="3"/>
  <c r="AO499" i="3"/>
  <c r="AH499" i="3"/>
  <c r="AG499" i="3"/>
  <c r="AX498" i="3"/>
  <c r="AN499" i="3"/>
  <c r="Y499" i="3"/>
  <c r="Z499" i="3" s="1"/>
  <c r="AW498" i="3"/>
  <c r="AU498" i="3"/>
  <c r="BA497" i="3"/>
  <c r="AV497" i="3"/>
  <c r="BC497" i="3" s="1"/>
  <c r="D500" i="3"/>
  <c r="B500" i="3"/>
  <c r="AQ500" i="3"/>
  <c r="A501" i="3"/>
  <c r="AR500" i="3"/>
  <c r="C500" i="3"/>
  <c r="G500" i="3"/>
  <c r="H500" i="3" s="1"/>
  <c r="F500" i="3"/>
  <c r="BM500" i="3" s="1"/>
  <c r="Q500" i="3"/>
  <c r="S500" i="3"/>
  <c r="O500" i="3"/>
  <c r="U500" i="3"/>
  <c r="AK500" i="3"/>
  <c r="AD500" i="3"/>
  <c r="AF500" i="3"/>
  <c r="AM500" i="3"/>
  <c r="AE500" i="3"/>
  <c r="M500" i="3"/>
  <c r="T500" i="3"/>
  <c r="V500" i="3"/>
  <c r="P500" i="3"/>
  <c r="R500" i="3"/>
  <c r="X499" i="3"/>
  <c r="BD496" i="3"/>
  <c r="BG496" i="3"/>
  <c r="BH496" i="3" s="1"/>
  <c r="BI496" i="3" s="1"/>
  <c r="BQ496" i="3"/>
  <c r="BB496" i="3"/>
  <c r="BF496" i="3"/>
  <c r="BJ495" i="3" s="1"/>
  <c r="BK495" i="3" s="1"/>
  <c r="AT498" i="3"/>
  <c r="AX499" i="3" l="1"/>
  <c r="BN500" i="3"/>
  <c r="AO500" i="3"/>
  <c r="AY498" i="3"/>
  <c r="X500" i="3"/>
  <c r="AT499" i="3"/>
  <c r="AU499" i="3"/>
  <c r="BA498" i="3"/>
  <c r="AV498" i="3"/>
  <c r="AR501" i="3"/>
  <c r="C501" i="3"/>
  <c r="A502" i="3"/>
  <c r="D501" i="3"/>
  <c r="AQ501" i="3"/>
  <c r="B501" i="3"/>
  <c r="G501" i="3"/>
  <c r="H501" i="3" s="1"/>
  <c r="F501" i="3"/>
  <c r="Q501" i="3"/>
  <c r="S501" i="3"/>
  <c r="O501" i="3"/>
  <c r="U501" i="3"/>
  <c r="AF501" i="3"/>
  <c r="AK501" i="3"/>
  <c r="AD501" i="3"/>
  <c r="M501" i="3"/>
  <c r="AM501" i="3"/>
  <c r="AE501" i="3"/>
  <c r="P501" i="3"/>
  <c r="V501" i="3"/>
  <c r="T501" i="3"/>
  <c r="R501" i="3"/>
  <c r="Y500" i="3"/>
  <c r="Z500" i="3" s="1"/>
  <c r="AN500" i="3"/>
  <c r="BD497" i="3"/>
  <c r="BG497" i="3"/>
  <c r="BH497" i="3" s="1"/>
  <c r="BI497" i="3" s="1"/>
  <c r="AG500" i="3"/>
  <c r="BB497" i="3"/>
  <c r="BQ497" i="3"/>
  <c r="BF497" i="3"/>
  <c r="BJ496" i="3" s="1"/>
  <c r="BK496" i="3" s="1"/>
  <c r="AH500" i="3"/>
  <c r="AW499" i="3"/>
  <c r="AY499" i="3" s="1"/>
  <c r="AV499" i="3" l="1"/>
  <c r="AN501" i="3"/>
  <c r="BC498" i="3"/>
  <c r="Y501" i="3"/>
  <c r="Z501" i="3" s="1"/>
  <c r="AT500" i="3"/>
  <c r="X501" i="3"/>
  <c r="AX500" i="3"/>
  <c r="BA499" i="3"/>
  <c r="BF499" i="3" s="1"/>
  <c r="AG501" i="3"/>
  <c r="BC499" i="3"/>
  <c r="BM501" i="3"/>
  <c r="BD498" i="3"/>
  <c r="BG498" i="3"/>
  <c r="BH498" i="3" s="1"/>
  <c r="BI498" i="3" s="1"/>
  <c r="AU500" i="3"/>
  <c r="AH501" i="3"/>
  <c r="BN501" i="3"/>
  <c r="BB498" i="3"/>
  <c r="BF498" i="3"/>
  <c r="BJ497" i="3" s="1"/>
  <c r="BK497" i="3" s="1"/>
  <c r="BQ498" i="3"/>
  <c r="B502" i="3"/>
  <c r="A503" i="3"/>
  <c r="D502" i="3"/>
  <c r="AQ502" i="3"/>
  <c r="AR502" i="3"/>
  <c r="C502" i="3"/>
  <c r="G502" i="3"/>
  <c r="H502" i="3" s="1"/>
  <c r="F502" i="3"/>
  <c r="Q502" i="3"/>
  <c r="S502" i="3"/>
  <c r="O502" i="3"/>
  <c r="U502" i="3"/>
  <c r="M502" i="3"/>
  <c r="AK502" i="3"/>
  <c r="AM502" i="3"/>
  <c r="AF502" i="3"/>
  <c r="AE502" i="3"/>
  <c r="AD502" i="3"/>
  <c r="AH502" i="3" s="1"/>
  <c r="V502" i="3"/>
  <c r="P502" i="3"/>
  <c r="R502" i="3"/>
  <c r="T502" i="3"/>
  <c r="AW500" i="3"/>
  <c r="AO501" i="3"/>
  <c r="BB499" i="3" l="1"/>
  <c r="AW501" i="3"/>
  <c r="AY500" i="3"/>
  <c r="BQ499" i="3"/>
  <c r="BA500" i="3"/>
  <c r="BB500" i="3" s="1"/>
  <c r="AO502" i="3"/>
  <c r="AV500" i="3"/>
  <c r="BC500" i="3" s="1"/>
  <c r="BF500" i="3"/>
  <c r="BJ499" i="3" s="1"/>
  <c r="BK499" i="3" s="1"/>
  <c r="AG502" i="3"/>
  <c r="AU502" i="3" s="1"/>
  <c r="AX501" i="3"/>
  <c r="AY501" i="3" s="1"/>
  <c r="X502" i="3"/>
  <c r="BJ498" i="3"/>
  <c r="BK498" i="3" s="1"/>
  <c r="Y502" i="3"/>
  <c r="Z502" i="3" s="1"/>
  <c r="AQ503" i="3"/>
  <c r="AR503" i="3"/>
  <c r="B503" i="3"/>
  <c r="C503" i="3"/>
  <c r="A504" i="3"/>
  <c r="D503" i="3"/>
  <c r="F503" i="3"/>
  <c r="G503" i="3"/>
  <c r="H503" i="3" s="1"/>
  <c r="BN503" i="3" s="1"/>
  <c r="Q503" i="3"/>
  <c r="S503" i="3"/>
  <c r="O503" i="3"/>
  <c r="U503" i="3"/>
  <c r="AF503" i="3"/>
  <c r="AM503" i="3"/>
  <c r="AK503" i="3"/>
  <c r="M503" i="3"/>
  <c r="AD503" i="3"/>
  <c r="AE503" i="3"/>
  <c r="R503" i="3"/>
  <c r="V503" i="3"/>
  <c r="P503" i="3"/>
  <c r="T503" i="3"/>
  <c r="BM502" i="3"/>
  <c r="BD499" i="3"/>
  <c r="BG499" i="3"/>
  <c r="BH499" i="3" s="1"/>
  <c r="BI499" i="3" s="1"/>
  <c r="AT501" i="3"/>
  <c r="AN502" i="3"/>
  <c r="BN502" i="3"/>
  <c r="AU501" i="3"/>
  <c r="AO503" i="3" l="1"/>
  <c r="BQ500" i="3"/>
  <c r="AX502" i="3"/>
  <c r="Y503" i="3"/>
  <c r="Z503" i="3" s="1"/>
  <c r="X503" i="3"/>
  <c r="AG503" i="3"/>
  <c r="AU503" i="3" s="1"/>
  <c r="BD500" i="3"/>
  <c r="BG500" i="3"/>
  <c r="BH500" i="3" s="1"/>
  <c r="BI500" i="3" s="1"/>
  <c r="BA501" i="3"/>
  <c r="AV501" i="3"/>
  <c r="BC501" i="3" s="1"/>
  <c r="AH503" i="3"/>
  <c r="AW502" i="3"/>
  <c r="AY502" i="3" s="1"/>
  <c r="BM503" i="3"/>
  <c r="AN503" i="3"/>
  <c r="AT502" i="3"/>
  <c r="D504" i="3"/>
  <c r="A505" i="3"/>
  <c r="C504" i="3"/>
  <c r="AR504" i="3"/>
  <c r="B504" i="3"/>
  <c r="AQ504" i="3"/>
  <c r="G504" i="3"/>
  <c r="H504" i="3" s="1"/>
  <c r="F504" i="3"/>
  <c r="BM504" i="3" s="1"/>
  <c r="Q504" i="3"/>
  <c r="S504" i="3"/>
  <c r="O504" i="3"/>
  <c r="U504" i="3"/>
  <c r="AK504" i="3"/>
  <c r="AF504" i="3"/>
  <c r="M504" i="3"/>
  <c r="AM504" i="3"/>
  <c r="AN504" i="3" s="1"/>
  <c r="AD504" i="3"/>
  <c r="AE504" i="3"/>
  <c r="V504" i="3"/>
  <c r="P504" i="3"/>
  <c r="T504" i="3"/>
  <c r="R504" i="3"/>
  <c r="AT503" i="3" l="1"/>
  <c r="AW503" i="3"/>
  <c r="AX503" i="3"/>
  <c r="AG504" i="3"/>
  <c r="B505" i="3"/>
  <c r="C505" i="3"/>
  <c r="AQ505" i="3"/>
  <c r="A506" i="3"/>
  <c r="AR505" i="3"/>
  <c r="D505" i="3"/>
  <c r="F505" i="3"/>
  <c r="G505" i="3"/>
  <c r="H505" i="3" s="1"/>
  <c r="Q505" i="3"/>
  <c r="S505" i="3"/>
  <c r="O505" i="3"/>
  <c r="U505" i="3"/>
  <c r="AF505" i="3"/>
  <c r="M505" i="3"/>
  <c r="AK505" i="3"/>
  <c r="AM505" i="3"/>
  <c r="AD505" i="3"/>
  <c r="AE505" i="3"/>
  <c r="V505" i="3"/>
  <c r="R505" i="3"/>
  <c r="T505" i="3"/>
  <c r="P505" i="3"/>
  <c r="AH504" i="3"/>
  <c r="BA503" i="3"/>
  <c r="AV503" i="3"/>
  <c r="BN504" i="3"/>
  <c r="AV502" i="3"/>
  <c r="BC502" i="3" s="1"/>
  <c r="BA502" i="3"/>
  <c r="BQ501" i="3"/>
  <c r="BB501" i="3"/>
  <c r="BF501" i="3"/>
  <c r="BD501" i="3"/>
  <c r="BG501" i="3"/>
  <c r="BH501" i="3" s="1"/>
  <c r="BI501" i="3" s="1"/>
  <c r="AO504" i="3"/>
  <c r="X504" i="3"/>
  <c r="Y504" i="3"/>
  <c r="Z504" i="3" s="1"/>
  <c r="BM505" i="3" l="1"/>
  <c r="AY503" i="3"/>
  <c r="BC503" i="3"/>
  <c r="BD503" i="3" s="1"/>
  <c r="AX504" i="3"/>
  <c r="AO505" i="3"/>
  <c r="Y505" i="3"/>
  <c r="Z505" i="3" s="1"/>
  <c r="AU504" i="3"/>
  <c r="AG505" i="3"/>
  <c r="BB502" i="3"/>
  <c r="BF502" i="3"/>
  <c r="BJ501" i="3" s="1"/>
  <c r="BK501" i="3" s="1"/>
  <c r="BQ502" i="3"/>
  <c r="X505" i="3"/>
  <c r="BG503" i="3"/>
  <c r="BH503" i="3" s="1"/>
  <c r="BI503" i="3" s="1"/>
  <c r="AH505" i="3"/>
  <c r="BJ500" i="3"/>
  <c r="BK500" i="3" s="1"/>
  <c r="B506" i="3"/>
  <c r="A507" i="3"/>
  <c r="AQ506" i="3"/>
  <c r="C506" i="3"/>
  <c r="AR506" i="3"/>
  <c r="D506" i="3"/>
  <c r="F506" i="3"/>
  <c r="BM506" i="3" s="1"/>
  <c r="G506" i="3"/>
  <c r="H506" i="3" s="1"/>
  <c r="Q506" i="3"/>
  <c r="S506" i="3"/>
  <c r="O506" i="3"/>
  <c r="U506" i="3"/>
  <c r="AM506" i="3"/>
  <c r="AK506" i="3"/>
  <c r="AO506" i="3" s="1"/>
  <c r="AF506" i="3"/>
  <c r="AE506" i="3"/>
  <c r="AD506" i="3"/>
  <c r="M506" i="3"/>
  <c r="P506" i="3"/>
  <c r="T506" i="3"/>
  <c r="R506" i="3"/>
  <c r="V506" i="3"/>
  <c r="BD502" i="3"/>
  <c r="BG502" i="3"/>
  <c r="BH502" i="3" s="1"/>
  <c r="BI502" i="3" s="1"/>
  <c r="AT504" i="3"/>
  <c r="BQ503" i="3"/>
  <c r="BB503" i="3"/>
  <c r="BF503" i="3"/>
  <c r="AN505" i="3"/>
  <c r="BN505" i="3"/>
  <c r="AW504" i="3"/>
  <c r="AY504" i="3" s="1"/>
  <c r="AH506" i="3" l="1"/>
  <c r="Y506" i="3"/>
  <c r="Z506" i="3" s="1"/>
  <c r="AX505" i="3"/>
  <c r="BJ502" i="3"/>
  <c r="BK502" i="3" s="1"/>
  <c r="AV504" i="3"/>
  <c r="BC504" i="3" s="1"/>
  <c r="BA504" i="3"/>
  <c r="AG506" i="3"/>
  <c r="AW506" i="3" s="1"/>
  <c r="BN506" i="3"/>
  <c r="AW505" i="3"/>
  <c r="AU505" i="3"/>
  <c r="AN506" i="3"/>
  <c r="X506" i="3"/>
  <c r="AQ507" i="3"/>
  <c r="D507" i="3"/>
  <c r="C507" i="3"/>
  <c r="A508" i="3"/>
  <c r="AR507" i="3"/>
  <c r="B507" i="3"/>
  <c r="F507" i="3"/>
  <c r="G507" i="3"/>
  <c r="H507" i="3" s="1"/>
  <c r="Q507" i="3"/>
  <c r="S507" i="3"/>
  <c r="O507" i="3"/>
  <c r="U507" i="3"/>
  <c r="AE507" i="3"/>
  <c r="AM507" i="3"/>
  <c r="AK507" i="3"/>
  <c r="AO507" i="3" s="1"/>
  <c r="AD507" i="3"/>
  <c r="M507" i="3"/>
  <c r="AF507" i="3"/>
  <c r="V507" i="3"/>
  <c r="T507" i="3"/>
  <c r="P507" i="3"/>
  <c r="R507" i="3"/>
  <c r="AT505" i="3"/>
  <c r="AX506" i="3" l="1"/>
  <c r="AU506" i="3"/>
  <c r="AY505" i="3"/>
  <c r="Y507" i="3"/>
  <c r="Z507" i="3" s="1"/>
  <c r="AT506" i="3"/>
  <c r="BN507" i="3"/>
  <c r="X507" i="3"/>
  <c r="D508" i="3"/>
  <c r="AQ508" i="3"/>
  <c r="B508" i="3"/>
  <c r="AR508" i="3"/>
  <c r="A509" i="3"/>
  <c r="C508" i="3"/>
  <c r="G508" i="3"/>
  <c r="H508" i="3" s="1"/>
  <c r="F508" i="3"/>
  <c r="S508" i="3"/>
  <c r="Q508" i="3"/>
  <c r="O508" i="3"/>
  <c r="U508" i="3"/>
  <c r="M508" i="3"/>
  <c r="AK508" i="3"/>
  <c r="AM508" i="3"/>
  <c r="AF508" i="3"/>
  <c r="AD508" i="3"/>
  <c r="AE508" i="3"/>
  <c r="V508" i="3"/>
  <c r="T508" i="3"/>
  <c r="P508" i="3"/>
  <c r="R508" i="3"/>
  <c r="AV506" i="3"/>
  <c r="BA506" i="3"/>
  <c r="AY506" i="3"/>
  <c r="AN507" i="3"/>
  <c r="BB504" i="3"/>
  <c r="BQ504" i="3"/>
  <c r="BF504" i="3"/>
  <c r="BJ503" i="3" s="1"/>
  <c r="BK503" i="3" s="1"/>
  <c r="AH507" i="3"/>
  <c r="BA505" i="3"/>
  <c r="AV505" i="3"/>
  <c r="BC505" i="3" s="1"/>
  <c r="BM507" i="3"/>
  <c r="AG507" i="3"/>
  <c r="BD504" i="3"/>
  <c r="BG504" i="3"/>
  <c r="BH504" i="3" s="1"/>
  <c r="BI504" i="3" s="1"/>
  <c r="AW507" i="3" l="1"/>
  <c r="AG508" i="3"/>
  <c r="AO508" i="3"/>
  <c r="BD505" i="3"/>
  <c r="BG505" i="3"/>
  <c r="BH505" i="3" s="1"/>
  <c r="BI505" i="3" s="1"/>
  <c r="X508" i="3"/>
  <c r="AH508" i="3"/>
  <c r="BB505" i="3"/>
  <c r="BF505" i="3"/>
  <c r="BJ504" i="3" s="1"/>
  <c r="BK504" i="3" s="1"/>
  <c r="BQ505" i="3"/>
  <c r="BM508" i="3"/>
  <c r="AT507" i="3"/>
  <c r="B509" i="3"/>
  <c r="A510" i="3"/>
  <c r="C509" i="3"/>
  <c r="AQ509" i="3"/>
  <c r="AR509" i="3"/>
  <c r="D509" i="3"/>
  <c r="F509" i="3"/>
  <c r="G509" i="3"/>
  <c r="H509" i="3" s="1"/>
  <c r="BN509" i="3" s="1"/>
  <c r="Q509" i="3"/>
  <c r="S509" i="3"/>
  <c r="O509" i="3"/>
  <c r="U509" i="3"/>
  <c r="M509" i="3"/>
  <c r="AD509" i="3"/>
  <c r="AM509" i="3"/>
  <c r="AK509" i="3"/>
  <c r="AO509" i="3" s="1"/>
  <c r="AF509" i="3"/>
  <c r="AE509" i="3"/>
  <c r="R509" i="3"/>
  <c r="V509" i="3"/>
  <c r="P509" i="3"/>
  <c r="T509" i="3"/>
  <c r="Y508" i="3"/>
  <c r="Z508" i="3" s="1"/>
  <c r="AU507" i="3"/>
  <c r="AX507" i="3"/>
  <c r="BF506" i="3"/>
  <c r="BB506" i="3"/>
  <c r="BQ506" i="3"/>
  <c r="BC506" i="3"/>
  <c r="AN508" i="3"/>
  <c r="BN508" i="3"/>
  <c r="AU508" i="3" l="1"/>
  <c r="AG509" i="3"/>
  <c r="AY507" i="3"/>
  <c r="AW508" i="3"/>
  <c r="Y509" i="3"/>
  <c r="Z509" i="3" s="1"/>
  <c r="X509" i="3"/>
  <c r="BJ505" i="3"/>
  <c r="BK505" i="3" s="1"/>
  <c r="B510" i="3"/>
  <c r="D510" i="3"/>
  <c r="C510" i="3"/>
  <c r="AR510" i="3"/>
  <c r="AQ510" i="3"/>
  <c r="A511" i="3"/>
  <c r="F510" i="3"/>
  <c r="G510" i="3"/>
  <c r="H510" i="3" s="1"/>
  <c r="Q510" i="3"/>
  <c r="S510" i="3"/>
  <c r="O510" i="3"/>
  <c r="U510" i="3"/>
  <c r="M510" i="3"/>
  <c r="AK510" i="3"/>
  <c r="AM510" i="3"/>
  <c r="AN510" i="3" s="1"/>
  <c r="AF510" i="3"/>
  <c r="AD510" i="3"/>
  <c r="AE510" i="3"/>
  <c r="P510" i="3"/>
  <c r="V510" i="3"/>
  <c r="T510" i="3"/>
  <c r="R510" i="3"/>
  <c r="AX508" i="3"/>
  <c r="AY508" i="3" s="1"/>
  <c r="AN509" i="3"/>
  <c r="BM509" i="3"/>
  <c r="BD506" i="3"/>
  <c r="BG506" i="3"/>
  <c r="BH506" i="3" s="1"/>
  <c r="BI506" i="3" s="1"/>
  <c r="AH509" i="3"/>
  <c r="BA507" i="3"/>
  <c r="AV507" i="3"/>
  <c r="BC507" i="3" s="1"/>
  <c r="AT508" i="3"/>
  <c r="BN510" i="3" l="1"/>
  <c r="BM510" i="3"/>
  <c r="AW509" i="3"/>
  <c r="AX509" i="3"/>
  <c r="BF507" i="3"/>
  <c r="BJ506" i="3" s="1"/>
  <c r="BK506" i="3" s="1"/>
  <c r="BQ507" i="3"/>
  <c r="BB507" i="3"/>
  <c r="AO510" i="3"/>
  <c r="X510" i="3"/>
  <c r="AQ511" i="3"/>
  <c r="B511" i="3"/>
  <c r="AR511" i="3"/>
  <c r="A512" i="3"/>
  <c r="D511" i="3"/>
  <c r="C511" i="3"/>
  <c r="F511" i="3"/>
  <c r="G511" i="3"/>
  <c r="H511" i="3" s="1"/>
  <c r="Q511" i="3"/>
  <c r="S511" i="3"/>
  <c r="O511" i="3"/>
  <c r="U511" i="3"/>
  <c r="AF511" i="3"/>
  <c r="AM511" i="3"/>
  <c r="AD511" i="3"/>
  <c r="AK511" i="3"/>
  <c r="M511" i="3"/>
  <c r="AE511" i="3"/>
  <c r="R511" i="3"/>
  <c r="T511" i="3"/>
  <c r="V511" i="3"/>
  <c r="P511" i="3"/>
  <c r="AG510" i="3"/>
  <c r="Y510" i="3"/>
  <c r="Z510" i="3" s="1"/>
  <c r="AV508" i="3"/>
  <c r="BC508" i="3" s="1"/>
  <c r="BA508" i="3"/>
  <c r="AT509" i="3"/>
  <c r="BD507" i="3"/>
  <c r="BG507" i="3"/>
  <c r="BH507" i="3" s="1"/>
  <c r="BI507" i="3" s="1"/>
  <c r="AU509" i="3"/>
  <c r="AH510" i="3"/>
  <c r="BM511" i="3" l="1"/>
  <c r="AO511" i="3"/>
  <c r="BN511" i="3"/>
  <c r="AH511" i="3"/>
  <c r="AY509" i="3"/>
  <c r="AW510" i="3"/>
  <c r="BA509" i="3"/>
  <c r="AV509" i="3"/>
  <c r="BC509" i="3" s="1"/>
  <c r="BD508" i="3"/>
  <c r="BG508" i="3"/>
  <c r="BH508" i="3" s="1"/>
  <c r="BI508" i="3" s="1"/>
  <c r="AU510" i="3"/>
  <c r="Y511" i="3"/>
  <c r="Z511" i="3" s="1"/>
  <c r="BQ508" i="3"/>
  <c r="BB508" i="3"/>
  <c r="BF508" i="3"/>
  <c r="BJ507" i="3" s="1"/>
  <c r="BK507" i="3" s="1"/>
  <c r="C512" i="3"/>
  <c r="AQ512" i="3"/>
  <c r="AR512" i="3"/>
  <c r="D512" i="3"/>
  <c r="B512" i="3"/>
  <c r="A513" i="3"/>
  <c r="G512" i="3"/>
  <c r="H512" i="3" s="1"/>
  <c r="F512" i="3"/>
  <c r="Q512" i="3"/>
  <c r="S512" i="3"/>
  <c r="O512" i="3"/>
  <c r="U512" i="3"/>
  <c r="AF512" i="3"/>
  <c r="AM512" i="3"/>
  <c r="AK512" i="3"/>
  <c r="M512" i="3"/>
  <c r="AD512" i="3"/>
  <c r="AE512" i="3"/>
  <c r="R512" i="3"/>
  <c r="V512" i="3"/>
  <c r="P512" i="3"/>
  <c r="T512" i="3"/>
  <c r="AG511" i="3"/>
  <c r="AN511" i="3"/>
  <c r="AX511" i="3" s="1"/>
  <c r="X511" i="3"/>
  <c r="AT510" i="3"/>
  <c r="AX510" i="3"/>
  <c r="AT511" i="3" l="1"/>
  <c r="AY510" i="3"/>
  <c r="X512" i="3"/>
  <c r="Y512" i="3"/>
  <c r="Z512" i="3" s="1"/>
  <c r="AG512" i="3"/>
  <c r="AO512" i="3"/>
  <c r="AV510" i="3"/>
  <c r="BC510" i="3" s="1"/>
  <c r="BA510" i="3"/>
  <c r="BM512" i="3"/>
  <c r="BN512" i="3"/>
  <c r="BD509" i="3"/>
  <c r="BG509" i="3"/>
  <c r="BH509" i="3" s="1"/>
  <c r="BI509" i="3" s="1"/>
  <c r="AW511" i="3"/>
  <c r="AY511" i="3" s="1"/>
  <c r="AN512" i="3"/>
  <c r="C513" i="3"/>
  <c r="D513" i="3"/>
  <c r="AR513" i="3"/>
  <c r="AQ513" i="3"/>
  <c r="A514" i="3"/>
  <c r="B513" i="3"/>
  <c r="F513" i="3"/>
  <c r="G513" i="3"/>
  <c r="H513" i="3" s="1"/>
  <c r="Q513" i="3"/>
  <c r="S513" i="3"/>
  <c r="O513" i="3"/>
  <c r="U513" i="3"/>
  <c r="AE513" i="3"/>
  <c r="AM513" i="3"/>
  <c r="AD513" i="3"/>
  <c r="AF513" i="3"/>
  <c r="AK513" i="3"/>
  <c r="AO513" i="3" s="1"/>
  <c r="M513" i="3"/>
  <c r="V513" i="3"/>
  <c r="R513" i="3"/>
  <c r="T513" i="3"/>
  <c r="P513" i="3"/>
  <c r="BQ509" i="3"/>
  <c r="BB509" i="3"/>
  <c r="BF509" i="3"/>
  <c r="BJ508" i="3" s="1"/>
  <c r="BK508" i="3" s="1"/>
  <c r="AH512" i="3"/>
  <c r="AX512" i="3" s="1"/>
  <c r="AU511" i="3"/>
  <c r="AV511" i="3" s="1"/>
  <c r="AW512" i="3" l="1"/>
  <c r="AY512" i="3" s="1"/>
  <c r="Y513" i="3"/>
  <c r="Z513" i="3" s="1"/>
  <c r="AH513" i="3"/>
  <c r="BF510" i="3"/>
  <c r="BJ509" i="3" s="1"/>
  <c r="BK509" i="3" s="1"/>
  <c r="BQ510" i="3"/>
  <c r="BB510" i="3"/>
  <c r="BM513" i="3"/>
  <c r="AU512" i="3"/>
  <c r="BD510" i="3"/>
  <c r="BG510" i="3"/>
  <c r="BH510" i="3" s="1"/>
  <c r="BI510" i="3" s="1"/>
  <c r="BN513" i="3"/>
  <c r="AN513" i="3"/>
  <c r="BA511" i="3"/>
  <c r="AG513" i="3"/>
  <c r="B514" i="3"/>
  <c r="AQ514" i="3"/>
  <c r="A515" i="3"/>
  <c r="AR514" i="3"/>
  <c r="C514" i="3"/>
  <c r="D514" i="3"/>
  <c r="F514" i="3"/>
  <c r="BM514" i="3" s="1"/>
  <c r="G514" i="3"/>
  <c r="H514" i="3" s="1"/>
  <c r="BN514" i="3" s="1"/>
  <c r="Q514" i="3"/>
  <c r="S514" i="3"/>
  <c r="O514" i="3"/>
  <c r="U514" i="3"/>
  <c r="AM514" i="3"/>
  <c r="AF514" i="3"/>
  <c r="AK514" i="3"/>
  <c r="AO514" i="3" s="1"/>
  <c r="M514" i="3"/>
  <c r="AD514" i="3"/>
  <c r="AE514" i="3"/>
  <c r="T514" i="3"/>
  <c r="V514" i="3"/>
  <c r="P514" i="3"/>
  <c r="R514" i="3"/>
  <c r="BC511" i="3"/>
  <c r="X513" i="3"/>
  <c r="AT512" i="3"/>
  <c r="AU513" i="3" l="1"/>
  <c r="AV513" i="3" s="1"/>
  <c r="AW513" i="3"/>
  <c r="AT513" i="3"/>
  <c r="AH514" i="3"/>
  <c r="BQ511" i="3"/>
  <c r="BB511" i="3"/>
  <c r="BF511" i="3"/>
  <c r="BJ510" i="3" s="1"/>
  <c r="BK510" i="3" s="1"/>
  <c r="Y514" i="3"/>
  <c r="Z514" i="3" s="1"/>
  <c r="BD511" i="3"/>
  <c r="BG511" i="3"/>
  <c r="BH511" i="3" s="1"/>
  <c r="BI511" i="3" s="1"/>
  <c r="AQ515" i="3"/>
  <c r="B515" i="3"/>
  <c r="A516" i="3"/>
  <c r="C515" i="3"/>
  <c r="AR515" i="3"/>
  <c r="D515" i="3"/>
  <c r="F515" i="3"/>
  <c r="G515" i="3"/>
  <c r="H515" i="3" s="1"/>
  <c r="Q515" i="3"/>
  <c r="S515" i="3"/>
  <c r="O515" i="3"/>
  <c r="U515" i="3"/>
  <c r="AD515" i="3"/>
  <c r="AE515" i="3"/>
  <c r="AK515" i="3"/>
  <c r="AM515" i="3"/>
  <c r="M515" i="3"/>
  <c r="AF515" i="3"/>
  <c r="V515" i="3"/>
  <c r="T515" i="3"/>
  <c r="P515" i="3"/>
  <c r="R515" i="3"/>
  <c r="AN514" i="3"/>
  <c r="AX513" i="3"/>
  <c r="X514" i="3"/>
  <c r="AV512" i="3"/>
  <c r="BC512" i="3" s="1"/>
  <c r="BA512" i="3"/>
  <c r="AG514" i="3"/>
  <c r="BA513" i="3" l="1"/>
  <c r="AN515" i="3"/>
  <c r="AH515" i="3"/>
  <c r="AT515" i="3" s="1"/>
  <c r="AW514" i="3"/>
  <c r="X515" i="3"/>
  <c r="AX514" i="3"/>
  <c r="AY513" i="3"/>
  <c r="BC513" i="3" s="1"/>
  <c r="BB513" i="3"/>
  <c r="BF513" i="3"/>
  <c r="BQ513" i="3"/>
  <c r="AG515" i="3"/>
  <c r="Y515" i="3"/>
  <c r="Z515" i="3" s="1"/>
  <c r="BB512" i="3"/>
  <c r="BF512" i="3"/>
  <c r="BJ511" i="3" s="1"/>
  <c r="BK511" i="3" s="1"/>
  <c r="BQ512" i="3"/>
  <c r="BD512" i="3"/>
  <c r="BG512" i="3"/>
  <c r="BH512" i="3" s="1"/>
  <c r="BI512" i="3" s="1"/>
  <c r="C516" i="3"/>
  <c r="D516" i="3"/>
  <c r="A517" i="3"/>
  <c r="AQ516" i="3"/>
  <c r="B516" i="3"/>
  <c r="AR516" i="3"/>
  <c r="F516" i="3"/>
  <c r="G516" i="3"/>
  <c r="H516" i="3" s="1"/>
  <c r="BN516" i="3" s="1"/>
  <c r="Q516" i="3"/>
  <c r="S516" i="3"/>
  <c r="O516" i="3"/>
  <c r="U516" i="3"/>
  <c r="AE516" i="3"/>
  <c r="AM516" i="3"/>
  <c r="AK516" i="3"/>
  <c r="AO516" i="3" s="1"/>
  <c r="M516" i="3"/>
  <c r="AD516" i="3"/>
  <c r="AF516" i="3"/>
  <c r="V516" i="3"/>
  <c r="R516" i="3"/>
  <c r="T516" i="3"/>
  <c r="P516" i="3"/>
  <c r="BN515" i="3"/>
  <c r="AT514" i="3"/>
  <c r="AU514" i="3"/>
  <c r="AO515" i="3"/>
  <c r="BM515" i="3"/>
  <c r="AY514" i="3" l="1"/>
  <c r="AW515" i="3"/>
  <c r="AV514" i="3"/>
  <c r="BC514" i="3" s="1"/>
  <c r="BA514" i="3"/>
  <c r="AH516" i="3"/>
  <c r="AG516" i="3"/>
  <c r="BM516" i="3"/>
  <c r="AN516" i="3"/>
  <c r="BJ512" i="3"/>
  <c r="BK512" i="3" s="1"/>
  <c r="AX515" i="3"/>
  <c r="BD513" i="3"/>
  <c r="BG513" i="3"/>
  <c r="BH513" i="3" s="1"/>
  <c r="BI513" i="3" s="1"/>
  <c r="X516" i="3"/>
  <c r="Y516" i="3"/>
  <c r="Z516" i="3" s="1"/>
  <c r="AQ517" i="3"/>
  <c r="A518" i="3"/>
  <c r="B517" i="3"/>
  <c r="AR517" i="3"/>
  <c r="D517" i="3"/>
  <c r="C517" i="3"/>
  <c r="F517" i="3"/>
  <c r="G517" i="3"/>
  <c r="H517" i="3" s="1"/>
  <c r="S517" i="3"/>
  <c r="Q517" i="3"/>
  <c r="O517" i="3"/>
  <c r="U517" i="3"/>
  <c r="M517" i="3"/>
  <c r="AK517" i="3"/>
  <c r="AM517" i="3"/>
  <c r="AF517" i="3"/>
  <c r="AD517" i="3"/>
  <c r="AE517" i="3"/>
  <c r="V517" i="3"/>
  <c r="P517" i="3"/>
  <c r="T517" i="3"/>
  <c r="R517" i="3"/>
  <c r="AU515" i="3"/>
  <c r="BA515" i="3" s="1"/>
  <c r="AT516" i="3" l="1"/>
  <c r="AY515" i="3"/>
  <c r="AV515" i="3"/>
  <c r="AG517" i="3"/>
  <c r="AO517" i="3"/>
  <c r="AW516" i="3"/>
  <c r="BF515" i="3"/>
  <c r="BB515" i="3"/>
  <c r="BQ515" i="3"/>
  <c r="X517" i="3"/>
  <c r="AX516" i="3"/>
  <c r="Y517" i="3"/>
  <c r="Z517" i="3" s="1"/>
  <c r="A519" i="3"/>
  <c r="AQ518" i="3"/>
  <c r="C518" i="3"/>
  <c r="B518" i="3"/>
  <c r="AR518" i="3"/>
  <c r="D518" i="3"/>
  <c r="F518" i="3"/>
  <c r="G518" i="3"/>
  <c r="H518" i="3" s="1"/>
  <c r="BN518" i="3" s="1"/>
  <c r="Q518" i="3"/>
  <c r="S518" i="3"/>
  <c r="O518" i="3"/>
  <c r="U518" i="3"/>
  <c r="AM518" i="3"/>
  <c r="AK518" i="3"/>
  <c r="AO518" i="3" s="1"/>
  <c r="AE518" i="3"/>
  <c r="AF518" i="3"/>
  <c r="AD518" i="3"/>
  <c r="AH518" i="3" s="1"/>
  <c r="M518" i="3"/>
  <c r="R518" i="3"/>
  <c r="T518" i="3"/>
  <c r="V518" i="3"/>
  <c r="P518" i="3"/>
  <c r="AH517" i="3"/>
  <c r="AX517" i="3" s="1"/>
  <c r="BN517" i="3"/>
  <c r="AU516" i="3"/>
  <c r="AV516" i="3" s="1"/>
  <c r="BF514" i="3"/>
  <c r="BJ513" i="3" s="1"/>
  <c r="BK513" i="3" s="1"/>
  <c r="BB514" i="3"/>
  <c r="BQ514" i="3"/>
  <c r="AN517" i="3"/>
  <c r="BM517" i="3"/>
  <c r="BD514" i="3"/>
  <c r="BG514" i="3"/>
  <c r="BH514" i="3" s="1"/>
  <c r="BI514" i="3" s="1"/>
  <c r="BC515" i="3" l="1"/>
  <c r="AY516" i="3"/>
  <c r="BC516" i="3" s="1"/>
  <c r="AT517" i="3"/>
  <c r="BA516" i="3"/>
  <c r="AG518" i="3"/>
  <c r="AU518" i="3" s="1"/>
  <c r="AT518" i="3"/>
  <c r="A520" i="3"/>
  <c r="D519" i="3"/>
  <c r="AQ519" i="3"/>
  <c r="C519" i="3"/>
  <c r="AR519" i="3"/>
  <c r="B519" i="3"/>
  <c r="G519" i="3"/>
  <c r="H519" i="3" s="1"/>
  <c r="F519" i="3"/>
  <c r="Q519" i="3"/>
  <c r="S519" i="3"/>
  <c r="O519" i="3"/>
  <c r="U519" i="3"/>
  <c r="AM519" i="3"/>
  <c r="AD519" i="3"/>
  <c r="M519" i="3"/>
  <c r="AK519" i="3"/>
  <c r="AE519" i="3"/>
  <c r="AF519" i="3"/>
  <c r="V519" i="3"/>
  <c r="T519" i="3"/>
  <c r="R519" i="3"/>
  <c r="P519" i="3"/>
  <c r="BM518" i="3"/>
  <c r="AW517" i="3"/>
  <c r="AY517" i="3" s="1"/>
  <c r="Y518" i="3"/>
  <c r="Z518" i="3" s="1"/>
  <c r="AN518" i="3"/>
  <c r="X518" i="3"/>
  <c r="AU517" i="3"/>
  <c r="BJ514" i="3"/>
  <c r="BK514" i="3" s="1"/>
  <c r="BG515" i="3" l="1"/>
  <c r="BH515" i="3" s="1"/>
  <c r="BI515" i="3" s="1"/>
  <c r="BD515" i="3"/>
  <c r="AN519" i="3"/>
  <c r="BA517" i="3"/>
  <c r="BQ517" i="3" s="1"/>
  <c r="AV517" i="3"/>
  <c r="BC517" i="3" s="1"/>
  <c r="AX518" i="3"/>
  <c r="BD516" i="3"/>
  <c r="BG516" i="3"/>
  <c r="BH516" i="3" s="1"/>
  <c r="BI516" i="3" s="1"/>
  <c r="X519" i="3"/>
  <c r="Y519" i="3"/>
  <c r="Z519" i="3" s="1"/>
  <c r="AO519" i="3"/>
  <c r="BD517" i="3"/>
  <c r="BG517" i="3"/>
  <c r="BH517" i="3" s="1"/>
  <c r="BI517" i="3" s="1"/>
  <c r="BM519" i="3"/>
  <c r="BN519" i="3"/>
  <c r="AW518" i="3"/>
  <c r="AG519" i="3"/>
  <c r="D520" i="3"/>
  <c r="B520" i="3"/>
  <c r="C520" i="3"/>
  <c r="AQ520" i="3"/>
  <c r="AR520" i="3"/>
  <c r="A521" i="3"/>
  <c r="F520" i="3"/>
  <c r="BM520" i="3" s="1"/>
  <c r="G520" i="3"/>
  <c r="H520" i="3" s="1"/>
  <c r="Q520" i="3"/>
  <c r="S520" i="3"/>
  <c r="O520" i="3"/>
  <c r="U520" i="3"/>
  <c r="AE520" i="3"/>
  <c r="AM520" i="3"/>
  <c r="AK520" i="3"/>
  <c r="M520" i="3"/>
  <c r="AF520" i="3"/>
  <c r="AD520" i="3"/>
  <c r="P520" i="3"/>
  <c r="R520" i="3"/>
  <c r="T520" i="3"/>
  <c r="V520" i="3"/>
  <c r="BQ516" i="3"/>
  <c r="BB516" i="3"/>
  <c r="BF516" i="3"/>
  <c r="BJ515" i="3" s="1"/>
  <c r="BK515" i="3" s="1"/>
  <c r="AV518" i="3"/>
  <c r="AH519" i="3"/>
  <c r="BB517" i="3" l="1"/>
  <c r="BF517" i="3"/>
  <c r="BN520" i="3"/>
  <c r="AH520" i="3"/>
  <c r="AO520" i="3"/>
  <c r="AY518" i="3"/>
  <c r="BC518" i="3" s="1"/>
  <c r="AW519" i="3"/>
  <c r="AN520" i="3"/>
  <c r="AT519" i="3"/>
  <c r="Y520" i="3"/>
  <c r="Z520" i="3" s="1"/>
  <c r="AQ521" i="3"/>
  <c r="A522" i="3"/>
  <c r="B521" i="3"/>
  <c r="AR521" i="3"/>
  <c r="C521" i="3"/>
  <c r="D521" i="3"/>
  <c r="G521" i="3"/>
  <c r="H521" i="3" s="1"/>
  <c r="F521" i="3"/>
  <c r="BM521" i="3" s="1"/>
  <c r="Q521" i="3"/>
  <c r="S521" i="3"/>
  <c r="O521" i="3"/>
  <c r="U521" i="3"/>
  <c r="AD521" i="3"/>
  <c r="M521" i="3"/>
  <c r="AK521" i="3"/>
  <c r="AM521" i="3"/>
  <c r="AF521" i="3"/>
  <c r="AE521" i="3"/>
  <c r="P521" i="3"/>
  <c r="V521" i="3"/>
  <c r="T521" i="3"/>
  <c r="R521" i="3"/>
  <c r="AG520" i="3"/>
  <c r="X520" i="3"/>
  <c r="AU519" i="3"/>
  <c r="AX519" i="3"/>
  <c r="BA518" i="3"/>
  <c r="BJ516" i="3"/>
  <c r="BK516" i="3" s="1"/>
  <c r="BD518" i="3" l="1"/>
  <c r="BG518" i="3"/>
  <c r="BH518" i="3" s="1"/>
  <c r="BI518" i="3" s="1"/>
  <c r="AY519" i="3"/>
  <c r="AW520" i="3"/>
  <c r="AN521" i="3"/>
  <c r="AX520" i="3"/>
  <c r="AO521" i="3"/>
  <c r="BN521" i="3"/>
  <c r="BB518" i="3"/>
  <c r="BF518" i="3"/>
  <c r="BJ517" i="3" s="1"/>
  <c r="BK517" i="3" s="1"/>
  <c r="BQ518" i="3"/>
  <c r="AU520" i="3"/>
  <c r="Y521" i="3"/>
  <c r="Z521" i="3" s="1"/>
  <c r="AV519" i="3"/>
  <c r="BC519" i="3" s="1"/>
  <c r="BA519" i="3"/>
  <c r="X521" i="3"/>
  <c r="AT520" i="3"/>
  <c r="AG521" i="3"/>
  <c r="A523" i="3"/>
  <c r="AQ522" i="3"/>
  <c r="C522" i="3"/>
  <c r="B522" i="3"/>
  <c r="AR522" i="3"/>
  <c r="D522" i="3"/>
  <c r="G522" i="3"/>
  <c r="H522" i="3" s="1"/>
  <c r="F522" i="3"/>
  <c r="Q522" i="3"/>
  <c r="S522" i="3"/>
  <c r="O522" i="3"/>
  <c r="U522" i="3"/>
  <c r="AE522" i="3"/>
  <c r="AM522" i="3"/>
  <c r="AK522" i="3"/>
  <c r="M522" i="3"/>
  <c r="AD522" i="3"/>
  <c r="AF522" i="3"/>
  <c r="P522" i="3"/>
  <c r="R522" i="3"/>
  <c r="V522" i="3"/>
  <c r="T522" i="3"/>
  <c r="AH521" i="3"/>
  <c r="AY520" i="3" l="1"/>
  <c r="AO522" i="3"/>
  <c r="BN522" i="3"/>
  <c r="BM522" i="3"/>
  <c r="AH522" i="3"/>
  <c r="AX521" i="3"/>
  <c r="A524" i="3"/>
  <c r="C523" i="3"/>
  <c r="AQ523" i="3"/>
  <c r="D523" i="3"/>
  <c r="AR523" i="3"/>
  <c r="B523" i="3"/>
  <c r="F523" i="3"/>
  <c r="G523" i="3"/>
  <c r="H523" i="3" s="1"/>
  <c r="Q523" i="3"/>
  <c r="S523" i="3"/>
  <c r="O523" i="3"/>
  <c r="U523" i="3"/>
  <c r="AK523" i="3"/>
  <c r="AM523" i="3"/>
  <c r="AD523" i="3"/>
  <c r="AF523" i="3"/>
  <c r="M523" i="3"/>
  <c r="AE523" i="3"/>
  <c r="V523" i="3"/>
  <c r="R523" i="3"/>
  <c r="T523" i="3"/>
  <c r="P523" i="3"/>
  <c r="AW521" i="3"/>
  <c r="BA520" i="3"/>
  <c r="AV520" i="3"/>
  <c r="BC520" i="3" s="1"/>
  <c r="AN522" i="3"/>
  <c r="AT521" i="3"/>
  <c r="AG522" i="3"/>
  <c r="X522" i="3"/>
  <c r="BB519" i="3"/>
  <c r="BQ519" i="3"/>
  <c r="BF519" i="3"/>
  <c r="BJ518" i="3" s="1"/>
  <c r="BK518" i="3" s="1"/>
  <c r="BG519" i="3"/>
  <c r="BH519" i="3" s="1"/>
  <c r="BI519" i="3" s="1"/>
  <c r="BD519" i="3"/>
  <c r="AU521" i="3"/>
  <c r="Y522" i="3"/>
  <c r="Z522" i="3" s="1"/>
  <c r="AU522" i="3" l="1"/>
  <c r="BN523" i="3"/>
  <c r="BM523" i="3"/>
  <c r="AY521" i="3"/>
  <c r="AN523" i="3"/>
  <c r="X523" i="3"/>
  <c r="AH523" i="3"/>
  <c r="AO523" i="3"/>
  <c r="Y523" i="3"/>
  <c r="Z523" i="3" s="1"/>
  <c r="AX522" i="3"/>
  <c r="AW522" i="3"/>
  <c r="AV521" i="3"/>
  <c r="BC521" i="3" s="1"/>
  <c r="BA521" i="3"/>
  <c r="BD520" i="3"/>
  <c r="BG520" i="3"/>
  <c r="BH520" i="3" s="1"/>
  <c r="BI520" i="3" s="1"/>
  <c r="AG523" i="3"/>
  <c r="AT522" i="3"/>
  <c r="BF520" i="3"/>
  <c r="BJ519" i="3" s="1"/>
  <c r="BK519" i="3" s="1"/>
  <c r="BQ520" i="3"/>
  <c r="BB520" i="3"/>
  <c r="D524" i="3"/>
  <c r="B524" i="3"/>
  <c r="C524" i="3"/>
  <c r="AQ524" i="3"/>
  <c r="AR524" i="3"/>
  <c r="A525" i="3"/>
  <c r="G524" i="3"/>
  <c r="H524" i="3" s="1"/>
  <c r="F524" i="3"/>
  <c r="S524" i="3"/>
  <c r="Q524" i="3"/>
  <c r="O524" i="3"/>
  <c r="U524" i="3"/>
  <c r="AM524" i="3"/>
  <c r="AD524" i="3"/>
  <c r="AK524" i="3"/>
  <c r="AF524" i="3"/>
  <c r="AE524" i="3"/>
  <c r="M524" i="3"/>
  <c r="V524" i="3"/>
  <c r="T524" i="3"/>
  <c r="P524" i="3"/>
  <c r="R524" i="3"/>
  <c r="BN524" i="3" l="1"/>
  <c r="AW523" i="3"/>
  <c r="AH524" i="3"/>
  <c r="AN524" i="3"/>
  <c r="X524" i="3"/>
  <c r="AT523" i="3"/>
  <c r="AU523" i="3"/>
  <c r="AV523" i="3" s="1"/>
  <c r="AO524" i="3"/>
  <c r="BB521" i="3"/>
  <c r="BF521" i="3"/>
  <c r="BJ520" i="3" s="1"/>
  <c r="BK520" i="3" s="1"/>
  <c r="BQ521" i="3"/>
  <c r="AQ525" i="3"/>
  <c r="A526" i="3"/>
  <c r="B525" i="3"/>
  <c r="AR525" i="3"/>
  <c r="C525" i="3"/>
  <c r="D525" i="3"/>
  <c r="F525" i="3"/>
  <c r="G525" i="3"/>
  <c r="H525" i="3" s="1"/>
  <c r="BN525" i="3" s="1"/>
  <c r="Q525" i="3"/>
  <c r="S525" i="3"/>
  <c r="O525" i="3"/>
  <c r="U525" i="3"/>
  <c r="AD525" i="3"/>
  <c r="AK525" i="3"/>
  <c r="AM525" i="3"/>
  <c r="AF525" i="3"/>
  <c r="M525" i="3"/>
  <c r="AE525" i="3"/>
  <c r="V525" i="3"/>
  <c r="R525" i="3"/>
  <c r="P525" i="3"/>
  <c r="T525" i="3"/>
  <c r="Y524" i="3"/>
  <c r="Z524" i="3" s="1"/>
  <c r="BA522" i="3"/>
  <c r="AV522" i="3"/>
  <c r="AY522" i="3"/>
  <c r="AG524" i="3"/>
  <c r="BD521" i="3"/>
  <c r="BG521" i="3"/>
  <c r="BH521" i="3" s="1"/>
  <c r="BI521" i="3" s="1"/>
  <c r="BM524" i="3"/>
  <c r="AX523" i="3"/>
  <c r="BM525" i="3" l="1"/>
  <c r="AW524" i="3"/>
  <c r="AT524" i="3"/>
  <c r="AN525" i="3"/>
  <c r="BA523" i="3"/>
  <c r="BF523" i="3" s="1"/>
  <c r="AY523" i="3"/>
  <c r="BC523" i="3" s="1"/>
  <c r="AG525" i="3"/>
  <c r="AU524" i="3"/>
  <c r="AV524" i="3" s="1"/>
  <c r="Y525" i="3"/>
  <c r="Z525" i="3" s="1"/>
  <c r="X525" i="3"/>
  <c r="A527" i="3"/>
  <c r="AQ526" i="3"/>
  <c r="C526" i="3"/>
  <c r="B526" i="3"/>
  <c r="AR526" i="3"/>
  <c r="D526" i="3"/>
  <c r="G526" i="3"/>
  <c r="H526" i="3" s="1"/>
  <c r="F526" i="3"/>
  <c r="Q526" i="3"/>
  <c r="S526" i="3"/>
  <c r="O526" i="3"/>
  <c r="U526" i="3"/>
  <c r="AF526" i="3"/>
  <c r="AM526" i="3"/>
  <c r="AK526" i="3"/>
  <c r="M526" i="3"/>
  <c r="AE526" i="3"/>
  <c r="AD526" i="3"/>
  <c r="T526" i="3"/>
  <c r="P526" i="3"/>
  <c r="R526" i="3"/>
  <c r="V526" i="3"/>
  <c r="BB522" i="3"/>
  <c r="BQ522" i="3"/>
  <c r="BF522" i="3"/>
  <c r="BJ521" i="3" s="1"/>
  <c r="BK521" i="3" s="1"/>
  <c r="AO525" i="3"/>
  <c r="BC522" i="3"/>
  <c r="AH525" i="3"/>
  <c r="AX524" i="3"/>
  <c r="AY524" i="3" s="1"/>
  <c r="BM526" i="3" l="1"/>
  <c r="AO526" i="3"/>
  <c r="BN526" i="3"/>
  <c r="BB523" i="3"/>
  <c r="BQ523" i="3"/>
  <c r="AH526" i="3"/>
  <c r="AT526" i="3" s="1"/>
  <c r="AW525" i="3"/>
  <c r="BA524" i="3"/>
  <c r="BQ524" i="3" s="1"/>
  <c r="AX525" i="3"/>
  <c r="AG526" i="3"/>
  <c r="BD523" i="3"/>
  <c r="BG523" i="3"/>
  <c r="BH523" i="3" s="1"/>
  <c r="BI523" i="3" s="1"/>
  <c r="AU525" i="3"/>
  <c r="A528" i="3"/>
  <c r="C527" i="3"/>
  <c r="AQ527" i="3"/>
  <c r="D527" i="3"/>
  <c r="AR527" i="3"/>
  <c r="B527" i="3"/>
  <c r="F527" i="3"/>
  <c r="G527" i="3"/>
  <c r="H527" i="3" s="1"/>
  <c r="BN527" i="3" s="1"/>
  <c r="S527" i="3"/>
  <c r="Q527" i="3"/>
  <c r="O527" i="3"/>
  <c r="U527" i="3"/>
  <c r="AM527" i="3"/>
  <c r="AK527" i="3"/>
  <c r="AO527" i="3" s="1"/>
  <c r="AF527" i="3"/>
  <c r="AD527" i="3"/>
  <c r="AE527" i="3"/>
  <c r="M527" i="3"/>
  <c r="R527" i="3"/>
  <c r="T527" i="3"/>
  <c r="P527" i="3"/>
  <c r="V527" i="3"/>
  <c r="Y526" i="3"/>
  <c r="Z526" i="3" s="1"/>
  <c r="BC524" i="3"/>
  <c r="AT525" i="3"/>
  <c r="BD522" i="3"/>
  <c r="BG522" i="3"/>
  <c r="BH522" i="3" s="1"/>
  <c r="BI522" i="3" s="1"/>
  <c r="AN526" i="3"/>
  <c r="X526" i="3"/>
  <c r="BJ522" i="3"/>
  <c r="BK522" i="3" s="1"/>
  <c r="AU526" i="3" l="1"/>
  <c r="AY525" i="3"/>
  <c r="BF524" i="3"/>
  <c r="BJ523" i="3" s="1"/>
  <c r="BK523" i="3" s="1"/>
  <c r="AX526" i="3"/>
  <c r="BB524" i="3"/>
  <c r="AG527" i="3"/>
  <c r="D528" i="3"/>
  <c r="B528" i="3"/>
  <c r="C528" i="3"/>
  <c r="AQ528" i="3"/>
  <c r="AR528" i="3"/>
  <c r="A529" i="3"/>
  <c r="G528" i="3"/>
  <c r="H528" i="3" s="1"/>
  <c r="F528" i="3"/>
  <c r="BM528" i="3" s="1"/>
  <c r="Q528" i="3"/>
  <c r="S528" i="3"/>
  <c r="O528" i="3"/>
  <c r="U528" i="3"/>
  <c r="AE528" i="3"/>
  <c r="AM528" i="3"/>
  <c r="AK528" i="3"/>
  <c r="AO528" i="3" s="1"/>
  <c r="AD528" i="3"/>
  <c r="AF528" i="3"/>
  <c r="M528" i="3"/>
  <c r="T528" i="3"/>
  <c r="P528" i="3"/>
  <c r="R528" i="3"/>
  <c r="V528" i="3"/>
  <c r="Y527" i="3"/>
  <c r="Z527" i="3" s="1"/>
  <c r="AV526" i="3"/>
  <c r="BM527" i="3"/>
  <c r="BA525" i="3"/>
  <c r="AV525" i="3"/>
  <c r="AW526" i="3"/>
  <c r="AH527" i="3"/>
  <c r="AN527" i="3"/>
  <c r="BD524" i="3"/>
  <c r="BG524" i="3"/>
  <c r="BH524" i="3" s="1"/>
  <c r="BI524" i="3" s="1"/>
  <c r="X527" i="3"/>
  <c r="BC525" i="3" l="1"/>
  <c r="BN528" i="3"/>
  <c r="AY526" i="3"/>
  <c r="AU527" i="3"/>
  <c r="AT527" i="3"/>
  <c r="AV527" i="3" s="1"/>
  <c r="AW527" i="3"/>
  <c r="BD525" i="3"/>
  <c r="BG525" i="3"/>
  <c r="BH525" i="3" s="1"/>
  <c r="BI525" i="3" s="1"/>
  <c r="AG528" i="3"/>
  <c r="BA526" i="3"/>
  <c r="Y528" i="3"/>
  <c r="Z528" i="3" s="1"/>
  <c r="AN528" i="3"/>
  <c r="AQ529" i="3"/>
  <c r="A530" i="3"/>
  <c r="B529" i="3"/>
  <c r="AR529" i="3"/>
  <c r="D529" i="3"/>
  <c r="C529" i="3"/>
  <c r="G529" i="3"/>
  <c r="H529" i="3" s="1"/>
  <c r="F529" i="3"/>
  <c r="Q529" i="3"/>
  <c r="S529" i="3"/>
  <c r="O529" i="3"/>
  <c r="U529" i="3"/>
  <c r="M529" i="3"/>
  <c r="AK529" i="3"/>
  <c r="AM529" i="3"/>
  <c r="AD529" i="3"/>
  <c r="AE529" i="3"/>
  <c r="AF529" i="3"/>
  <c r="V529" i="3"/>
  <c r="P529" i="3"/>
  <c r="T529" i="3"/>
  <c r="R529" i="3"/>
  <c r="BB525" i="3"/>
  <c r="BF525" i="3"/>
  <c r="BJ524" i="3" s="1"/>
  <c r="BK524" i="3" s="1"/>
  <c r="BQ525" i="3"/>
  <c r="X528" i="3"/>
  <c r="BC526" i="3"/>
  <c r="AX527" i="3"/>
  <c r="AY527" i="3" s="1"/>
  <c r="AH528" i="3"/>
  <c r="AX528" i="3" l="1"/>
  <c r="BM529" i="3"/>
  <c r="AT528" i="3"/>
  <c r="X529" i="3"/>
  <c r="AN529" i="3"/>
  <c r="AU528" i="3"/>
  <c r="AV528" i="3" s="1"/>
  <c r="BF526" i="3"/>
  <c r="BJ525" i="3" s="1"/>
  <c r="BK525" i="3" s="1"/>
  <c r="BB526" i="3"/>
  <c r="BQ526" i="3"/>
  <c r="Y529" i="3"/>
  <c r="Z529" i="3" s="1"/>
  <c r="A531" i="3"/>
  <c r="AQ530" i="3"/>
  <c r="D530" i="3"/>
  <c r="B530" i="3"/>
  <c r="AR530" i="3"/>
  <c r="C530" i="3"/>
  <c r="G530" i="3"/>
  <c r="H530" i="3" s="1"/>
  <c r="F530" i="3"/>
  <c r="S530" i="3"/>
  <c r="Q530" i="3"/>
  <c r="O530" i="3"/>
  <c r="U530" i="3"/>
  <c r="AK530" i="3"/>
  <c r="AM530" i="3"/>
  <c r="AE530" i="3"/>
  <c r="AD530" i="3"/>
  <c r="M530" i="3"/>
  <c r="AF530" i="3"/>
  <c r="V530" i="3"/>
  <c r="R530" i="3"/>
  <c r="P530" i="3"/>
  <c r="T530" i="3"/>
  <c r="BA527" i="3"/>
  <c r="BD526" i="3"/>
  <c r="BG526" i="3"/>
  <c r="BH526" i="3" s="1"/>
  <c r="BI526" i="3" s="1"/>
  <c r="AG529" i="3"/>
  <c r="AW528" i="3"/>
  <c r="AY528" i="3" s="1"/>
  <c r="AH529" i="3"/>
  <c r="BN529" i="3"/>
  <c r="AO529" i="3"/>
  <c r="BC527" i="3"/>
  <c r="BN530" i="3" l="1"/>
  <c r="AN530" i="3"/>
  <c r="AG530" i="3"/>
  <c r="AX529" i="3"/>
  <c r="AU529" i="3"/>
  <c r="AO530" i="3"/>
  <c r="AW529" i="3"/>
  <c r="AY529" i="3" s="1"/>
  <c r="BC528" i="3"/>
  <c r="BA528" i="3"/>
  <c r="BD527" i="3"/>
  <c r="BG527" i="3"/>
  <c r="BH527" i="3" s="1"/>
  <c r="BI527" i="3" s="1"/>
  <c r="AT529" i="3"/>
  <c r="A532" i="3"/>
  <c r="C531" i="3"/>
  <c r="AQ531" i="3"/>
  <c r="D531" i="3"/>
  <c r="AR531" i="3"/>
  <c r="B531" i="3"/>
  <c r="F531" i="3"/>
  <c r="G531" i="3"/>
  <c r="H531" i="3" s="1"/>
  <c r="Q531" i="3"/>
  <c r="S531" i="3"/>
  <c r="O531" i="3"/>
  <c r="U531" i="3"/>
  <c r="AK531" i="3"/>
  <c r="AE531" i="3"/>
  <c r="AM531" i="3"/>
  <c r="M531" i="3"/>
  <c r="AD531" i="3"/>
  <c r="AF531" i="3"/>
  <c r="AH531" i="3" s="1"/>
  <c r="V531" i="3"/>
  <c r="P531" i="3"/>
  <c r="R531" i="3"/>
  <c r="T531" i="3"/>
  <c r="X530" i="3"/>
  <c r="Y530" i="3"/>
  <c r="Z530" i="3" s="1"/>
  <c r="BF527" i="3"/>
  <c r="BJ526" i="3" s="1"/>
  <c r="BK526" i="3" s="1"/>
  <c r="BQ527" i="3"/>
  <c r="BB527" i="3"/>
  <c r="AH530" i="3"/>
  <c r="AX530" i="3" s="1"/>
  <c r="BM530" i="3"/>
  <c r="AU530" i="3" l="1"/>
  <c r="AO531" i="3"/>
  <c r="AG531" i="3"/>
  <c r="Y531" i="3"/>
  <c r="Z531" i="3" s="1"/>
  <c r="C532" i="3"/>
  <c r="B532" i="3"/>
  <c r="D532" i="3"/>
  <c r="A533" i="3"/>
  <c r="AQ532" i="3"/>
  <c r="AR532" i="3"/>
  <c r="G532" i="3"/>
  <c r="H532" i="3" s="1"/>
  <c r="F532" i="3"/>
  <c r="Q532" i="3"/>
  <c r="S532" i="3"/>
  <c r="O532" i="3"/>
  <c r="U532" i="3"/>
  <c r="M532" i="3"/>
  <c r="AK532" i="3"/>
  <c r="AM532" i="3"/>
  <c r="AN532" i="3" s="1"/>
  <c r="AD532" i="3"/>
  <c r="AE532" i="3"/>
  <c r="AF532" i="3"/>
  <c r="V532" i="3"/>
  <c r="P532" i="3"/>
  <c r="R532" i="3"/>
  <c r="T532" i="3"/>
  <c r="AT531" i="3"/>
  <c r="X531" i="3"/>
  <c r="AT530" i="3"/>
  <c r="BN531" i="3"/>
  <c r="BA529" i="3"/>
  <c r="AV529" i="3"/>
  <c r="BC529" i="3" s="1"/>
  <c r="AW530" i="3"/>
  <c r="AY530" i="3" s="1"/>
  <c r="BB528" i="3"/>
  <c r="BF528" i="3"/>
  <c r="BJ527" i="3" s="1"/>
  <c r="BK527" i="3" s="1"/>
  <c r="BQ528" i="3"/>
  <c r="BD528" i="3"/>
  <c r="BG528" i="3"/>
  <c r="BH528" i="3" s="1"/>
  <c r="BI528" i="3" s="1"/>
  <c r="AN531" i="3"/>
  <c r="AX531" i="3" s="1"/>
  <c r="BM531" i="3"/>
  <c r="Y532" i="3" l="1"/>
  <c r="Z532" i="3" s="1"/>
  <c r="BD529" i="3"/>
  <c r="BG529" i="3"/>
  <c r="BH529" i="3" s="1"/>
  <c r="BI529" i="3" s="1"/>
  <c r="X532" i="3"/>
  <c r="AQ533" i="3"/>
  <c r="A534" i="3"/>
  <c r="B533" i="3"/>
  <c r="AR533" i="3"/>
  <c r="C533" i="3"/>
  <c r="D533" i="3"/>
  <c r="G533" i="3"/>
  <c r="H533" i="3" s="1"/>
  <c r="BN533" i="3" s="1"/>
  <c r="F533" i="3"/>
  <c r="BM533" i="3" s="1"/>
  <c r="S533" i="3"/>
  <c r="Q533" i="3"/>
  <c r="O533" i="3"/>
  <c r="U533" i="3"/>
  <c r="AM533" i="3"/>
  <c r="AK533" i="3"/>
  <c r="AF533" i="3"/>
  <c r="AE533" i="3"/>
  <c r="M533" i="3"/>
  <c r="AD533" i="3"/>
  <c r="V533" i="3"/>
  <c r="P533" i="3"/>
  <c r="T533" i="3"/>
  <c r="R533" i="3"/>
  <c r="AG532" i="3"/>
  <c r="BN532" i="3"/>
  <c r="AW531" i="3"/>
  <c r="AY531" i="3" s="1"/>
  <c r="BM532" i="3"/>
  <c r="BQ529" i="3"/>
  <c r="BB529" i="3"/>
  <c r="BF529" i="3"/>
  <c r="BJ528" i="3" s="1"/>
  <c r="BK528" i="3" s="1"/>
  <c r="AV530" i="3"/>
  <c r="BC530" i="3" s="1"/>
  <c r="BA530" i="3"/>
  <c r="AH532" i="3"/>
  <c r="AO532" i="3"/>
  <c r="AU531" i="3"/>
  <c r="AV531" i="3" s="1"/>
  <c r="BC531" i="3" l="1"/>
  <c r="BA531" i="3"/>
  <c r="AH533" i="3"/>
  <c r="AX532" i="3"/>
  <c r="AN533" i="3"/>
  <c r="A535" i="3"/>
  <c r="AQ534" i="3"/>
  <c r="D534" i="3"/>
  <c r="B534" i="3"/>
  <c r="AR534" i="3"/>
  <c r="C534" i="3"/>
  <c r="F534" i="3"/>
  <c r="BM534" i="3" s="1"/>
  <c r="G534" i="3"/>
  <c r="H534" i="3" s="1"/>
  <c r="Q534" i="3"/>
  <c r="S534" i="3"/>
  <c r="O534" i="3"/>
  <c r="U534" i="3"/>
  <c r="AK534" i="3"/>
  <c r="AM534" i="3"/>
  <c r="AN534" i="3" s="1"/>
  <c r="AE534" i="3"/>
  <c r="AD534" i="3"/>
  <c r="M534" i="3"/>
  <c r="AF534" i="3"/>
  <c r="P534" i="3"/>
  <c r="V534" i="3"/>
  <c r="R534" i="3"/>
  <c r="T534" i="3"/>
  <c r="X533" i="3"/>
  <c r="BD531" i="3"/>
  <c r="BG531" i="3"/>
  <c r="BH531" i="3" s="1"/>
  <c r="BI531" i="3" s="1"/>
  <c r="BQ530" i="3"/>
  <c r="BB530" i="3"/>
  <c r="BF530" i="3"/>
  <c r="BJ529" i="3" s="1"/>
  <c r="BK529" i="3" s="1"/>
  <c r="AG533" i="3"/>
  <c r="AT533" i="3"/>
  <c r="BB531" i="3"/>
  <c r="BF531" i="3"/>
  <c r="BJ530" i="3" s="1"/>
  <c r="BK530" i="3" s="1"/>
  <c r="BQ531" i="3"/>
  <c r="AU532" i="3"/>
  <c r="BG530" i="3"/>
  <c r="BH530" i="3" s="1"/>
  <c r="BI530" i="3" s="1"/>
  <c r="BD530" i="3"/>
  <c r="AW532" i="3"/>
  <c r="AT532" i="3"/>
  <c r="AO533" i="3"/>
  <c r="Y533" i="3"/>
  <c r="Z533" i="3" s="1"/>
  <c r="BN534" i="3" l="1"/>
  <c r="AW533" i="3"/>
  <c r="AG534" i="3"/>
  <c r="AY532" i="3"/>
  <c r="BA532" i="3"/>
  <c r="AV532" i="3"/>
  <c r="BC532" i="3" s="1"/>
  <c r="AO534" i="3"/>
  <c r="AW534" i="3" s="1"/>
  <c r="AT534" i="3"/>
  <c r="Y534" i="3"/>
  <c r="Z534" i="3" s="1"/>
  <c r="AH534" i="3"/>
  <c r="AU534" i="3"/>
  <c r="X534" i="3"/>
  <c r="AU533" i="3"/>
  <c r="AV533" i="3" s="1"/>
  <c r="AX533" i="3"/>
  <c r="A536" i="3"/>
  <c r="D535" i="3"/>
  <c r="AQ535" i="3"/>
  <c r="C535" i="3"/>
  <c r="AR535" i="3"/>
  <c r="B535" i="3"/>
  <c r="G535" i="3"/>
  <c r="H535" i="3" s="1"/>
  <c r="F535" i="3"/>
  <c r="BM535" i="3" s="1"/>
  <c r="Q535" i="3"/>
  <c r="S535" i="3"/>
  <c r="O535" i="3"/>
  <c r="U535" i="3"/>
  <c r="AK535" i="3"/>
  <c r="AD535" i="3"/>
  <c r="M535" i="3"/>
  <c r="AM535" i="3"/>
  <c r="AN535" i="3" s="1"/>
  <c r="AF535" i="3"/>
  <c r="AE535" i="3"/>
  <c r="V535" i="3"/>
  <c r="T535" i="3"/>
  <c r="R535" i="3"/>
  <c r="P535" i="3"/>
  <c r="BN535" i="3" l="1"/>
  <c r="BA533" i="3"/>
  <c r="AH535" i="3"/>
  <c r="BQ533" i="3"/>
  <c r="BF533" i="3"/>
  <c r="BB533" i="3"/>
  <c r="AV534" i="3"/>
  <c r="AO535" i="3"/>
  <c r="C536" i="3"/>
  <c r="B536" i="3"/>
  <c r="D536" i="3"/>
  <c r="AQ536" i="3"/>
  <c r="AR536" i="3"/>
  <c r="A537" i="3"/>
  <c r="G536" i="3"/>
  <c r="H536" i="3" s="1"/>
  <c r="BN536" i="3" s="1"/>
  <c r="F536" i="3"/>
  <c r="Q536" i="3"/>
  <c r="S536" i="3"/>
  <c r="O536" i="3"/>
  <c r="U536" i="3"/>
  <c r="AM536" i="3"/>
  <c r="M536" i="3"/>
  <c r="AF536" i="3"/>
  <c r="AK536" i="3"/>
  <c r="AO536" i="3" s="1"/>
  <c r="AE536" i="3"/>
  <c r="AD536" i="3"/>
  <c r="V536" i="3"/>
  <c r="T536" i="3"/>
  <c r="R536" i="3"/>
  <c r="P536" i="3"/>
  <c r="X535" i="3"/>
  <c r="AY533" i="3"/>
  <c r="BC533" i="3" s="1"/>
  <c r="BD532" i="3"/>
  <c r="BG532" i="3"/>
  <c r="BH532" i="3" s="1"/>
  <c r="BI532" i="3" s="1"/>
  <c r="Y535" i="3"/>
  <c r="Z535" i="3" s="1"/>
  <c r="AG535" i="3"/>
  <c r="AX534" i="3"/>
  <c r="AY534" i="3" s="1"/>
  <c r="BQ532" i="3"/>
  <c r="BB532" i="3"/>
  <c r="BF532" i="3"/>
  <c r="BJ531" i="3" s="1"/>
  <c r="BK531" i="3" s="1"/>
  <c r="AT535" i="3" l="1"/>
  <c r="BM536" i="3"/>
  <c r="AG536" i="3"/>
  <c r="BD533" i="3"/>
  <c r="BG533" i="3"/>
  <c r="BH533" i="3" s="1"/>
  <c r="BI533" i="3" s="1"/>
  <c r="AW535" i="3"/>
  <c r="AQ537" i="3"/>
  <c r="A538" i="3"/>
  <c r="B537" i="3"/>
  <c r="AR537" i="3"/>
  <c r="D537" i="3"/>
  <c r="C537" i="3"/>
  <c r="G537" i="3"/>
  <c r="H537" i="3" s="1"/>
  <c r="BN537" i="3" s="1"/>
  <c r="F537" i="3"/>
  <c r="BM537" i="3" s="1"/>
  <c r="Q537" i="3"/>
  <c r="S537" i="3"/>
  <c r="O537" i="3"/>
  <c r="U537" i="3"/>
  <c r="M537" i="3"/>
  <c r="AM537" i="3"/>
  <c r="AK537" i="3"/>
  <c r="AO537" i="3" s="1"/>
  <c r="AE537" i="3"/>
  <c r="AD537" i="3"/>
  <c r="AF537" i="3"/>
  <c r="V537" i="3"/>
  <c r="P537" i="3"/>
  <c r="R537" i="3"/>
  <c r="T537" i="3"/>
  <c r="X536" i="3"/>
  <c r="Y536" i="3"/>
  <c r="Z536" i="3" s="1"/>
  <c r="BJ532" i="3"/>
  <c r="BK532" i="3" s="1"/>
  <c r="BA534" i="3"/>
  <c r="BC534" i="3"/>
  <c r="AX535" i="3"/>
  <c r="AN536" i="3"/>
  <c r="AU535" i="3"/>
  <c r="AV535" i="3" s="1"/>
  <c r="AH536" i="3"/>
  <c r="AT536" i="3" s="1"/>
  <c r="AU536" i="3" l="1"/>
  <c r="AW536" i="3"/>
  <c r="AX536" i="3"/>
  <c r="AY536" i="3" s="1"/>
  <c r="AH537" i="3"/>
  <c r="A539" i="3"/>
  <c r="AQ538" i="3"/>
  <c r="C538" i="3"/>
  <c r="B538" i="3"/>
  <c r="AR538" i="3"/>
  <c r="D538" i="3"/>
  <c r="F538" i="3"/>
  <c r="G538" i="3"/>
  <c r="H538" i="3" s="1"/>
  <c r="BN538" i="3" s="1"/>
  <c r="Q538" i="3"/>
  <c r="S538" i="3"/>
  <c r="O538" i="3"/>
  <c r="U538" i="3"/>
  <c r="AM538" i="3"/>
  <c r="AK538" i="3"/>
  <c r="AO538" i="3" s="1"/>
  <c r="M538" i="3"/>
  <c r="AF538" i="3"/>
  <c r="AE538" i="3"/>
  <c r="AD538" i="3"/>
  <c r="T538" i="3"/>
  <c r="V538" i="3"/>
  <c r="R538" i="3"/>
  <c r="P538" i="3"/>
  <c r="BA536" i="3"/>
  <c r="AV536" i="3"/>
  <c r="AY535" i="3"/>
  <c r="BC535" i="3" s="1"/>
  <c r="AN537" i="3"/>
  <c r="BA535" i="3"/>
  <c r="BD534" i="3"/>
  <c r="BG534" i="3"/>
  <c r="BH534" i="3" s="1"/>
  <c r="BI534" i="3" s="1"/>
  <c r="AG537" i="3"/>
  <c r="BB534" i="3"/>
  <c r="BF534" i="3"/>
  <c r="BJ533" i="3" s="1"/>
  <c r="BK533" i="3" s="1"/>
  <c r="BQ534" i="3"/>
  <c r="X537" i="3"/>
  <c r="Y537" i="3"/>
  <c r="Z537" i="3" s="1"/>
  <c r="AH538" i="3" l="1"/>
  <c r="BD535" i="3"/>
  <c r="BG535" i="3"/>
  <c r="BH535" i="3" s="1"/>
  <c r="BI535" i="3" s="1"/>
  <c r="AU538" i="3"/>
  <c r="BC536" i="3"/>
  <c r="AW537" i="3"/>
  <c r="BF536" i="3"/>
  <c r="BB536" i="3"/>
  <c r="BQ536" i="3"/>
  <c r="BQ535" i="3"/>
  <c r="BF535" i="3"/>
  <c r="BJ534" i="3" s="1"/>
  <c r="BK534" i="3" s="1"/>
  <c r="BB535" i="3"/>
  <c r="Y538" i="3"/>
  <c r="Z538" i="3" s="1"/>
  <c r="X538" i="3"/>
  <c r="AX537" i="3"/>
  <c r="AU537" i="3"/>
  <c r="AG538" i="3"/>
  <c r="A540" i="3"/>
  <c r="C539" i="3"/>
  <c r="AQ539" i="3"/>
  <c r="D539" i="3"/>
  <c r="AR539" i="3"/>
  <c r="B539" i="3"/>
  <c r="F539" i="3"/>
  <c r="G539" i="3"/>
  <c r="H539" i="3" s="1"/>
  <c r="Q539" i="3"/>
  <c r="S539" i="3"/>
  <c r="O539" i="3"/>
  <c r="U539" i="3"/>
  <c r="AE539" i="3"/>
  <c r="AK539" i="3"/>
  <c r="AM539" i="3"/>
  <c r="AF539" i="3"/>
  <c r="M539" i="3"/>
  <c r="AD539" i="3"/>
  <c r="V539" i="3"/>
  <c r="P539" i="3"/>
  <c r="R539" i="3"/>
  <c r="T539" i="3"/>
  <c r="BM538" i="3"/>
  <c r="AT537" i="3"/>
  <c r="AN538" i="3"/>
  <c r="AX538" i="3" s="1"/>
  <c r="AT538" i="3"/>
  <c r="AO539" i="3" l="1"/>
  <c r="AG539" i="3"/>
  <c r="BM539" i="3"/>
  <c r="BJ535" i="3"/>
  <c r="BK535" i="3" s="1"/>
  <c r="X539" i="3"/>
  <c r="AY537" i="3"/>
  <c r="AN539" i="3"/>
  <c r="AV538" i="3"/>
  <c r="Y539" i="3"/>
  <c r="Z539" i="3" s="1"/>
  <c r="AH539" i="3"/>
  <c r="AV537" i="3"/>
  <c r="BA537" i="3"/>
  <c r="D540" i="3"/>
  <c r="B540" i="3"/>
  <c r="C540" i="3"/>
  <c r="AR540" i="3"/>
  <c r="A541" i="3"/>
  <c r="AQ540" i="3"/>
  <c r="G540" i="3"/>
  <c r="H540" i="3" s="1"/>
  <c r="F540" i="3"/>
  <c r="Q540" i="3"/>
  <c r="S540" i="3"/>
  <c r="O540" i="3"/>
  <c r="U540" i="3"/>
  <c r="AK540" i="3"/>
  <c r="AM540" i="3"/>
  <c r="AD540" i="3"/>
  <c r="AF540" i="3"/>
  <c r="M540" i="3"/>
  <c r="AE540" i="3"/>
  <c r="P540" i="3"/>
  <c r="R540" i="3"/>
  <c r="V540" i="3"/>
  <c r="T540" i="3"/>
  <c r="BD536" i="3"/>
  <c r="BG536" i="3"/>
  <c r="BH536" i="3" s="1"/>
  <c r="BI536" i="3" s="1"/>
  <c r="BN539" i="3"/>
  <c r="AW538" i="3"/>
  <c r="AY538" i="3" s="1"/>
  <c r="BC537" i="3" l="1"/>
  <c r="AX539" i="3"/>
  <c r="AN540" i="3"/>
  <c r="AT539" i="3"/>
  <c r="X540" i="3"/>
  <c r="AU539" i="3"/>
  <c r="AV539" i="3" s="1"/>
  <c r="AG540" i="3"/>
  <c r="BA538" i="3"/>
  <c r="Y540" i="3"/>
  <c r="Z540" i="3" s="1"/>
  <c r="AO540" i="3"/>
  <c r="AQ541" i="3"/>
  <c r="A542" i="3"/>
  <c r="B541" i="3"/>
  <c r="AR541" i="3"/>
  <c r="C541" i="3"/>
  <c r="D541" i="3"/>
  <c r="F541" i="3"/>
  <c r="G541" i="3"/>
  <c r="H541" i="3" s="1"/>
  <c r="Q541" i="3"/>
  <c r="S541" i="3"/>
  <c r="O541" i="3"/>
  <c r="U541" i="3"/>
  <c r="AD541" i="3"/>
  <c r="M541" i="3"/>
  <c r="AF541" i="3"/>
  <c r="AK541" i="3"/>
  <c r="AM541" i="3"/>
  <c r="AE541" i="3"/>
  <c r="V541" i="3"/>
  <c r="T541" i="3"/>
  <c r="P541" i="3"/>
  <c r="R541" i="3"/>
  <c r="BM540" i="3"/>
  <c r="BF537" i="3"/>
  <c r="BJ536" i="3" s="1"/>
  <c r="BK536" i="3" s="1"/>
  <c r="BB537" i="3"/>
  <c r="BQ537" i="3"/>
  <c r="AH540" i="3"/>
  <c r="BN540" i="3"/>
  <c r="BD537" i="3"/>
  <c r="BG537" i="3"/>
  <c r="BH537" i="3" s="1"/>
  <c r="BI537" i="3" s="1"/>
  <c r="BC538" i="3"/>
  <c r="AW539" i="3"/>
  <c r="AT540" i="3" l="1"/>
  <c r="BN541" i="3"/>
  <c r="BM541" i="3"/>
  <c r="AN541" i="3"/>
  <c r="AU540" i="3"/>
  <c r="BA539" i="3"/>
  <c r="BB539" i="3" s="1"/>
  <c r="Y541" i="3"/>
  <c r="Z541" i="3" s="1"/>
  <c r="AG541" i="3"/>
  <c r="A543" i="3"/>
  <c r="AQ542" i="3"/>
  <c r="C542" i="3"/>
  <c r="B542" i="3"/>
  <c r="AR542" i="3"/>
  <c r="D542" i="3"/>
  <c r="F542" i="3"/>
  <c r="G542" i="3"/>
  <c r="H542" i="3" s="1"/>
  <c r="Q542" i="3"/>
  <c r="S542" i="3"/>
  <c r="O542" i="3"/>
  <c r="U542" i="3"/>
  <c r="AK542" i="3"/>
  <c r="AD542" i="3"/>
  <c r="AM542" i="3"/>
  <c r="M542" i="3"/>
  <c r="AF542" i="3"/>
  <c r="AE542" i="3"/>
  <c r="V542" i="3"/>
  <c r="R542" i="3"/>
  <c r="P542" i="3"/>
  <c r="T542" i="3"/>
  <c r="AV540" i="3"/>
  <c r="AO541" i="3"/>
  <c r="BD538" i="3"/>
  <c r="BG538" i="3"/>
  <c r="BH538" i="3" s="1"/>
  <c r="BI538" i="3" s="1"/>
  <c r="AX540" i="3"/>
  <c r="BQ538" i="3"/>
  <c r="BF538" i="3"/>
  <c r="BJ537" i="3" s="1"/>
  <c r="BK537" i="3" s="1"/>
  <c r="BB538" i="3"/>
  <c r="AY539" i="3"/>
  <c r="BC539" i="3" s="1"/>
  <c r="AH541" i="3"/>
  <c r="X541" i="3"/>
  <c r="AW540" i="3"/>
  <c r="BA540" i="3" l="1"/>
  <c r="BQ539" i="3"/>
  <c r="BN542" i="3"/>
  <c r="BF539" i="3"/>
  <c r="AN542" i="3"/>
  <c r="AG542" i="3"/>
  <c r="Y542" i="3"/>
  <c r="Z542" i="3" s="1"/>
  <c r="BD539" i="3"/>
  <c r="BG539" i="3"/>
  <c r="BH539" i="3" s="1"/>
  <c r="BI539" i="3" s="1"/>
  <c r="AX541" i="3"/>
  <c r="X542" i="3"/>
  <c r="BM542" i="3"/>
  <c r="BJ538" i="3"/>
  <c r="BK538" i="3" s="1"/>
  <c r="A544" i="3"/>
  <c r="C543" i="3"/>
  <c r="AQ543" i="3"/>
  <c r="D543" i="3"/>
  <c r="AR543" i="3"/>
  <c r="B543" i="3"/>
  <c r="G543" i="3"/>
  <c r="H543" i="3" s="1"/>
  <c r="F543" i="3"/>
  <c r="Q543" i="3"/>
  <c r="S543" i="3"/>
  <c r="O543" i="3"/>
  <c r="U543" i="3"/>
  <c r="AK543" i="3"/>
  <c r="AM543" i="3"/>
  <c r="AF543" i="3"/>
  <c r="AD543" i="3"/>
  <c r="AE543" i="3"/>
  <c r="M543" i="3"/>
  <c r="R543" i="3"/>
  <c r="V543" i="3"/>
  <c r="T543" i="3"/>
  <c r="P543" i="3"/>
  <c r="AT541" i="3"/>
  <c r="AH542" i="3"/>
  <c r="BB540" i="3"/>
  <c r="BQ540" i="3"/>
  <c r="BF540" i="3"/>
  <c r="BJ539" i="3" s="1"/>
  <c r="BK539" i="3" s="1"/>
  <c r="AW541" i="3"/>
  <c r="AY540" i="3"/>
  <c r="BC540" i="3" s="1"/>
  <c r="AU541" i="3"/>
  <c r="AO542" i="3"/>
  <c r="BM543" i="3" l="1"/>
  <c r="BN543" i="3"/>
  <c r="AN543" i="3"/>
  <c r="AX542" i="3"/>
  <c r="AY541" i="3"/>
  <c r="BD540" i="3"/>
  <c r="BG540" i="3"/>
  <c r="BH540" i="3" s="1"/>
  <c r="BI540" i="3" s="1"/>
  <c r="AW542" i="3"/>
  <c r="AY542" i="3" s="1"/>
  <c r="AH543" i="3"/>
  <c r="AU542" i="3"/>
  <c r="AV541" i="3"/>
  <c r="BA541" i="3"/>
  <c r="X543" i="3"/>
  <c r="AO543" i="3"/>
  <c r="Y543" i="3"/>
  <c r="Z543" i="3" s="1"/>
  <c r="AT542" i="3"/>
  <c r="AG543" i="3"/>
  <c r="D544" i="3"/>
  <c r="B544" i="3"/>
  <c r="C544" i="3"/>
  <c r="AQ544" i="3"/>
  <c r="AR544" i="3"/>
  <c r="A545" i="3"/>
  <c r="F544" i="3"/>
  <c r="BM544" i="3" s="1"/>
  <c r="G544" i="3"/>
  <c r="H544" i="3" s="1"/>
  <c r="S544" i="3"/>
  <c r="Q544" i="3"/>
  <c r="O544" i="3"/>
  <c r="U544" i="3"/>
  <c r="AF544" i="3"/>
  <c r="M544" i="3"/>
  <c r="AK544" i="3"/>
  <c r="AE544" i="3"/>
  <c r="AM544" i="3"/>
  <c r="AD544" i="3"/>
  <c r="V544" i="3"/>
  <c r="P544" i="3"/>
  <c r="T544" i="3"/>
  <c r="R544" i="3"/>
  <c r="BN544" i="3" l="1"/>
  <c r="BC541" i="3"/>
  <c r="AG544" i="3"/>
  <c r="AN544" i="3"/>
  <c r="AW543" i="3"/>
  <c r="BG541" i="3"/>
  <c r="BH541" i="3" s="1"/>
  <c r="BI541" i="3" s="1"/>
  <c r="BD541" i="3"/>
  <c r="AT543" i="3"/>
  <c r="AX543" i="3"/>
  <c r="AO544" i="3"/>
  <c r="BA542" i="3"/>
  <c r="AV542" i="3"/>
  <c r="BC542" i="3" s="1"/>
  <c r="AU543" i="3"/>
  <c r="AQ545" i="3"/>
  <c r="A546" i="3"/>
  <c r="B545" i="3"/>
  <c r="AR545" i="3"/>
  <c r="D545" i="3"/>
  <c r="C545" i="3"/>
  <c r="F545" i="3"/>
  <c r="G545" i="3"/>
  <c r="H545" i="3" s="1"/>
  <c r="Q545" i="3"/>
  <c r="S545" i="3"/>
  <c r="O545" i="3"/>
  <c r="U545" i="3"/>
  <c r="AK545" i="3"/>
  <c r="AM545" i="3"/>
  <c r="M545" i="3"/>
  <c r="AF545" i="3"/>
  <c r="AD545" i="3"/>
  <c r="AE545" i="3"/>
  <c r="V545" i="3"/>
  <c r="R545" i="3"/>
  <c r="T545" i="3"/>
  <c r="P545" i="3"/>
  <c r="Y544" i="3"/>
  <c r="Z544" i="3" s="1"/>
  <c r="X544" i="3"/>
  <c r="AH544" i="3"/>
  <c r="AU544" i="3" s="1"/>
  <c r="BB541" i="3"/>
  <c r="BF541" i="3"/>
  <c r="BJ540" i="3" s="1"/>
  <c r="BK540" i="3" s="1"/>
  <c r="BQ541" i="3"/>
  <c r="AY543" i="3" l="1"/>
  <c r="AG545" i="3"/>
  <c r="AN545" i="3"/>
  <c r="BF542" i="3"/>
  <c r="BJ541" i="3" s="1"/>
  <c r="BK541" i="3" s="1"/>
  <c r="BQ542" i="3"/>
  <c r="BB542" i="3"/>
  <c r="AV543" i="3"/>
  <c r="BC543" i="3" s="1"/>
  <c r="BA543" i="3"/>
  <c r="AX544" i="3"/>
  <c r="X545" i="3"/>
  <c r="AH545" i="3"/>
  <c r="BN545" i="3"/>
  <c r="AO545" i="3"/>
  <c r="AW545" i="3" s="1"/>
  <c r="AT545" i="3"/>
  <c r="Y545" i="3"/>
  <c r="Z545" i="3" s="1"/>
  <c r="A547" i="3"/>
  <c r="AQ546" i="3"/>
  <c r="C546" i="3"/>
  <c r="B546" i="3"/>
  <c r="AR546" i="3"/>
  <c r="D546" i="3"/>
  <c r="F546" i="3"/>
  <c r="BM546" i="3" s="1"/>
  <c r="G546" i="3"/>
  <c r="H546" i="3" s="1"/>
  <c r="BN546" i="3" s="1"/>
  <c r="S546" i="3"/>
  <c r="Q546" i="3"/>
  <c r="O546" i="3"/>
  <c r="U546" i="3"/>
  <c r="AM546" i="3"/>
  <c r="AD546" i="3"/>
  <c r="AK546" i="3"/>
  <c r="AO546" i="3" s="1"/>
  <c r="M546" i="3"/>
  <c r="AF546" i="3"/>
  <c r="AE546" i="3"/>
  <c r="T546" i="3"/>
  <c r="V546" i="3"/>
  <c r="R546" i="3"/>
  <c r="P546" i="3"/>
  <c r="AW544" i="3"/>
  <c r="AU545" i="3"/>
  <c r="AT544" i="3"/>
  <c r="BM545" i="3"/>
  <c r="BG542" i="3"/>
  <c r="BH542" i="3" s="1"/>
  <c r="BI542" i="3" s="1"/>
  <c r="BD542" i="3"/>
  <c r="AG546" i="3" l="1"/>
  <c r="AV545" i="3"/>
  <c r="BB543" i="3"/>
  <c r="BQ543" i="3"/>
  <c r="BF543" i="3"/>
  <c r="BJ542" i="3" s="1"/>
  <c r="BK542" i="3" s="1"/>
  <c r="A548" i="3"/>
  <c r="D547" i="3"/>
  <c r="AQ547" i="3"/>
  <c r="C547" i="3"/>
  <c r="AR547" i="3"/>
  <c r="B547" i="3"/>
  <c r="G547" i="3"/>
  <c r="H547" i="3" s="1"/>
  <c r="F547" i="3"/>
  <c r="BM547" i="3" s="1"/>
  <c r="Q547" i="3"/>
  <c r="S547" i="3"/>
  <c r="O547" i="3"/>
  <c r="U547" i="3"/>
  <c r="AD547" i="3"/>
  <c r="AM547" i="3"/>
  <c r="AK547" i="3"/>
  <c r="AF547" i="3"/>
  <c r="AE547" i="3"/>
  <c r="M547" i="3"/>
  <c r="P547" i="3"/>
  <c r="R547" i="3"/>
  <c r="T547" i="3"/>
  <c r="V547" i="3"/>
  <c r="BD543" i="3"/>
  <c r="BG543" i="3"/>
  <c r="BH543" i="3" s="1"/>
  <c r="BI543" i="3" s="1"/>
  <c r="AH546" i="3"/>
  <c r="AU546" i="3" s="1"/>
  <c r="AY544" i="3"/>
  <c r="AN546" i="3"/>
  <c r="Y546" i="3"/>
  <c r="Z546" i="3" s="1"/>
  <c r="X546" i="3"/>
  <c r="AX545" i="3"/>
  <c r="AY545" i="3" s="1"/>
  <c r="BA544" i="3"/>
  <c r="AV544" i="3"/>
  <c r="AO547" i="3" l="1"/>
  <c r="AT546" i="3"/>
  <c r="BN547" i="3"/>
  <c r="Y547" i="3"/>
  <c r="Z547" i="3" s="1"/>
  <c r="AH547" i="3"/>
  <c r="X547" i="3"/>
  <c r="BC544" i="3"/>
  <c r="AW546" i="3"/>
  <c r="AN547" i="3"/>
  <c r="BA545" i="3"/>
  <c r="BC545" i="3"/>
  <c r="AV546" i="3"/>
  <c r="BF544" i="3"/>
  <c r="BJ543" i="3" s="1"/>
  <c r="BK543" i="3" s="1"/>
  <c r="BB544" i="3"/>
  <c r="BQ544" i="3"/>
  <c r="AX546" i="3"/>
  <c r="AG547" i="3"/>
  <c r="D548" i="3"/>
  <c r="B548" i="3"/>
  <c r="C548" i="3"/>
  <c r="AQ548" i="3"/>
  <c r="AR548" i="3"/>
  <c r="A549" i="3"/>
  <c r="F548" i="3"/>
  <c r="G548" i="3"/>
  <c r="H548" i="3" s="1"/>
  <c r="BN548" i="3" s="1"/>
  <c r="S548" i="3"/>
  <c r="Q548" i="3"/>
  <c r="O548" i="3"/>
  <c r="U548" i="3"/>
  <c r="AK548" i="3"/>
  <c r="AE548" i="3"/>
  <c r="AF548" i="3"/>
  <c r="AM548" i="3"/>
  <c r="M548" i="3"/>
  <c r="AD548" i="3"/>
  <c r="V548" i="3"/>
  <c r="P548" i="3"/>
  <c r="R548" i="3"/>
  <c r="T548" i="3"/>
  <c r="AW547" i="3" l="1"/>
  <c r="BA546" i="3"/>
  <c r="X548" i="3"/>
  <c r="AU547" i="3"/>
  <c r="AO548" i="3"/>
  <c r="AG548" i="3"/>
  <c r="AQ549" i="3"/>
  <c r="A550" i="3"/>
  <c r="B549" i="3"/>
  <c r="AR549" i="3"/>
  <c r="D549" i="3"/>
  <c r="C549" i="3"/>
  <c r="F549" i="3"/>
  <c r="G549" i="3"/>
  <c r="H549" i="3" s="1"/>
  <c r="Q549" i="3"/>
  <c r="S549" i="3"/>
  <c r="O549" i="3"/>
  <c r="U549" i="3"/>
  <c r="AD549" i="3"/>
  <c r="AK549" i="3"/>
  <c r="AM549" i="3"/>
  <c r="AF549" i="3"/>
  <c r="AE549" i="3"/>
  <c r="M549" i="3"/>
  <c r="R549" i="3"/>
  <c r="V549" i="3"/>
  <c r="P549" i="3"/>
  <c r="T549" i="3"/>
  <c r="BD544" i="3"/>
  <c r="BG544" i="3"/>
  <c r="BH544" i="3" s="1"/>
  <c r="BI544" i="3" s="1"/>
  <c r="BD545" i="3"/>
  <c r="BG545" i="3"/>
  <c r="BH545" i="3" s="1"/>
  <c r="BI545" i="3" s="1"/>
  <c r="AX547" i="3"/>
  <c r="AY547" i="3" s="1"/>
  <c r="BB546" i="3"/>
  <c r="BF546" i="3"/>
  <c r="BQ546" i="3"/>
  <c r="BQ545" i="3"/>
  <c r="BB545" i="3"/>
  <c r="BF545" i="3"/>
  <c r="BJ544" i="3" s="1"/>
  <c r="BK544" i="3" s="1"/>
  <c r="Y548" i="3"/>
  <c r="Z548" i="3" s="1"/>
  <c r="AN548" i="3"/>
  <c r="AH548" i="3"/>
  <c r="BM548" i="3"/>
  <c r="AY546" i="3"/>
  <c r="BC546" i="3" s="1"/>
  <c r="AT547" i="3"/>
  <c r="AT548" i="3" l="1"/>
  <c r="X549" i="3"/>
  <c r="AO549" i="3"/>
  <c r="AH549" i="3"/>
  <c r="BD546" i="3"/>
  <c r="BG546" i="3"/>
  <c r="BH546" i="3" s="1"/>
  <c r="BI546" i="3" s="1"/>
  <c r="Y549" i="3"/>
  <c r="Z549" i="3" s="1"/>
  <c r="AV547" i="3"/>
  <c r="BC547" i="3" s="1"/>
  <c r="BA547" i="3"/>
  <c r="A551" i="3"/>
  <c r="AQ550" i="3"/>
  <c r="D550" i="3"/>
  <c r="B550" i="3"/>
  <c r="AR550" i="3"/>
  <c r="C550" i="3"/>
  <c r="F550" i="3"/>
  <c r="G550" i="3"/>
  <c r="H550" i="3" s="1"/>
  <c r="S550" i="3"/>
  <c r="Q550" i="3"/>
  <c r="O550" i="3"/>
  <c r="U550" i="3"/>
  <c r="AM550" i="3"/>
  <c r="AK550" i="3"/>
  <c r="AF550" i="3"/>
  <c r="AD550" i="3"/>
  <c r="AE550" i="3"/>
  <c r="M550" i="3"/>
  <c r="V550" i="3"/>
  <c r="P550" i="3"/>
  <c r="R550" i="3"/>
  <c r="T550" i="3"/>
  <c r="AX548" i="3"/>
  <c r="BJ545" i="3"/>
  <c r="BK545" i="3" s="1"/>
  <c r="AG549" i="3"/>
  <c r="AT549" i="3" s="1"/>
  <c r="BN549" i="3"/>
  <c r="AW548" i="3"/>
  <c r="AN549" i="3"/>
  <c r="AX549" i="3" s="1"/>
  <c r="BM549" i="3"/>
  <c r="AU548" i="3"/>
  <c r="AV548" i="3" s="1"/>
  <c r="BA548" i="3" l="1"/>
  <c r="AO550" i="3"/>
  <c r="AU549" i="3"/>
  <c r="AG550" i="3"/>
  <c r="AV549" i="3"/>
  <c r="BF548" i="3"/>
  <c r="BB548" i="3"/>
  <c r="BQ548" i="3"/>
  <c r="AY548" i="3"/>
  <c r="BC548" i="3" s="1"/>
  <c r="BM550" i="3"/>
  <c r="BB547" i="3"/>
  <c r="BF547" i="3"/>
  <c r="BJ546" i="3" s="1"/>
  <c r="BK546" i="3" s="1"/>
  <c r="BQ547" i="3"/>
  <c r="Y550" i="3"/>
  <c r="Z550" i="3" s="1"/>
  <c r="AW549" i="3"/>
  <c r="AY549" i="3" s="1"/>
  <c r="BD547" i="3"/>
  <c r="BG547" i="3"/>
  <c r="BH547" i="3" s="1"/>
  <c r="BI547" i="3" s="1"/>
  <c r="A552" i="3"/>
  <c r="D551" i="3"/>
  <c r="AQ551" i="3"/>
  <c r="C551" i="3"/>
  <c r="AR551" i="3"/>
  <c r="B551" i="3"/>
  <c r="G551" i="3"/>
  <c r="H551" i="3" s="1"/>
  <c r="F551" i="3"/>
  <c r="S551" i="3"/>
  <c r="Q551" i="3"/>
  <c r="O551" i="3"/>
  <c r="U551" i="3"/>
  <c r="X551" i="3" s="1"/>
  <c r="AF551" i="3"/>
  <c r="AM551" i="3"/>
  <c r="AK551" i="3"/>
  <c r="AD551" i="3"/>
  <c r="AE551" i="3"/>
  <c r="M551" i="3"/>
  <c r="V551" i="3"/>
  <c r="R551" i="3"/>
  <c r="P551" i="3"/>
  <c r="T551" i="3"/>
  <c r="AN550" i="3"/>
  <c r="X550" i="3"/>
  <c r="AH550" i="3"/>
  <c r="BN550" i="3"/>
  <c r="AU550" i="3" l="1"/>
  <c r="AO551" i="3"/>
  <c r="AG551" i="3"/>
  <c r="AX550" i="3"/>
  <c r="BJ547" i="3"/>
  <c r="BK547" i="3" s="1"/>
  <c r="BD548" i="3"/>
  <c r="BG548" i="3"/>
  <c r="BH548" i="3" s="1"/>
  <c r="BI548" i="3" s="1"/>
  <c r="AH551" i="3"/>
  <c r="AU551" i="3" s="1"/>
  <c r="BM551" i="3"/>
  <c r="AW550" i="3"/>
  <c r="AT550" i="3"/>
  <c r="Y551" i="3"/>
  <c r="Z551" i="3" s="1"/>
  <c r="C552" i="3"/>
  <c r="B552" i="3"/>
  <c r="D552" i="3"/>
  <c r="AQ552" i="3"/>
  <c r="AR552" i="3"/>
  <c r="A553" i="3"/>
  <c r="G552" i="3"/>
  <c r="H552" i="3" s="1"/>
  <c r="F552" i="3"/>
  <c r="S552" i="3"/>
  <c r="Q552" i="3"/>
  <c r="O552" i="3"/>
  <c r="U552" i="3"/>
  <c r="M552" i="3"/>
  <c r="AK552" i="3"/>
  <c r="AM552" i="3"/>
  <c r="AN552" i="3" s="1"/>
  <c r="AF552" i="3"/>
  <c r="AE552" i="3"/>
  <c r="AD552" i="3"/>
  <c r="AH552" i="3" s="1"/>
  <c r="T552" i="3"/>
  <c r="P552" i="3"/>
  <c r="R552" i="3"/>
  <c r="V552" i="3"/>
  <c r="BN551" i="3"/>
  <c r="BA549" i="3"/>
  <c r="AN551" i="3"/>
  <c r="BC549" i="3"/>
  <c r="AT551" i="3" l="1"/>
  <c r="BM552" i="3"/>
  <c r="X552" i="3"/>
  <c r="AY550" i="3"/>
  <c r="AV551" i="3"/>
  <c r="AW551" i="3"/>
  <c r="BD549" i="3"/>
  <c r="BG549" i="3"/>
  <c r="BH549" i="3" s="1"/>
  <c r="BI549" i="3" s="1"/>
  <c r="AG552" i="3"/>
  <c r="AX551" i="3"/>
  <c r="BB549" i="3"/>
  <c r="BF549" i="3"/>
  <c r="BJ548" i="3" s="1"/>
  <c r="BK548" i="3" s="1"/>
  <c r="BQ549" i="3"/>
  <c r="BN552" i="3"/>
  <c r="Y552" i="3"/>
  <c r="Z552" i="3" s="1"/>
  <c r="AO552" i="3"/>
  <c r="AQ553" i="3"/>
  <c r="A554" i="3"/>
  <c r="B553" i="3"/>
  <c r="C553" i="3"/>
  <c r="AR553" i="3"/>
  <c r="D553" i="3"/>
  <c r="G553" i="3"/>
  <c r="H553" i="3" s="1"/>
  <c r="F553" i="3"/>
  <c r="Q553" i="3"/>
  <c r="S553" i="3"/>
  <c r="O553" i="3"/>
  <c r="U553" i="3"/>
  <c r="AK553" i="3"/>
  <c r="AE553" i="3"/>
  <c r="AF553" i="3"/>
  <c r="AM553" i="3"/>
  <c r="M553" i="3"/>
  <c r="AD553" i="3"/>
  <c r="V553" i="3"/>
  <c r="T553" i="3"/>
  <c r="R553" i="3"/>
  <c r="P553" i="3"/>
  <c r="BA550" i="3"/>
  <c r="AV550" i="3"/>
  <c r="BC550" i="3" s="1"/>
  <c r="AX552" i="3" l="1"/>
  <c r="BA551" i="3"/>
  <c r="AG553" i="3"/>
  <c r="X553" i="3"/>
  <c r="AO553" i="3"/>
  <c r="BB551" i="3"/>
  <c r="BQ551" i="3"/>
  <c r="BF551" i="3"/>
  <c r="BF550" i="3"/>
  <c r="BJ549" i="3" s="1"/>
  <c r="BK549" i="3" s="1"/>
  <c r="BB550" i="3"/>
  <c r="BQ550" i="3"/>
  <c r="BN553" i="3"/>
  <c r="Y553" i="3"/>
  <c r="Z553" i="3" s="1"/>
  <c r="AH553" i="3"/>
  <c r="AW553" i="3" s="1"/>
  <c r="AY551" i="3"/>
  <c r="BC551" i="3" s="1"/>
  <c r="A555" i="3"/>
  <c r="AR554" i="3"/>
  <c r="D554" i="3"/>
  <c r="B554" i="3"/>
  <c r="AQ554" i="3"/>
  <c r="C554" i="3"/>
  <c r="G554" i="3"/>
  <c r="H554" i="3" s="1"/>
  <c r="BN554" i="3" s="1"/>
  <c r="F554" i="3"/>
  <c r="S554" i="3"/>
  <c r="Q554" i="3"/>
  <c r="O554" i="3"/>
  <c r="U554" i="3"/>
  <c r="AE554" i="3"/>
  <c r="AK554" i="3"/>
  <c r="AM554" i="3"/>
  <c r="AF554" i="3"/>
  <c r="AD554" i="3"/>
  <c r="M554" i="3"/>
  <c r="V554" i="3"/>
  <c r="P554" i="3"/>
  <c r="R554" i="3"/>
  <c r="T554" i="3"/>
  <c r="AW552" i="3"/>
  <c r="AY552" i="3" s="1"/>
  <c r="AT552" i="3"/>
  <c r="BD550" i="3"/>
  <c r="BG550" i="3"/>
  <c r="BH550" i="3" s="1"/>
  <c r="BI550" i="3" s="1"/>
  <c r="AN553" i="3"/>
  <c r="BM553" i="3"/>
  <c r="AU552" i="3"/>
  <c r="AU553" i="3" l="1"/>
  <c r="BM554" i="3"/>
  <c r="AT553" i="3"/>
  <c r="AN554" i="3"/>
  <c r="AH554" i="3"/>
  <c r="BD551" i="3"/>
  <c r="BG551" i="3"/>
  <c r="BH551" i="3" s="1"/>
  <c r="BI551" i="3" s="1"/>
  <c r="Y554" i="3"/>
  <c r="Z554" i="3" s="1"/>
  <c r="AX553" i="3"/>
  <c r="BJ550" i="3"/>
  <c r="BK550" i="3" s="1"/>
  <c r="AV552" i="3"/>
  <c r="BC552" i="3" s="1"/>
  <c r="BA552" i="3"/>
  <c r="AV553" i="3"/>
  <c r="AG554" i="3"/>
  <c r="AU554" i="3"/>
  <c r="A556" i="3"/>
  <c r="D555" i="3"/>
  <c r="AQ555" i="3"/>
  <c r="C555" i="3"/>
  <c r="AR555" i="3"/>
  <c r="B555" i="3"/>
  <c r="G555" i="3"/>
  <c r="H555" i="3" s="1"/>
  <c r="F555" i="3"/>
  <c r="S555" i="3"/>
  <c r="Q555" i="3"/>
  <c r="O555" i="3"/>
  <c r="U555" i="3"/>
  <c r="M555" i="3"/>
  <c r="AD555" i="3"/>
  <c r="AK555" i="3"/>
  <c r="AM555" i="3"/>
  <c r="AN555" i="3" s="1"/>
  <c r="AF555" i="3"/>
  <c r="AE555" i="3"/>
  <c r="V555" i="3"/>
  <c r="T555" i="3"/>
  <c r="R555" i="3"/>
  <c r="P555" i="3"/>
  <c r="AO554" i="3"/>
  <c r="X554" i="3"/>
  <c r="BA553" i="3" l="1"/>
  <c r="BM555" i="3"/>
  <c r="BN555" i="3"/>
  <c r="AY553" i="3"/>
  <c r="BC553" i="3" s="1"/>
  <c r="AH555" i="3"/>
  <c r="AX554" i="3"/>
  <c r="BQ553" i="3"/>
  <c r="BF553" i="3"/>
  <c r="BB553" i="3"/>
  <c r="C556" i="3"/>
  <c r="B556" i="3"/>
  <c r="D556" i="3"/>
  <c r="A557" i="3"/>
  <c r="AQ556" i="3"/>
  <c r="AR556" i="3"/>
  <c r="G556" i="3"/>
  <c r="H556" i="3" s="1"/>
  <c r="F556" i="3"/>
  <c r="S556" i="3"/>
  <c r="Q556" i="3"/>
  <c r="O556" i="3"/>
  <c r="U556" i="3"/>
  <c r="AM556" i="3"/>
  <c r="M556" i="3"/>
  <c r="AK556" i="3"/>
  <c r="AO556" i="3" s="1"/>
  <c r="AF556" i="3"/>
  <c r="AE556" i="3"/>
  <c r="AD556" i="3"/>
  <c r="V556" i="3"/>
  <c r="P556" i="3"/>
  <c r="T556" i="3"/>
  <c r="R556" i="3"/>
  <c r="AT554" i="3"/>
  <c r="X555" i="3"/>
  <c r="BF552" i="3"/>
  <c r="BJ551" i="3" s="1"/>
  <c r="BK551" i="3" s="1"/>
  <c r="BB552" i="3"/>
  <c r="BQ552" i="3"/>
  <c r="AO555" i="3"/>
  <c r="AW554" i="3"/>
  <c r="AY554" i="3" s="1"/>
  <c r="Y555" i="3"/>
  <c r="Z555" i="3" s="1"/>
  <c r="AG555" i="3"/>
  <c r="BD552" i="3"/>
  <c r="BG552" i="3"/>
  <c r="BH552" i="3" s="1"/>
  <c r="BI552" i="3" s="1"/>
  <c r="AU555" i="3" l="1"/>
  <c r="AW555" i="3"/>
  <c r="AH556" i="3"/>
  <c r="Y556" i="3"/>
  <c r="Z556" i="3" s="1"/>
  <c r="BD553" i="3"/>
  <c r="BG553" i="3"/>
  <c r="BH553" i="3" s="1"/>
  <c r="BI553" i="3" s="1"/>
  <c r="X556" i="3"/>
  <c r="AQ557" i="3"/>
  <c r="A558" i="3"/>
  <c r="B557" i="3"/>
  <c r="AR557" i="3"/>
  <c r="D557" i="3"/>
  <c r="C557" i="3"/>
  <c r="G557" i="3"/>
  <c r="H557" i="3" s="1"/>
  <c r="BN557" i="3" s="1"/>
  <c r="F557" i="3"/>
  <c r="BM557" i="3" s="1"/>
  <c r="S557" i="3"/>
  <c r="Q557" i="3"/>
  <c r="O557" i="3"/>
  <c r="U557" i="3"/>
  <c r="AM557" i="3"/>
  <c r="AD557" i="3"/>
  <c r="AK557" i="3"/>
  <c r="AO557" i="3" s="1"/>
  <c r="AF557" i="3"/>
  <c r="M557" i="3"/>
  <c r="AE557" i="3"/>
  <c r="P557" i="3"/>
  <c r="V557" i="3"/>
  <c r="T557" i="3"/>
  <c r="R557" i="3"/>
  <c r="BN556" i="3"/>
  <c r="BM556" i="3"/>
  <c r="AT555" i="3"/>
  <c r="AV554" i="3"/>
  <c r="BC554" i="3" s="1"/>
  <c r="BA554" i="3"/>
  <c r="BJ552" i="3"/>
  <c r="BK552" i="3" s="1"/>
  <c r="AG556" i="3"/>
  <c r="AX555" i="3"/>
  <c r="AY555" i="3" s="1"/>
  <c r="AN556" i="3"/>
  <c r="AX556" i="3" s="1"/>
  <c r="AU556" i="3"/>
  <c r="AG557" i="3" l="1"/>
  <c r="BD554" i="3"/>
  <c r="BG554" i="3"/>
  <c r="BH554" i="3" s="1"/>
  <c r="BI554" i="3" s="1"/>
  <c r="X557" i="3"/>
  <c r="AT557" i="3"/>
  <c r="AW556" i="3"/>
  <c r="AY556" i="3" s="1"/>
  <c r="BA555" i="3"/>
  <c r="AV555" i="3"/>
  <c r="BC555" i="3" s="1"/>
  <c r="AT556" i="3"/>
  <c r="AH557" i="3"/>
  <c r="A559" i="3"/>
  <c r="AQ558" i="3"/>
  <c r="D558" i="3"/>
  <c r="B558" i="3"/>
  <c r="AR558" i="3"/>
  <c r="C558" i="3"/>
  <c r="F558" i="3"/>
  <c r="G558" i="3"/>
  <c r="H558" i="3" s="1"/>
  <c r="S558" i="3"/>
  <c r="Q558" i="3"/>
  <c r="O558" i="3"/>
  <c r="U558" i="3"/>
  <c r="AF558" i="3"/>
  <c r="AM558" i="3"/>
  <c r="AN558" i="3" s="1"/>
  <c r="AK558" i="3"/>
  <c r="M558" i="3"/>
  <c r="AE558" i="3"/>
  <c r="AD558" i="3"/>
  <c r="V558" i="3"/>
  <c r="T558" i="3"/>
  <c r="R558" i="3"/>
  <c r="P558" i="3"/>
  <c r="BF554" i="3"/>
  <c r="BJ553" i="3" s="1"/>
  <c r="BK553" i="3" s="1"/>
  <c r="BB554" i="3"/>
  <c r="BQ554" i="3"/>
  <c r="AN557" i="3"/>
  <c r="Y557" i="3"/>
  <c r="Z557" i="3" s="1"/>
  <c r="AH558" i="3" l="1"/>
  <c r="X558" i="3"/>
  <c r="AW557" i="3"/>
  <c r="AU557" i="3"/>
  <c r="AV556" i="3"/>
  <c r="BC556" i="3" s="1"/>
  <c r="BA556" i="3"/>
  <c r="BD555" i="3"/>
  <c r="BG555" i="3"/>
  <c r="BH555" i="3" s="1"/>
  <c r="BI555" i="3" s="1"/>
  <c r="BQ555" i="3"/>
  <c r="BB555" i="3"/>
  <c r="BF555" i="3"/>
  <c r="BJ554" i="3" s="1"/>
  <c r="BK554" i="3" s="1"/>
  <c r="AG558" i="3"/>
  <c r="AT558" i="3" s="1"/>
  <c r="A560" i="3"/>
  <c r="C559" i="3"/>
  <c r="AQ559" i="3"/>
  <c r="D559" i="3"/>
  <c r="AR559" i="3"/>
  <c r="B559" i="3"/>
  <c r="F559" i="3"/>
  <c r="G559" i="3"/>
  <c r="H559" i="3" s="1"/>
  <c r="S559" i="3"/>
  <c r="Q559" i="3"/>
  <c r="O559" i="3"/>
  <c r="U559" i="3"/>
  <c r="AF559" i="3"/>
  <c r="AM559" i="3"/>
  <c r="AK559" i="3"/>
  <c r="M559" i="3"/>
  <c r="AD559" i="3"/>
  <c r="AE559" i="3"/>
  <c r="V559" i="3"/>
  <c r="R559" i="3"/>
  <c r="P559" i="3"/>
  <c r="T559" i="3"/>
  <c r="Y558" i="3"/>
  <c r="Z558" i="3" s="1"/>
  <c r="AU558" i="3"/>
  <c r="AV557" i="3"/>
  <c r="BN558" i="3"/>
  <c r="AO558" i="3"/>
  <c r="BM558" i="3"/>
  <c r="AX557" i="3"/>
  <c r="AX558" i="3" l="1"/>
  <c r="AY557" i="3"/>
  <c r="AN559" i="3"/>
  <c r="BA557" i="3"/>
  <c r="BQ557" i="3" s="1"/>
  <c r="X559" i="3"/>
  <c r="BF557" i="3"/>
  <c r="BB557" i="3"/>
  <c r="D560" i="3"/>
  <c r="B560" i="3"/>
  <c r="C560" i="3"/>
  <c r="AQ560" i="3"/>
  <c r="AR560" i="3"/>
  <c r="A561" i="3"/>
  <c r="G560" i="3"/>
  <c r="H560" i="3" s="1"/>
  <c r="F560" i="3"/>
  <c r="BM560" i="3" s="1"/>
  <c r="Q560" i="3"/>
  <c r="S560" i="3"/>
  <c r="O560" i="3"/>
  <c r="U560" i="3"/>
  <c r="AK560" i="3"/>
  <c r="AE560" i="3"/>
  <c r="AD560" i="3"/>
  <c r="AF560" i="3"/>
  <c r="AM560" i="3"/>
  <c r="M560" i="3"/>
  <c r="R560" i="3"/>
  <c r="T560" i="3"/>
  <c r="P560" i="3"/>
  <c r="V560" i="3"/>
  <c r="BB556" i="3"/>
  <c r="BF556" i="3"/>
  <c r="BJ555" i="3" s="1"/>
  <c r="BK555" i="3" s="1"/>
  <c r="BQ556" i="3"/>
  <c r="BC557" i="3"/>
  <c r="BN559" i="3"/>
  <c r="AW558" i="3"/>
  <c r="AY558" i="3" s="1"/>
  <c r="BD556" i="3"/>
  <c r="BG556" i="3"/>
  <c r="BH556" i="3" s="1"/>
  <c r="BI556" i="3" s="1"/>
  <c r="AV558" i="3"/>
  <c r="Y559" i="3"/>
  <c r="Z559" i="3" s="1"/>
  <c r="AG559" i="3"/>
  <c r="AH559" i="3"/>
  <c r="AO559" i="3"/>
  <c r="BM559" i="3"/>
  <c r="AN560" i="3" l="1"/>
  <c r="AX559" i="3"/>
  <c r="BA558" i="3"/>
  <c r="BD557" i="3"/>
  <c r="BG557" i="3"/>
  <c r="BH557" i="3" s="1"/>
  <c r="BI557" i="3" s="1"/>
  <c r="AH560" i="3"/>
  <c r="AG560" i="3"/>
  <c r="AQ561" i="3"/>
  <c r="A562" i="3"/>
  <c r="B561" i="3"/>
  <c r="D561" i="3"/>
  <c r="C561" i="3"/>
  <c r="AR561" i="3"/>
  <c r="G561" i="3"/>
  <c r="H561" i="3" s="1"/>
  <c r="BN561" i="3" s="1"/>
  <c r="F561" i="3"/>
  <c r="Q561" i="3"/>
  <c r="S561" i="3"/>
  <c r="O561" i="3"/>
  <c r="U561" i="3"/>
  <c r="AF561" i="3"/>
  <c r="AK561" i="3"/>
  <c r="AM561" i="3"/>
  <c r="AN561" i="3" s="1"/>
  <c r="AE561" i="3"/>
  <c r="AD561" i="3"/>
  <c r="M561" i="3"/>
  <c r="V561" i="3"/>
  <c r="R561" i="3"/>
  <c r="P561" i="3"/>
  <c r="T561" i="3"/>
  <c r="AO560" i="3"/>
  <c r="AU559" i="3"/>
  <c r="BN560" i="3"/>
  <c r="X560" i="3"/>
  <c r="AT559" i="3"/>
  <c r="BC558" i="3"/>
  <c r="BQ558" i="3"/>
  <c r="BF558" i="3"/>
  <c r="BJ557" i="3" s="1"/>
  <c r="BK557" i="3" s="1"/>
  <c r="BB558" i="3"/>
  <c r="Y560" i="3"/>
  <c r="Z560" i="3" s="1"/>
  <c r="BJ556" i="3"/>
  <c r="BK556" i="3" s="1"/>
  <c r="AW559" i="3"/>
  <c r="AY559" i="3" l="1"/>
  <c r="AT560" i="3"/>
  <c r="BM561" i="3"/>
  <c r="AH561" i="3"/>
  <c r="AW560" i="3"/>
  <c r="A563" i="3"/>
  <c r="AQ562" i="3"/>
  <c r="C562" i="3"/>
  <c r="B562" i="3"/>
  <c r="AR562" i="3"/>
  <c r="D562" i="3"/>
  <c r="G562" i="3"/>
  <c r="H562" i="3" s="1"/>
  <c r="F562" i="3"/>
  <c r="Q562" i="3"/>
  <c r="S562" i="3"/>
  <c r="O562" i="3"/>
  <c r="U562" i="3"/>
  <c r="AK562" i="3"/>
  <c r="AM562" i="3"/>
  <c r="M562" i="3"/>
  <c r="AF562" i="3"/>
  <c r="AD562" i="3"/>
  <c r="AE562" i="3"/>
  <c r="V562" i="3"/>
  <c r="P562" i="3"/>
  <c r="T562" i="3"/>
  <c r="R562" i="3"/>
  <c r="BD558" i="3"/>
  <c r="BG558" i="3"/>
  <c r="BH558" i="3" s="1"/>
  <c r="BI558" i="3" s="1"/>
  <c r="AG561" i="3"/>
  <c r="AX560" i="3"/>
  <c r="AV559" i="3"/>
  <c r="BC559" i="3" s="1"/>
  <c r="BA559" i="3"/>
  <c r="AO561" i="3"/>
  <c r="AU560" i="3"/>
  <c r="AV560" i="3" s="1"/>
  <c r="X561" i="3"/>
  <c r="Y561" i="3"/>
  <c r="Z561" i="3" s="1"/>
  <c r="AG562" i="3" l="1"/>
  <c r="AN562" i="3"/>
  <c r="X562" i="3"/>
  <c r="AW561" i="3"/>
  <c r="AX561" i="3"/>
  <c r="AY561" i="3" s="1"/>
  <c r="AU561" i="3"/>
  <c r="BN562" i="3"/>
  <c r="Y562" i="3"/>
  <c r="Z562" i="3" s="1"/>
  <c r="AT561" i="3"/>
  <c r="A564" i="3"/>
  <c r="C563" i="3"/>
  <c r="AQ563" i="3"/>
  <c r="AR563" i="3"/>
  <c r="D563" i="3"/>
  <c r="B563" i="3"/>
  <c r="F563" i="3"/>
  <c r="G563" i="3"/>
  <c r="H563" i="3" s="1"/>
  <c r="Q563" i="3"/>
  <c r="S563" i="3"/>
  <c r="O563" i="3"/>
  <c r="U563" i="3"/>
  <c r="AM563" i="3"/>
  <c r="AF563" i="3"/>
  <c r="AD563" i="3"/>
  <c r="AK563" i="3"/>
  <c r="AE563" i="3"/>
  <c r="M563" i="3"/>
  <c r="R563" i="3"/>
  <c r="V563" i="3"/>
  <c r="P563" i="3"/>
  <c r="T563" i="3"/>
  <c r="AO562" i="3"/>
  <c r="BQ559" i="3"/>
  <c r="BB559" i="3"/>
  <c r="BF559" i="3"/>
  <c r="BJ558" i="3" s="1"/>
  <c r="BK558" i="3" s="1"/>
  <c r="BA560" i="3"/>
  <c r="AH562" i="3"/>
  <c r="BD559" i="3"/>
  <c r="BG559" i="3"/>
  <c r="BH559" i="3" s="1"/>
  <c r="BI559" i="3" s="1"/>
  <c r="BM562" i="3"/>
  <c r="AY560" i="3"/>
  <c r="BC560" i="3" s="1"/>
  <c r="AG563" i="3" l="1"/>
  <c r="AN563" i="3"/>
  <c r="AX562" i="3"/>
  <c r="BD560" i="3"/>
  <c r="BG560" i="3"/>
  <c r="BH560" i="3" s="1"/>
  <c r="BI560" i="3" s="1"/>
  <c r="AU562" i="3"/>
  <c r="Y563" i="3"/>
  <c r="Z563" i="3" s="1"/>
  <c r="BQ560" i="3"/>
  <c r="BB560" i="3"/>
  <c r="BF560" i="3"/>
  <c r="BJ559" i="3" s="1"/>
  <c r="BK559" i="3" s="1"/>
  <c r="AT562" i="3"/>
  <c r="X563" i="3"/>
  <c r="D564" i="3"/>
  <c r="B564" i="3"/>
  <c r="C564" i="3"/>
  <c r="AR564" i="3"/>
  <c r="AQ564" i="3"/>
  <c r="A565" i="3"/>
  <c r="G564" i="3"/>
  <c r="H564" i="3" s="1"/>
  <c r="F564" i="3"/>
  <c r="Q564" i="3"/>
  <c r="S564" i="3"/>
  <c r="O564" i="3"/>
  <c r="U564" i="3"/>
  <c r="AK564" i="3"/>
  <c r="AF564" i="3"/>
  <c r="AM564" i="3"/>
  <c r="M564" i="3"/>
  <c r="AD564" i="3"/>
  <c r="AE564" i="3"/>
  <c r="V564" i="3"/>
  <c r="P564" i="3"/>
  <c r="T564" i="3"/>
  <c r="R564" i="3"/>
  <c r="AO563" i="3"/>
  <c r="BN563" i="3"/>
  <c r="AW562" i="3"/>
  <c r="AY562" i="3" s="1"/>
  <c r="AH563" i="3"/>
  <c r="AX563" i="3" s="1"/>
  <c r="BM563" i="3"/>
  <c r="BA561" i="3"/>
  <c r="AV561" i="3"/>
  <c r="BC561" i="3" s="1"/>
  <c r="AG564" i="3" l="1"/>
  <c r="AO564" i="3"/>
  <c r="X564" i="3"/>
  <c r="Y564" i="3"/>
  <c r="Z564" i="3" s="1"/>
  <c r="AU563" i="3"/>
  <c r="AH564" i="3"/>
  <c r="BM564" i="3"/>
  <c r="BD561" i="3"/>
  <c r="BG561" i="3"/>
  <c r="BH561" i="3" s="1"/>
  <c r="BI561" i="3" s="1"/>
  <c r="AN564" i="3"/>
  <c r="BN564" i="3"/>
  <c r="AV562" i="3"/>
  <c r="BC562" i="3" s="1"/>
  <c r="BA562" i="3"/>
  <c r="AT563" i="3"/>
  <c r="AW563" i="3"/>
  <c r="AY563" i="3" s="1"/>
  <c r="BQ561" i="3"/>
  <c r="BB561" i="3"/>
  <c r="BF561" i="3"/>
  <c r="BJ560" i="3" s="1"/>
  <c r="BK560" i="3" s="1"/>
  <c r="AQ565" i="3"/>
  <c r="B565" i="3"/>
  <c r="A566" i="3"/>
  <c r="C565" i="3"/>
  <c r="AR565" i="3"/>
  <c r="D565" i="3"/>
  <c r="G565" i="3"/>
  <c r="H565" i="3" s="1"/>
  <c r="F565" i="3"/>
  <c r="S565" i="3"/>
  <c r="Q565" i="3"/>
  <c r="O565" i="3"/>
  <c r="U565" i="3"/>
  <c r="AM565" i="3"/>
  <c r="AK565" i="3"/>
  <c r="AD565" i="3"/>
  <c r="AF565" i="3"/>
  <c r="AE565" i="3"/>
  <c r="M565" i="3"/>
  <c r="V565" i="3"/>
  <c r="R565" i="3"/>
  <c r="P565" i="3"/>
  <c r="T565" i="3"/>
  <c r="BN565" i="3" l="1"/>
  <c r="AO565" i="3"/>
  <c r="AN565" i="3"/>
  <c r="AX564" i="3"/>
  <c r="Y565" i="3"/>
  <c r="Z565" i="3" s="1"/>
  <c r="AT564" i="3"/>
  <c r="AG565" i="3"/>
  <c r="AW565" i="3" s="1"/>
  <c r="X565" i="3"/>
  <c r="BA563" i="3"/>
  <c r="AV563" i="3"/>
  <c r="BC563" i="3" s="1"/>
  <c r="BQ562" i="3"/>
  <c r="BB562" i="3"/>
  <c r="BF562" i="3"/>
  <c r="BJ561" i="3" s="1"/>
  <c r="BK561" i="3" s="1"/>
  <c r="AH565" i="3"/>
  <c r="AU564" i="3"/>
  <c r="A567" i="3"/>
  <c r="AQ566" i="3"/>
  <c r="B566" i="3"/>
  <c r="AR566" i="3"/>
  <c r="D566" i="3"/>
  <c r="C566" i="3"/>
  <c r="G566" i="3"/>
  <c r="H566" i="3" s="1"/>
  <c r="F566" i="3"/>
  <c r="S566" i="3"/>
  <c r="Q566" i="3"/>
  <c r="O566" i="3"/>
  <c r="U566" i="3"/>
  <c r="AF566" i="3"/>
  <c r="AK566" i="3"/>
  <c r="AD566" i="3"/>
  <c r="AM566" i="3"/>
  <c r="M566" i="3"/>
  <c r="AE566" i="3"/>
  <c r="V566" i="3"/>
  <c r="T566" i="3"/>
  <c r="P566" i="3"/>
  <c r="R566" i="3"/>
  <c r="BD562" i="3"/>
  <c r="BG562" i="3"/>
  <c r="BH562" i="3" s="1"/>
  <c r="BI562" i="3" s="1"/>
  <c r="AW564" i="3"/>
  <c r="AY564" i="3" s="1"/>
  <c r="BM565" i="3"/>
  <c r="AV564" i="3" l="1"/>
  <c r="AX565" i="3"/>
  <c r="AY565" i="3" s="1"/>
  <c r="AO566" i="3"/>
  <c r="AU565" i="3"/>
  <c r="BA564" i="3"/>
  <c r="BQ564" i="3" s="1"/>
  <c r="AH566" i="3"/>
  <c r="BN566" i="3"/>
  <c r="BC564" i="3"/>
  <c r="X566" i="3"/>
  <c r="BD563" i="3"/>
  <c r="BG563" i="3"/>
  <c r="BH563" i="3" s="1"/>
  <c r="BI563" i="3" s="1"/>
  <c r="BQ563" i="3"/>
  <c r="BF563" i="3"/>
  <c r="BJ562" i="3" s="1"/>
  <c r="BK562" i="3" s="1"/>
  <c r="BB563" i="3"/>
  <c r="Y566" i="3"/>
  <c r="Z566" i="3" s="1"/>
  <c r="AG566" i="3"/>
  <c r="A568" i="3"/>
  <c r="C567" i="3"/>
  <c r="AQ567" i="3"/>
  <c r="AR567" i="3"/>
  <c r="B567" i="3"/>
  <c r="D567" i="3"/>
  <c r="F567" i="3"/>
  <c r="BM567" i="3" s="1"/>
  <c r="G567" i="3"/>
  <c r="H567" i="3" s="1"/>
  <c r="Q567" i="3"/>
  <c r="S567" i="3"/>
  <c r="O567" i="3"/>
  <c r="U567" i="3"/>
  <c r="AM567" i="3"/>
  <c r="AE567" i="3"/>
  <c r="AK567" i="3"/>
  <c r="AF567" i="3"/>
  <c r="AD567" i="3"/>
  <c r="M567" i="3"/>
  <c r="V567" i="3"/>
  <c r="R567" i="3"/>
  <c r="P567" i="3"/>
  <c r="T567" i="3"/>
  <c r="AT565" i="3"/>
  <c r="AN566" i="3"/>
  <c r="BM566" i="3"/>
  <c r="BN567" i="3" l="1"/>
  <c r="BB564" i="3"/>
  <c r="BF564" i="3"/>
  <c r="BJ563" i="3" s="1"/>
  <c r="BK563" i="3" s="1"/>
  <c r="AN567" i="3"/>
  <c r="AV565" i="3"/>
  <c r="BC565" i="3" s="1"/>
  <c r="BA565" i="3"/>
  <c r="AO567" i="3"/>
  <c r="BD564" i="3"/>
  <c r="BG564" i="3"/>
  <c r="BH564" i="3" s="1"/>
  <c r="BI564" i="3" s="1"/>
  <c r="AW566" i="3"/>
  <c r="AU566" i="3"/>
  <c r="AG567" i="3"/>
  <c r="AT566" i="3"/>
  <c r="X567" i="3"/>
  <c r="Y567" i="3"/>
  <c r="Z567" i="3" s="1"/>
  <c r="AH567" i="3"/>
  <c r="AX567" i="3" s="1"/>
  <c r="D568" i="3"/>
  <c r="C568" i="3"/>
  <c r="AQ568" i="3"/>
  <c r="B568" i="3"/>
  <c r="AR568" i="3"/>
  <c r="A569" i="3"/>
  <c r="G568" i="3"/>
  <c r="H568" i="3" s="1"/>
  <c r="F568" i="3"/>
  <c r="BM568" i="3" s="1"/>
  <c r="Q568" i="3"/>
  <c r="S568" i="3"/>
  <c r="O568" i="3"/>
  <c r="U568" i="3"/>
  <c r="AK568" i="3"/>
  <c r="AM568" i="3"/>
  <c r="AN568" i="3" s="1"/>
  <c r="M568" i="3"/>
  <c r="AE568" i="3"/>
  <c r="AD568" i="3"/>
  <c r="AF568" i="3"/>
  <c r="V568" i="3"/>
  <c r="P568" i="3"/>
  <c r="T568" i="3"/>
  <c r="R568" i="3"/>
  <c r="AX566" i="3"/>
  <c r="BN568" i="3" l="1"/>
  <c r="AG568" i="3"/>
  <c r="AT567" i="3"/>
  <c r="AH568" i="3"/>
  <c r="AU567" i="3"/>
  <c r="AV566" i="3"/>
  <c r="BA566" i="3"/>
  <c r="AT568" i="3"/>
  <c r="AQ569" i="3"/>
  <c r="A570" i="3"/>
  <c r="AR569" i="3"/>
  <c r="C569" i="3"/>
  <c r="D569" i="3"/>
  <c r="B569" i="3"/>
  <c r="G569" i="3"/>
  <c r="H569" i="3" s="1"/>
  <c r="F569" i="3"/>
  <c r="BM569" i="3" s="1"/>
  <c r="Q569" i="3"/>
  <c r="S569" i="3"/>
  <c r="O569" i="3"/>
  <c r="U569" i="3"/>
  <c r="AM569" i="3"/>
  <c r="AD569" i="3"/>
  <c r="AK569" i="3"/>
  <c r="AF569" i="3"/>
  <c r="M569" i="3"/>
  <c r="AE569" i="3"/>
  <c r="V569" i="3"/>
  <c r="P569" i="3"/>
  <c r="T569" i="3"/>
  <c r="R569" i="3"/>
  <c r="AO568" i="3"/>
  <c r="X568" i="3"/>
  <c r="AW567" i="3"/>
  <c r="AY567" i="3" s="1"/>
  <c r="Y568" i="3"/>
  <c r="Z568" i="3" s="1"/>
  <c r="BB565" i="3"/>
  <c r="BQ565" i="3"/>
  <c r="BF565" i="3"/>
  <c r="BJ564" i="3" s="1"/>
  <c r="BK564" i="3" s="1"/>
  <c r="AY566" i="3"/>
  <c r="BD565" i="3"/>
  <c r="BG565" i="3"/>
  <c r="BH565" i="3" s="1"/>
  <c r="BI565" i="3" s="1"/>
  <c r="BC566" i="3" l="1"/>
  <c r="BD566" i="3" s="1"/>
  <c r="AN569" i="3"/>
  <c r="X569" i="3"/>
  <c r="AW568" i="3"/>
  <c r="AU568" i="3"/>
  <c r="AV568" i="3" s="1"/>
  <c r="AH569" i="3"/>
  <c r="AO569" i="3"/>
  <c r="BN569" i="3"/>
  <c r="BG566" i="3"/>
  <c r="BH566" i="3" s="1"/>
  <c r="BI566" i="3" s="1"/>
  <c r="Y569" i="3"/>
  <c r="Z569" i="3" s="1"/>
  <c r="AG569" i="3"/>
  <c r="A571" i="3"/>
  <c r="AQ570" i="3"/>
  <c r="B570" i="3"/>
  <c r="AR570" i="3"/>
  <c r="C570" i="3"/>
  <c r="D570" i="3"/>
  <c r="G570" i="3"/>
  <c r="H570" i="3" s="1"/>
  <c r="BN570" i="3" s="1"/>
  <c r="F570" i="3"/>
  <c r="S570" i="3"/>
  <c r="Q570" i="3"/>
  <c r="O570" i="3"/>
  <c r="U570" i="3"/>
  <c r="AD570" i="3"/>
  <c r="AK570" i="3"/>
  <c r="AM570" i="3"/>
  <c r="AN570" i="3" s="1"/>
  <c r="M570" i="3"/>
  <c r="AE570" i="3"/>
  <c r="AF570" i="3"/>
  <c r="P570" i="3"/>
  <c r="R570" i="3"/>
  <c r="T570" i="3"/>
  <c r="V570" i="3"/>
  <c r="AX568" i="3"/>
  <c r="BQ566" i="3"/>
  <c r="BB566" i="3"/>
  <c r="BF566" i="3"/>
  <c r="BJ565" i="3" s="1"/>
  <c r="BK565" i="3" s="1"/>
  <c r="BA567" i="3"/>
  <c r="AV567" i="3"/>
  <c r="BC567" i="3" s="1"/>
  <c r="BM570" i="3" l="1"/>
  <c r="AT569" i="3"/>
  <c r="AY568" i="3"/>
  <c r="AU569" i="3"/>
  <c r="AV569" i="3" s="1"/>
  <c r="X570" i="3"/>
  <c r="AG570" i="3"/>
  <c r="A572" i="3"/>
  <c r="B571" i="3"/>
  <c r="AQ571" i="3"/>
  <c r="D571" i="3"/>
  <c r="C571" i="3"/>
  <c r="AR571" i="3"/>
  <c r="F571" i="3"/>
  <c r="BM571" i="3" s="1"/>
  <c r="G571" i="3"/>
  <c r="H571" i="3" s="1"/>
  <c r="BN571" i="3" s="1"/>
  <c r="S571" i="3"/>
  <c r="Q571" i="3"/>
  <c r="O571" i="3"/>
  <c r="U571" i="3"/>
  <c r="AM571" i="3"/>
  <c r="AD571" i="3"/>
  <c r="M571" i="3"/>
  <c r="AK571" i="3"/>
  <c r="AO571" i="3" s="1"/>
  <c r="AE571" i="3"/>
  <c r="AF571" i="3"/>
  <c r="V571" i="3"/>
  <c r="P571" i="3"/>
  <c r="R571" i="3"/>
  <c r="T571" i="3"/>
  <c r="BA568" i="3"/>
  <c r="Y570" i="3"/>
  <c r="Z570" i="3" s="1"/>
  <c r="AO570" i="3"/>
  <c r="AX569" i="3"/>
  <c r="AY569" i="3" s="1"/>
  <c r="BB567" i="3"/>
  <c r="BQ567" i="3"/>
  <c r="BF567" i="3"/>
  <c r="BJ566" i="3" s="1"/>
  <c r="BK566" i="3" s="1"/>
  <c r="AW569" i="3"/>
  <c r="BC568" i="3"/>
  <c r="BD567" i="3"/>
  <c r="BG567" i="3"/>
  <c r="BH567" i="3" s="1"/>
  <c r="BI567" i="3" s="1"/>
  <c r="AH570" i="3"/>
  <c r="BA569" i="3" l="1"/>
  <c r="BF569" i="3" s="1"/>
  <c r="BQ569" i="3"/>
  <c r="AX570" i="3"/>
  <c r="Y571" i="3"/>
  <c r="Z571" i="3" s="1"/>
  <c r="AG571" i="3"/>
  <c r="BF568" i="3"/>
  <c r="BJ567" i="3" s="1"/>
  <c r="BK567" i="3" s="1"/>
  <c r="BQ568" i="3"/>
  <c r="BB568" i="3"/>
  <c r="AT570" i="3"/>
  <c r="D572" i="3"/>
  <c r="C572" i="3"/>
  <c r="B572" i="3"/>
  <c r="A573" i="3"/>
  <c r="AQ572" i="3"/>
  <c r="AR572" i="3"/>
  <c r="G572" i="3"/>
  <c r="H572" i="3" s="1"/>
  <c r="F572" i="3"/>
  <c r="Q572" i="3"/>
  <c r="S572" i="3"/>
  <c r="O572" i="3"/>
  <c r="U572" i="3"/>
  <c r="M572" i="3"/>
  <c r="AK572" i="3"/>
  <c r="AM572" i="3"/>
  <c r="AN572" i="3" s="1"/>
  <c r="AD572" i="3"/>
  <c r="AE572" i="3"/>
  <c r="AF572" i="3"/>
  <c r="P572" i="3"/>
  <c r="V572" i="3"/>
  <c r="T572" i="3"/>
  <c r="R572" i="3"/>
  <c r="BD568" i="3"/>
  <c r="BG568" i="3"/>
  <c r="BH568" i="3" s="1"/>
  <c r="BI568" i="3" s="1"/>
  <c r="AW570" i="3"/>
  <c r="AH571" i="3"/>
  <c r="AN571" i="3"/>
  <c r="BC569" i="3"/>
  <c r="AU570" i="3"/>
  <c r="X571" i="3"/>
  <c r="BB569" i="3" l="1"/>
  <c r="AY570" i="3"/>
  <c r="BD569" i="3"/>
  <c r="BG569" i="3"/>
  <c r="BH569" i="3" s="1"/>
  <c r="BI569" i="3" s="1"/>
  <c r="Y572" i="3"/>
  <c r="Z572" i="3" s="1"/>
  <c r="X572" i="3"/>
  <c r="AQ573" i="3"/>
  <c r="B573" i="3"/>
  <c r="A574" i="3"/>
  <c r="AR573" i="3"/>
  <c r="D573" i="3"/>
  <c r="C573" i="3"/>
  <c r="G573" i="3"/>
  <c r="H573" i="3" s="1"/>
  <c r="BN573" i="3" s="1"/>
  <c r="F573" i="3"/>
  <c r="BM573" i="3" s="1"/>
  <c r="S573" i="3"/>
  <c r="Q573" i="3"/>
  <c r="O573" i="3"/>
  <c r="U573" i="3"/>
  <c r="AD573" i="3"/>
  <c r="AK573" i="3"/>
  <c r="AM573" i="3"/>
  <c r="AN573" i="3" s="1"/>
  <c r="AE573" i="3"/>
  <c r="M573" i="3"/>
  <c r="AF573" i="3"/>
  <c r="V573" i="3"/>
  <c r="R573" i="3"/>
  <c r="T573" i="3"/>
  <c r="P573" i="3"/>
  <c r="AX571" i="3"/>
  <c r="AU571" i="3"/>
  <c r="AH572" i="3"/>
  <c r="AU572" i="3" s="1"/>
  <c r="BN572" i="3"/>
  <c r="AT571" i="3"/>
  <c r="AG572" i="3"/>
  <c r="AW571" i="3"/>
  <c r="BM572" i="3"/>
  <c r="BA570" i="3"/>
  <c r="AV570" i="3"/>
  <c r="BC570" i="3" s="1"/>
  <c r="AO572" i="3"/>
  <c r="BJ568" i="3"/>
  <c r="BK568" i="3" s="1"/>
  <c r="AY571" i="3" l="1"/>
  <c r="X573" i="3"/>
  <c r="AV571" i="3"/>
  <c r="BC571" i="3" s="1"/>
  <c r="BA571" i="3"/>
  <c r="A575" i="3"/>
  <c r="AQ574" i="3"/>
  <c r="AR574" i="3"/>
  <c r="C574" i="3"/>
  <c r="D574" i="3"/>
  <c r="B574" i="3"/>
  <c r="F574" i="3"/>
  <c r="G574" i="3"/>
  <c r="H574" i="3" s="1"/>
  <c r="Q574" i="3"/>
  <c r="S574" i="3"/>
  <c r="O574" i="3"/>
  <c r="U574" i="3"/>
  <c r="AM574" i="3"/>
  <c r="AK574" i="3"/>
  <c r="AF574" i="3"/>
  <c r="M574" i="3"/>
  <c r="AD574" i="3"/>
  <c r="AE574" i="3"/>
  <c r="AG574" i="3" s="1"/>
  <c r="V574" i="3"/>
  <c r="R574" i="3"/>
  <c r="T574" i="3"/>
  <c r="P574" i="3"/>
  <c r="AX572" i="3"/>
  <c r="AG573" i="3"/>
  <c r="AO573" i="3"/>
  <c r="Y573" i="3"/>
  <c r="Z573" i="3" s="1"/>
  <c r="BD570" i="3"/>
  <c r="BG570" i="3"/>
  <c r="BH570" i="3" s="1"/>
  <c r="BI570" i="3" s="1"/>
  <c r="BF570" i="3"/>
  <c r="BJ569" i="3" s="1"/>
  <c r="BK569" i="3" s="1"/>
  <c r="BQ570" i="3"/>
  <c r="BB570" i="3"/>
  <c r="AT572" i="3"/>
  <c r="AW572" i="3"/>
  <c r="AY572" i="3" s="1"/>
  <c r="AH573" i="3"/>
  <c r="AX573" i="3" s="1"/>
  <c r="X574" i="3" l="1"/>
  <c r="AN574" i="3"/>
  <c r="AO574" i="3"/>
  <c r="AV572" i="3"/>
  <c r="BC572" i="3" s="1"/>
  <c r="BA572" i="3"/>
  <c r="B575" i="3"/>
  <c r="C575" i="3"/>
  <c r="AR575" i="3"/>
  <c r="AQ575" i="3"/>
  <c r="A576" i="3"/>
  <c r="D575" i="3"/>
  <c r="F575" i="3"/>
  <c r="G575" i="3"/>
  <c r="H575" i="3" s="1"/>
  <c r="BN575" i="3" s="1"/>
  <c r="S575" i="3"/>
  <c r="Q575" i="3"/>
  <c r="O575" i="3"/>
  <c r="U575" i="3"/>
  <c r="AK575" i="3"/>
  <c r="AM575" i="3"/>
  <c r="AF575" i="3"/>
  <c r="AD575" i="3"/>
  <c r="AE575" i="3"/>
  <c r="AG575" i="3" s="1"/>
  <c r="M575" i="3"/>
  <c r="V575" i="3"/>
  <c r="R575" i="3"/>
  <c r="T575" i="3"/>
  <c r="P575" i="3"/>
  <c r="AH574" i="3"/>
  <c r="AX574" i="3" s="1"/>
  <c r="BN574" i="3"/>
  <c r="BQ571" i="3"/>
  <c r="BF571" i="3"/>
  <c r="BJ570" i="3" s="1"/>
  <c r="BK570" i="3" s="1"/>
  <c r="BB571" i="3"/>
  <c r="Y574" i="3"/>
  <c r="Z574" i="3" s="1"/>
  <c r="AW573" i="3"/>
  <c r="AY573" i="3" s="1"/>
  <c r="AU573" i="3"/>
  <c r="AT573" i="3"/>
  <c r="BM574" i="3"/>
  <c r="BD571" i="3"/>
  <c r="BG571" i="3"/>
  <c r="BH571" i="3" s="1"/>
  <c r="BI571" i="3" s="1"/>
  <c r="AN575" i="3" l="1"/>
  <c r="Y575" i="3"/>
  <c r="Z575" i="3" s="1"/>
  <c r="AW574" i="3"/>
  <c r="AY574" i="3" s="1"/>
  <c r="AV573" i="3"/>
  <c r="BC573" i="3" s="1"/>
  <c r="BA573" i="3"/>
  <c r="AH575" i="3"/>
  <c r="AX575" i="3" s="1"/>
  <c r="BM575" i="3"/>
  <c r="BD572" i="3"/>
  <c r="BG572" i="3"/>
  <c r="BH572" i="3" s="1"/>
  <c r="BI572" i="3" s="1"/>
  <c r="AO575" i="3"/>
  <c r="C576" i="3"/>
  <c r="A577" i="3"/>
  <c r="AR576" i="3"/>
  <c r="B576" i="3"/>
  <c r="AQ576" i="3"/>
  <c r="D576" i="3"/>
  <c r="F576" i="3"/>
  <c r="G576" i="3"/>
  <c r="H576" i="3" s="1"/>
  <c r="Q576" i="3"/>
  <c r="S576" i="3"/>
  <c r="O576" i="3"/>
  <c r="U576" i="3"/>
  <c r="AK576" i="3"/>
  <c r="AO576" i="3" s="1"/>
  <c r="AD576" i="3"/>
  <c r="AF576" i="3"/>
  <c r="AM576" i="3"/>
  <c r="AE576" i="3"/>
  <c r="M576" i="3"/>
  <c r="T576" i="3"/>
  <c r="V576" i="3"/>
  <c r="P576" i="3"/>
  <c r="R576" i="3"/>
  <c r="AU574" i="3"/>
  <c r="BQ572" i="3"/>
  <c r="BF572" i="3"/>
  <c r="BJ571" i="3" s="1"/>
  <c r="BK571" i="3" s="1"/>
  <c r="BB572" i="3"/>
  <c r="AT574" i="3"/>
  <c r="X575" i="3"/>
  <c r="AH576" i="3" l="1"/>
  <c r="AU575" i="3"/>
  <c r="X576" i="3"/>
  <c r="BA574" i="3"/>
  <c r="AV574" i="3"/>
  <c r="BC574" i="3" s="1"/>
  <c r="AQ577" i="3"/>
  <c r="B577" i="3"/>
  <c r="C577" i="3"/>
  <c r="D577" i="3"/>
  <c r="A578" i="3"/>
  <c r="AR577" i="3"/>
  <c r="G577" i="3"/>
  <c r="H577" i="3" s="1"/>
  <c r="F577" i="3"/>
  <c r="S577" i="3"/>
  <c r="Q577" i="3"/>
  <c r="O577" i="3"/>
  <c r="U577" i="3"/>
  <c r="AE577" i="3"/>
  <c r="AK577" i="3"/>
  <c r="AM577" i="3"/>
  <c r="AN577" i="3" s="1"/>
  <c r="AF577" i="3"/>
  <c r="AD577" i="3"/>
  <c r="M577" i="3"/>
  <c r="V577" i="3"/>
  <c r="P577" i="3"/>
  <c r="T577" i="3"/>
  <c r="R577" i="3"/>
  <c r="BD573" i="3"/>
  <c r="BG573" i="3"/>
  <c r="BH573" i="3" s="1"/>
  <c r="BI573" i="3" s="1"/>
  <c r="AN576" i="3"/>
  <c r="Y576" i="3"/>
  <c r="Z576" i="3" s="1"/>
  <c r="BF573" i="3"/>
  <c r="BJ572" i="3" s="1"/>
  <c r="BK572" i="3" s="1"/>
  <c r="BQ573" i="3"/>
  <c r="BB573" i="3"/>
  <c r="AG576" i="3"/>
  <c r="AT576" i="3" s="1"/>
  <c r="BN576" i="3"/>
  <c r="AW575" i="3"/>
  <c r="AY575" i="3" s="1"/>
  <c r="BM576" i="3"/>
  <c r="AT575" i="3"/>
  <c r="BM577" i="3" l="1"/>
  <c r="AX576" i="3"/>
  <c r="AU576" i="3"/>
  <c r="AH577" i="3"/>
  <c r="BA575" i="3"/>
  <c r="AV575" i="3"/>
  <c r="BC575" i="3" s="1"/>
  <c r="AV576" i="3"/>
  <c r="BC576" i="3" s="1"/>
  <c r="Y577" i="3"/>
  <c r="Z577" i="3" s="1"/>
  <c r="X577" i="3"/>
  <c r="AW576" i="3"/>
  <c r="AY576" i="3" s="1"/>
  <c r="BF574" i="3"/>
  <c r="BJ573" i="3" s="1"/>
  <c r="BK573" i="3" s="1"/>
  <c r="BQ574" i="3"/>
  <c r="BB574" i="3"/>
  <c r="AO577" i="3"/>
  <c r="AU577" i="3"/>
  <c r="BD574" i="3"/>
  <c r="BG574" i="3"/>
  <c r="BH574" i="3" s="1"/>
  <c r="BI574" i="3" s="1"/>
  <c r="BN577" i="3"/>
  <c r="AG577" i="3"/>
  <c r="AQ578" i="3"/>
  <c r="D578" i="3"/>
  <c r="B578" i="3"/>
  <c r="AR578" i="3"/>
  <c r="A579" i="3"/>
  <c r="C578" i="3"/>
  <c r="G578" i="3"/>
  <c r="H578" i="3" s="1"/>
  <c r="F578" i="3"/>
  <c r="Q578" i="3"/>
  <c r="S578" i="3"/>
  <c r="O578" i="3"/>
  <c r="U578" i="3"/>
  <c r="AF578" i="3"/>
  <c r="AK578" i="3"/>
  <c r="AM578" i="3"/>
  <c r="AE578" i="3"/>
  <c r="M578" i="3"/>
  <c r="AD578" i="3"/>
  <c r="V578" i="3"/>
  <c r="R578" i="3"/>
  <c r="T578" i="3"/>
  <c r="P578" i="3"/>
  <c r="BM578" i="3" l="1"/>
  <c r="AH578" i="3"/>
  <c r="AX577" i="3"/>
  <c r="Y578" i="3"/>
  <c r="Z578" i="3" s="1"/>
  <c r="AN578" i="3"/>
  <c r="X578" i="3"/>
  <c r="AW577" i="3"/>
  <c r="AY577" i="3" s="1"/>
  <c r="BD576" i="3"/>
  <c r="BG576" i="3"/>
  <c r="BH576" i="3" s="1"/>
  <c r="BI576" i="3" s="1"/>
  <c r="BN578" i="3"/>
  <c r="AT577" i="3"/>
  <c r="BA576" i="3"/>
  <c r="BD575" i="3"/>
  <c r="BG575" i="3"/>
  <c r="BH575" i="3" s="1"/>
  <c r="BI575" i="3" s="1"/>
  <c r="AO578" i="3"/>
  <c r="AG578" i="3"/>
  <c r="AT578" i="3" s="1"/>
  <c r="B579" i="3"/>
  <c r="A580" i="3"/>
  <c r="AQ579" i="3"/>
  <c r="AR579" i="3"/>
  <c r="C579" i="3"/>
  <c r="D579" i="3"/>
  <c r="F579" i="3"/>
  <c r="G579" i="3"/>
  <c r="H579" i="3" s="1"/>
  <c r="Q579" i="3"/>
  <c r="S579" i="3"/>
  <c r="O579" i="3"/>
  <c r="U579" i="3"/>
  <c r="AM579" i="3"/>
  <c r="AK579" i="3"/>
  <c r="AO579" i="3" s="1"/>
  <c r="AD579" i="3"/>
  <c r="AF579" i="3"/>
  <c r="AE579" i="3"/>
  <c r="M579" i="3"/>
  <c r="P579" i="3"/>
  <c r="V579" i="3"/>
  <c r="T579" i="3"/>
  <c r="R579" i="3"/>
  <c r="BF575" i="3"/>
  <c r="BJ574" i="3" s="1"/>
  <c r="BK574" i="3" s="1"/>
  <c r="BB575" i="3"/>
  <c r="BQ575" i="3"/>
  <c r="BM579" i="3" l="1"/>
  <c r="AX578" i="3"/>
  <c r="AH579" i="3"/>
  <c r="AN579" i="3"/>
  <c r="BN579" i="3"/>
  <c r="AW578" i="3"/>
  <c r="AY578" i="3" s="1"/>
  <c r="BQ576" i="3"/>
  <c r="BF576" i="3"/>
  <c r="BJ575" i="3" s="1"/>
  <c r="BK575" i="3" s="1"/>
  <c r="BB576" i="3"/>
  <c r="AU578" i="3"/>
  <c r="AV578" i="3" s="1"/>
  <c r="X579" i="3"/>
  <c r="D580" i="3"/>
  <c r="B580" i="3"/>
  <c r="AQ580" i="3"/>
  <c r="C580" i="3"/>
  <c r="AR580" i="3"/>
  <c r="A581" i="3"/>
  <c r="G580" i="3"/>
  <c r="H580" i="3" s="1"/>
  <c r="F580" i="3"/>
  <c r="S580" i="3"/>
  <c r="Q580" i="3"/>
  <c r="O580" i="3"/>
  <c r="U580" i="3"/>
  <c r="AM580" i="3"/>
  <c r="AK580" i="3"/>
  <c r="AF580" i="3"/>
  <c r="AD580" i="3"/>
  <c r="AE580" i="3"/>
  <c r="M580" i="3"/>
  <c r="V580" i="3"/>
  <c r="R580" i="3"/>
  <c r="P580" i="3"/>
  <c r="T580" i="3"/>
  <c r="BA577" i="3"/>
  <c r="AV577" i="3"/>
  <c r="BC577" i="3" s="1"/>
  <c r="Y579" i="3"/>
  <c r="Z579" i="3" s="1"/>
  <c r="AG579" i="3"/>
  <c r="AW579" i="3" s="1"/>
  <c r="BM580" i="3" l="1"/>
  <c r="AO580" i="3"/>
  <c r="Y580" i="3"/>
  <c r="Z580" i="3" s="1"/>
  <c r="AG580" i="3"/>
  <c r="BC578" i="3"/>
  <c r="BD578" i="3"/>
  <c r="BG578" i="3"/>
  <c r="BH578" i="3" s="1"/>
  <c r="BI578" i="3" s="1"/>
  <c r="AU579" i="3"/>
  <c r="BD577" i="3"/>
  <c r="BG577" i="3"/>
  <c r="BH577" i="3" s="1"/>
  <c r="BI577" i="3" s="1"/>
  <c r="AH580" i="3"/>
  <c r="AX579" i="3"/>
  <c r="AY579" i="3" s="1"/>
  <c r="BF577" i="3"/>
  <c r="BJ576" i="3" s="1"/>
  <c r="BK576" i="3" s="1"/>
  <c r="BQ577" i="3"/>
  <c r="BB577" i="3"/>
  <c r="D581" i="3"/>
  <c r="AR581" i="3"/>
  <c r="AQ581" i="3"/>
  <c r="A582" i="3"/>
  <c r="B581" i="3"/>
  <c r="C581" i="3"/>
  <c r="F581" i="3"/>
  <c r="BM581" i="3" s="1"/>
  <c r="G581" i="3"/>
  <c r="H581" i="3" s="1"/>
  <c r="Q581" i="3"/>
  <c r="S581" i="3"/>
  <c r="O581" i="3"/>
  <c r="U581" i="3"/>
  <c r="AE581" i="3"/>
  <c r="AK581" i="3"/>
  <c r="AM581" i="3"/>
  <c r="AN581" i="3" s="1"/>
  <c r="AF581" i="3"/>
  <c r="M581" i="3"/>
  <c r="AD581" i="3"/>
  <c r="P581" i="3"/>
  <c r="V581" i="3"/>
  <c r="R581" i="3"/>
  <c r="T581" i="3"/>
  <c r="BA578" i="3"/>
  <c r="AN580" i="3"/>
  <c r="AT579" i="3"/>
  <c r="BN580" i="3"/>
  <c r="X580" i="3"/>
  <c r="BN581" i="3" l="1"/>
  <c r="AU580" i="3"/>
  <c r="AV579" i="3"/>
  <c r="BC579" i="3" s="1"/>
  <c r="BA579" i="3"/>
  <c r="AO581" i="3"/>
  <c r="AX580" i="3"/>
  <c r="AH581" i="3"/>
  <c r="AX581" i="3" s="1"/>
  <c r="BF578" i="3"/>
  <c r="BJ577" i="3" s="1"/>
  <c r="BK577" i="3" s="1"/>
  <c r="BB578" i="3"/>
  <c r="BQ578" i="3"/>
  <c r="AG581" i="3"/>
  <c r="AT580" i="3"/>
  <c r="Y581" i="3"/>
  <c r="Z581" i="3" s="1"/>
  <c r="X581" i="3"/>
  <c r="AQ582" i="3"/>
  <c r="AR582" i="3"/>
  <c r="B582" i="3"/>
  <c r="A583" i="3"/>
  <c r="C582" i="3"/>
  <c r="D582" i="3"/>
  <c r="G582" i="3"/>
  <c r="H582" i="3" s="1"/>
  <c r="BN582" i="3" s="1"/>
  <c r="F582" i="3"/>
  <c r="BM582" i="3" s="1"/>
  <c r="S582" i="3"/>
  <c r="Q582" i="3"/>
  <c r="O582" i="3"/>
  <c r="U582" i="3"/>
  <c r="AF582" i="3"/>
  <c r="AK582" i="3"/>
  <c r="AM582" i="3"/>
  <c r="AN582" i="3" s="1"/>
  <c r="AD582" i="3"/>
  <c r="M582" i="3"/>
  <c r="AE582" i="3"/>
  <c r="P582" i="3"/>
  <c r="V582" i="3"/>
  <c r="R582" i="3"/>
  <c r="T582" i="3"/>
  <c r="AW580" i="3"/>
  <c r="AO582" i="3" l="1"/>
  <c r="AV580" i="3"/>
  <c r="BA580" i="3"/>
  <c r="Y582" i="3"/>
  <c r="Z582" i="3" s="1"/>
  <c r="BD579" i="3"/>
  <c r="BG579" i="3"/>
  <c r="BH579" i="3" s="1"/>
  <c r="BI579" i="3" s="1"/>
  <c r="BQ579" i="3"/>
  <c r="BF579" i="3"/>
  <c r="BJ578" i="3" s="1"/>
  <c r="BK578" i="3" s="1"/>
  <c r="BB579" i="3"/>
  <c r="AU581" i="3"/>
  <c r="AY580" i="3"/>
  <c r="AH582" i="3"/>
  <c r="AW581" i="3"/>
  <c r="AY581" i="3" s="1"/>
  <c r="X582" i="3"/>
  <c r="B583" i="3"/>
  <c r="AR583" i="3"/>
  <c r="C583" i="3"/>
  <c r="D583" i="3"/>
  <c r="A584" i="3"/>
  <c r="AQ583" i="3"/>
  <c r="F583" i="3"/>
  <c r="BM583" i="3" s="1"/>
  <c r="G583" i="3"/>
  <c r="H583" i="3" s="1"/>
  <c r="S583" i="3"/>
  <c r="Q583" i="3"/>
  <c r="O583" i="3"/>
  <c r="U583" i="3"/>
  <c r="M583" i="3"/>
  <c r="AE583" i="3"/>
  <c r="AK583" i="3"/>
  <c r="AM583" i="3"/>
  <c r="AD583" i="3"/>
  <c r="AF583" i="3"/>
  <c r="V583" i="3"/>
  <c r="P583" i="3"/>
  <c r="R583" i="3"/>
  <c r="T583" i="3"/>
  <c r="AG582" i="3"/>
  <c r="AW582" i="3" s="1"/>
  <c r="AT581" i="3"/>
  <c r="AO583" i="3" l="1"/>
  <c r="AG583" i="3"/>
  <c r="BQ580" i="3"/>
  <c r="BB580" i="3"/>
  <c r="BF580" i="3"/>
  <c r="BJ579" i="3" s="1"/>
  <c r="BK579" i="3" s="1"/>
  <c r="AH583" i="3"/>
  <c r="AX582" i="3"/>
  <c r="AY582" i="3" s="1"/>
  <c r="C584" i="3"/>
  <c r="A585" i="3"/>
  <c r="AR584" i="3"/>
  <c r="AQ584" i="3"/>
  <c r="B584" i="3"/>
  <c r="D584" i="3"/>
  <c r="F584" i="3"/>
  <c r="G584" i="3"/>
  <c r="H584" i="3" s="1"/>
  <c r="Q584" i="3"/>
  <c r="S584" i="3"/>
  <c r="O584" i="3"/>
  <c r="U584" i="3"/>
  <c r="AF584" i="3"/>
  <c r="AM584" i="3"/>
  <c r="AK584" i="3"/>
  <c r="AO584" i="3" s="1"/>
  <c r="M584" i="3"/>
  <c r="AD584" i="3"/>
  <c r="AE584" i="3"/>
  <c r="V584" i="3"/>
  <c r="P584" i="3"/>
  <c r="R584" i="3"/>
  <c r="T584" i="3"/>
  <c r="X583" i="3"/>
  <c r="Y583" i="3"/>
  <c r="Z583" i="3" s="1"/>
  <c r="BC580" i="3"/>
  <c r="BA581" i="3"/>
  <c r="AV581" i="3"/>
  <c r="BC581" i="3" s="1"/>
  <c r="AT582" i="3"/>
  <c r="AN583" i="3"/>
  <c r="BN583" i="3"/>
  <c r="AU582" i="3"/>
  <c r="BM584" i="3" l="1"/>
  <c r="BN584" i="3"/>
  <c r="AH584" i="3"/>
  <c r="AW583" i="3"/>
  <c r="AN584" i="3"/>
  <c r="BA582" i="3"/>
  <c r="AV582" i="3"/>
  <c r="BC582" i="3" s="1"/>
  <c r="AX583" i="3"/>
  <c r="AY583" i="3" s="1"/>
  <c r="BD581" i="3"/>
  <c r="BG581" i="3"/>
  <c r="BH581" i="3" s="1"/>
  <c r="BI581" i="3" s="1"/>
  <c r="BQ581" i="3"/>
  <c r="BB581" i="3"/>
  <c r="BF581" i="3"/>
  <c r="BJ580" i="3" s="1"/>
  <c r="BK580" i="3" s="1"/>
  <c r="Y584" i="3"/>
  <c r="Z584" i="3" s="1"/>
  <c r="AT584" i="3"/>
  <c r="X584" i="3"/>
  <c r="BD580" i="3"/>
  <c r="BG580" i="3"/>
  <c r="BH580" i="3" s="1"/>
  <c r="BI580" i="3" s="1"/>
  <c r="AT583" i="3"/>
  <c r="AG584" i="3"/>
  <c r="AR585" i="3"/>
  <c r="A586" i="3"/>
  <c r="AQ585" i="3"/>
  <c r="B585" i="3"/>
  <c r="D585" i="3"/>
  <c r="C585" i="3"/>
  <c r="G585" i="3"/>
  <c r="H585" i="3" s="1"/>
  <c r="F585" i="3"/>
  <c r="BM585" i="3" s="1"/>
  <c r="Q585" i="3"/>
  <c r="S585" i="3"/>
  <c r="O585" i="3"/>
  <c r="U585" i="3"/>
  <c r="AE585" i="3"/>
  <c r="M585" i="3"/>
  <c r="AM585" i="3"/>
  <c r="AK585" i="3"/>
  <c r="AO585" i="3" s="1"/>
  <c r="AF585" i="3"/>
  <c r="AD585" i="3"/>
  <c r="R585" i="3"/>
  <c r="P585" i="3"/>
  <c r="V585" i="3"/>
  <c r="T585" i="3"/>
  <c r="AU583" i="3"/>
  <c r="BN585" i="3" l="1"/>
  <c r="X585" i="3"/>
  <c r="AH585" i="3"/>
  <c r="AW584" i="3"/>
  <c r="BB582" i="3"/>
  <c r="BQ582" i="3"/>
  <c r="BF582" i="3"/>
  <c r="BJ581" i="3" s="1"/>
  <c r="BK581" i="3" s="1"/>
  <c r="Y585" i="3"/>
  <c r="Z585" i="3" s="1"/>
  <c r="AG585" i="3"/>
  <c r="AU584" i="3"/>
  <c r="AV584" i="3" s="1"/>
  <c r="AQ586" i="3"/>
  <c r="A587" i="3"/>
  <c r="D586" i="3"/>
  <c r="C586" i="3"/>
  <c r="B586" i="3"/>
  <c r="AR586" i="3"/>
  <c r="G586" i="3"/>
  <c r="H586" i="3" s="1"/>
  <c r="F586" i="3"/>
  <c r="Q586" i="3"/>
  <c r="S586" i="3"/>
  <c r="O586" i="3"/>
  <c r="U586" i="3"/>
  <c r="AK586" i="3"/>
  <c r="AM586" i="3"/>
  <c r="AD586" i="3"/>
  <c r="AF586" i="3"/>
  <c r="AE586" i="3"/>
  <c r="M586" i="3"/>
  <c r="P586" i="3"/>
  <c r="V586" i="3"/>
  <c r="R586" i="3"/>
  <c r="T586" i="3"/>
  <c r="BA583" i="3"/>
  <c r="AV583" i="3"/>
  <c r="BC583" i="3" s="1"/>
  <c r="AX584" i="3"/>
  <c r="BD582" i="3"/>
  <c r="BG582" i="3"/>
  <c r="BH582" i="3" s="1"/>
  <c r="BI582" i="3" s="1"/>
  <c r="AN585" i="3"/>
  <c r="AW585" i="3" l="1"/>
  <c r="AG586" i="3"/>
  <c r="AX585" i="3"/>
  <c r="Y586" i="3"/>
  <c r="Z586" i="3" s="1"/>
  <c r="AO586" i="3"/>
  <c r="AY584" i="3"/>
  <c r="BC584" i="3" s="1"/>
  <c r="AY585" i="3"/>
  <c r="AU585" i="3"/>
  <c r="BM586" i="3"/>
  <c r="X586" i="3"/>
  <c r="BD583" i="3"/>
  <c r="BG583" i="3"/>
  <c r="BH583" i="3" s="1"/>
  <c r="BI583" i="3" s="1"/>
  <c r="BB583" i="3"/>
  <c r="BF583" i="3"/>
  <c r="BJ582" i="3" s="1"/>
  <c r="BK582" i="3" s="1"/>
  <c r="BQ583" i="3"/>
  <c r="AH586" i="3"/>
  <c r="BN586" i="3"/>
  <c r="B587" i="3"/>
  <c r="A588" i="3"/>
  <c r="C587" i="3"/>
  <c r="AR587" i="3"/>
  <c r="AQ587" i="3"/>
  <c r="D587" i="3"/>
  <c r="G587" i="3"/>
  <c r="H587" i="3" s="1"/>
  <c r="F587" i="3"/>
  <c r="Q587" i="3"/>
  <c r="S587" i="3"/>
  <c r="O587" i="3"/>
  <c r="U587" i="3"/>
  <c r="AK587" i="3"/>
  <c r="AF587" i="3"/>
  <c r="M587" i="3"/>
  <c r="AM587" i="3"/>
  <c r="AD587" i="3"/>
  <c r="AE587" i="3"/>
  <c r="V587" i="3"/>
  <c r="P587" i="3"/>
  <c r="R587" i="3"/>
  <c r="T587" i="3"/>
  <c r="AN586" i="3"/>
  <c r="BA584" i="3"/>
  <c r="AT585" i="3"/>
  <c r="BM587" i="3" l="1"/>
  <c r="AW586" i="3"/>
  <c r="AU586" i="3"/>
  <c r="AT586" i="3"/>
  <c r="AN587" i="3"/>
  <c r="BN587" i="3"/>
  <c r="AH587" i="3"/>
  <c r="AX587" i="3" s="1"/>
  <c r="BB584" i="3"/>
  <c r="BQ584" i="3"/>
  <c r="BF584" i="3"/>
  <c r="BJ583" i="3" s="1"/>
  <c r="BK583" i="3" s="1"/>
  <c r="AX586" i="3"/>
  <c r="AY586" i="3" s="1"/>
  <c r="AO587" i="3"/>
  <c r="X587" i="3"/>
  <c r="BD584" i="3"/>
  <c r="BG584" i="3"/>
  <c r="BH584" i="3" s="1"/>
  <c r="BI584" i="3" s="1"/>
  <c r="Y587" i="3"/>
  <c r="Z587" i="3" s="1"/>
  <c r="BA585" i="3"/>
  <c r="AV585" i="3"/>
  <c r="BC585" i="3" s="1"/>
  <c r="AG587" i="3"/>
  <c r="D588" i="3"/>
  <c r="A589" i="3"/>
  <c r="AR588" i="3"/>
  <c r="B588" i="3"/>
  <c r="AQ588" i="3"/>
  <c r="C588" i="3"/>
  <c r="G588" i="3"/>
  <c r="H588" i="3" s="1"/>
  <c r="F588" i="3"/>
  <c r="BM588" i="3" s="1"/>
  <c r="S588" i="3"/>
  <c r="Q588" i="3"/>
  <c r="O588" i="3"/>
  <c r="U588" i="3"/>
  <c r="AK588" i="3"/>
  <c r="AM588" i="3"/>
  <c r="AD588" i="3"/>
  <c r="M588" i="3"/>
  <c r="AF588" i="3"/>
  <c r="AE588" i="3"/>
  <c r="V588" i="3"/>
  <c r="P588" i="3"/>
  <c r="T588" i="3"/>
  <c r="R588" i="3"/>
  <c r="AV586" i="3" l="1"/>
  <c r="AG588" i="3"/>
  <c r="AT587" i="3"/>
  <c r="AO588" i="3"/>
  <c r="X588" i="3"/>
  <c r="AU587" i="3"/>
  <c r="AW587" i="3"/>
  <c r="AY587" i="3" s="1"/>
  <c r="B589" i="3"/>
  <c r="C589" i="3"/>
  <c r="D589" i="3"/>
  <c r="AR589" i="3"/>
  <c r="A590" i="3"/>
  <c r="AQ589" i="3"/>
  <c r="F589" i="3"/>
  <c r="G589" i="3"/>
  <c r="H589" i="3" s="1"/>
  <c r="Q589" i="3"/>
  <c r="S589" i="3"/>
  <c r="O589" i="3"/>
  <c r="U589" i="3"/>
  <c r="AD589" i="3"/>
  <c r="AE589" i="3"/>
  <c r="M589" i="3"/>
  <c r="AK589" i="3"/>
  <c r="AM589" i="3"/>
  <c r="AF589" i="3"/>
  <c r="V589" i="3"/>
  <c r="T589" i="3"/>
  <c r="R589" i="3"/>
  <c r="P589" i="3"/>
  <c r="AH588" i="3"/>
  <c r="AX588" i="3" s="1"/>
  <c r="BN588" i="3"/>
  <c r="BD585" i="3"/>
  <c r="BG585" i="3"/>
  <c r="BH585" i="3" s="1"/>
  <c r="BI585" i="3" s="1"/>
  <c r="BA586" i="3"/>
  <c r="Y588" i="3"/>
  <c r="Z588" i="3" s="1"/>
  <c r="AN588" i="3"/>
  <c r="BQ585" i="3"/>
  <c r="BF585" i="3"/>
  <c r="BJ584" i="3" s="1"/>
  <c r="BK584" i="3" s="1"/>
  <c r="BB585" i="3"/>
  <c r="BC586" i="3"/>
  <c r="AV587" i="3" l="1"/>
  <c r="BN589" i="3"/>
  <c r="BA587" i="3"/>
  <c r="AO589" i="3"/>
  <c r="AN589" i="3"/>
  <c r="BM589" i="3"/>
  <c r="AG589" i="3"/>
  <c r="AH589" i="3"/>
  <c r="AU588" i="3"/>
  <c r="BC587" i="3"/>
  <c r="BB587" i="3"/>
  <c r="BQ587" i="3"/>
  <c r="BF587" i="3"/>
  <c r="AQ590" i="3"/>
  <c r="AR590" i="3"/>
  <c r="A591" i="3"/>
  <c r="D590" i="3"/>
  <c r="B590" i="3"/>
  <c r="C590" i="3"/>
  <c r="G590" i="3"/>
  <c r="H590" i="3" s="1"/>
  <c r="F590" i="3"/>
  <c r="BM590" i="3" s="1"/>
  <c r="S590" i="3"/>
  <c r="Q590" i="3"/>
  <c r="O590" i="3"/>
  <c r="U590" i="3"/>
  <c r="AK590" i="3"/>
  <c r="AM590" i="3"/>
  <c r="AF590" i="3"/>
  <c r="M590" i="3"/>
  <c r="AD590" i="3"/>
  <c r="AE590" i="3"/>
  <c r="AG590" i="3" s="1"/>
  <c r="V590" i="3"/>
  <c r="R590" i="3"/>
  <c r="P590" i="3"/>
  <c r="T590" i="3"/>
  <c r="AW588" i="3"/>
  <c r="AY588" i="3" s="1"/>
  <c r="X589" i="3"/>
  <c r="BD586" i="3"/>
  <c r="BG586" i="3"/>
  <c r="BH586" i="3" s="1"/>
  <c r="BI586" i="3" s="1"/>
  <c r="BF586" i="3"/>
  <c r="BJ585" i="3" s="1"/>
  <c r="BK585" i="3" s="1"/>
  <c r="BQ586" i="3"/>
  <c r="BB586" i="3"/>
  <c r="Y589" i="3"/>
  <c r="Z589" i="3" s="1"/>
  <c r="AT588" i="3"/>
  <c r="AX589" i="3" l="1"/>
  <c r="X590" i="3"/>
  <c r="AT589" i="3"/>
  <c r="AN590" i="3"/>
  <c r="Y590" i="3"/>
  <c r="Z590" i="3" s="1"/>
  <c r="B591" i="3"/>
  <c r="A592" i="3"/>
  <c r="AQ591" i="3"/>
  <c r="AR591" i="3"/>
  <c r="C591" i="3"/>
  <c r="D591" i="3"/>
  <c r="G591" i="3"/>
  <c r="H591" i="3" s="1"/>
  <c r="BN591" i="3" s="1"/>
  <c r="F591" i="3"/>
  <c r="BM591" i="3" s="1"/>
  <c r="S591" i="3"/>
  <c r="Q591" i="3"/>
  <c r="O591" i="3"/>
  <c r="U591" i="3"/>
  <c r="AK591" i="3"/>
  <c r="AF591" i="3"/>
  <c r="M591" i="3"/>
  <c r="AM591" i="3"/>
  <c r="AD591" i="3"/>
  <c r="AE591" i="3"/>
  <c r="R591" i="3"/>
  <c r="V591" i="3"/>
  <c r="T591" i="3"/>
  <c r="P591" i="3"/>
  <c r="BJ586" i="3"/>
  <c r="BK586" i="3" s="1"/>
  <c r="AH590" i="3"/>
  <c r="AW589" i="3"/>
  <c r="AY589" i="3" s="1"/>
  <c r="AV588" i="3"/>
  <c r="BC588" i="3" s="1"/>
  <c r="BA588" i="3"/>
  <c r="BN590" i="3"/>
  <c r="AO590" i="3"/>
  <c r="BD587" i="3"/>
  <c r="BG587" i="3"/>
  <c r="BH587" i="3" s="1"/>
  <c r="BI587" i="3" s="1"/>
  <c r="AU589" i="3"/>
  <c r="BA589" i="3" l="1"/>
  <c r="BQ589" i="3" s="1"/>
  <c r="X591" i="3"/>
  <c r="AG591" i="3"/>
  <c r="Y591" i="3"/>
  <c r="Z591" i="3" s="1"/>
  <c r="AX590" i="3"/>
  <c r="AN591" i="3"/>
  <c r="BB589" i="3"/>
  <c r="BF589" i="3"/>
  <c r="C592" i="3"/>
  <c r="AQ592" i="3"/>
  <c r="D592" i="3"/>
  <c r="A593" i="3"/>
  <c r="B592" i="3"/>
  <c r="AR592" i="3"/>
  <c r="F592" i="3"/>
  <c r="G592" i="3"/>
  <c r="H592" i="3" s="1"/>
  <c r="Q592" i="3"/>
  <c r="S592" i="3"/>
  <c r="O592" i="3"/>
  <c r="U592" i="3"/>
  <c r="AM592" i="3"/>
  <c r="AK592" i="3"/>
  <c r="M592" i="3"/>
  <c r="AE592" i="3"/>
  <c r="AD592" i="3"/>
  <c r="AF592" i="3"/>
  <c r="P592" i="3"/>
  <c r="V592" i="3"/>
  <c r="R592" i="3"/>
  <c r="T592" i="3"/>
  <c r="AU590" i="3"/>
  <c r="AW590" i="3"/>
  <c r="BB588" i="3"/>
  <c r="BF588" i="3"/>
  <c r="BJ587" i="3" s="1"/>
  <c r="BK587" i="3" s="1"/>
  <c r="BQ588" i="3"/>
  <c r="AT590" i="3"/>
  <c r="AH591" i="3"/>
  <c r="AV589" i="3"/>
  <c r="BC589" i="3" s="1"/>
  <c r="BD588" i="3"/>
  <c r="BG588" i="3"/>
  <c r="BH588" i="3" s="1"/>
  <c r="BI588" i="3" s="1"/>
  <c r="AO591" i="3"/>
  <c r="AX591" i="3" l="1"/>
  <c r="AY590" i="3"/>
  <c r="AN592" i="3"/>
  <c r="X592" i="3"/>
  <c r="AU591" i="3"/>
  <c r="AR593" i="3"/>
  <c r="A594" i="3"/>
  <c r="AQ593" i="3"/>
  <c r="B593" i="3"/>
  <c r="D593" i="3"/>
  <c r="C593" i="3"/>
  <c r="F593" i="3"/>
  <c r="BM593" i="3" s="1"/>
  <c r="G593" i="3"/>
  <c r="H593" i="3" s="1"/>
  <c r="BN593" i="3" s="1"/>
  <c r="Q593" i="3"/>
  <c r="S593" i="3"/>
  <c r="O593" i="3"/>
  <c r="U593" i="3"/>
  <c r="AM593" i="3"/>
  <c r="AD593" i="3"/>
  <c r="AK593" i="3"/>
  <c r="M593" i="3"/>
  <c r="AE593" i="3"/>
  <c r="AF593" i="3"/>
  <c r="T593" i="3"/>
  <c r="V593" i="3"/>
  <c r="P593" i="3"/>
  <c r="R593" i="3"/>
  <c r="AG592" i="3"/>
  <c r="Y592" i="3"/>
  <c r="Z592" i="3" s="1"/>
  <c r="BA590" i="3"/>
  <c r="AV590" i="3"/>
  <c r="BC590" i="3" s="1"/>
  <c r="AW591" i="3"/>
  <c r="AY591" i="3" s="1"/>
  <c r="BJ588" i="3"/>
  <c r="BK588" i="3" s="1"/>
  <c r="AT591" i="3"/>
  <c r="BM592" i="3"/>
  <c r="BD589" i="3"/>
  <c r="BG589" i="3"/>
  <c r="BH589" i="3" s="1"/>
  <c r="BI589" i="3" s="1"/>
  <c r="AH592" i="3"/>
  <c r="AT592" i="3" s="1"/>
  <c r="BN592" i="3"/>
  <c r="AO592" i="3"/>
  <c r="AH593" i="3" l="1"/>
  <c r="AW592" i="3"/>
  <c r="AO593" i="3"/>
  <c r="BA591" i="3"/>
  <c r="AV591" i="3"/>
  <c r="BC591" i="3" s="1"/>
  <c r="AN593" i="3"/>
  <c r="BD590" i="3"/>
  <c r="BG590" i="3"/>
  <c r="BH590" i="3" s="1"/>
  <c r="BI590" i="3" s="1"/>
  <c r="BF590" i="3"/>
  <c r="BJ589" i="3" s="1"/>
  <c r="BK589" i="3" s="1"/>
  <c r="BB590" i="3"/>
  <c r="BQ590" i="3"/>
  <c r="AX592" i="3"/>
  <c r="AY592" i="3" s="1"/>
  <c r="Y593" i="3"/>
  <c r="Z593" i="3" s="1"/>
  <c r="X593" i="3"/>
  <c r="AU592" i="3"/>
  <c r="AV592" i="3" s="1"/>
  <c r="AQ594" i="3"/>
  <c r="AR594" i="3"/>
  <c r="B594" i="3"/>
  <c r="A595" i="3"/>
  <c r="C594" i="3"/>
  <c r="D594" i="3"/>
  <c r="G594" i="3"/>
  <c r="H594" i="3" s="1"/>
  <c r="F594" i="3"/>
  <c r="S594" i="3"/>
  <c r="Q594" i="3"/>
  <c r="O594" i="3"/>
  <c r="U594" i="3"/>
  <c r="AF594" i="3"/>
  <c r="AM594" i="3"/>
  <c r="AK594" i="3"/>
  <c r="AE594" i="3"/>
  <c r="AD594" i="3"/>
  <c r="M594" i="3"/>
  <c r="T594" i="3"/>
  <c r="P594" i="3"/>
  <c r="V594" i="3"/>
  <c r="R594" i="3"/>
  <c r="AG593" i="3"/>
  <c r="AU593" i="3" s="1"/>
  <c r="AT593" i="3"/>
  <c r="AX593" i="3" l="1"/>
  <c r="AN594" i="3"/>
  <c r="Y594" i="3"/>
  <c r="Z594" i="3" s="1"/>
  <c r="AH594" i="3"/>
  <c r="BA592" i="3"/>
  <c r="BC592" i="3"/>
  <c r="AG594" i="3"/>
  <c r="BD591" i="3"/>
  <c r="BG591" i="3"/>
  <c r="BH591" i="3" s="1"/>
  <c r="BI591" i="3" s="1"/>
  <c r="X594" i="3"/>
  <c r="B595" i="3"/>
  <c r="D595" i="3"/>
  <c r="C595" i="3"/>
  <c r="A596" i="3"/>
  <c r="AQ595" i="3"/>
  <c r="AR595" i="3"/>
  <c r="G595" i="3"/>
  <c r="H595" i="3" s="1"/>
  <c r="F595" i="3"/>
  <c r="Q595" i="3"/>
  <c r="S595" i="3"/>
  <c r="O595" i="3"/>
  <c r="U595" i="3"/>
  <c r="X595" i="3" s="1"/>
  <c r="AD595" i="3"/>
  <c r="AF595" i="3"/>
  <c r="AK595" i="3"/>
  <c r="AE595" i="3"/>
  <c r="AM595" i="3"/>
  <c r="M595" i="3"/>
  <c r="V595" i="3"/>
  <c r="P595" i="3"/>
  <c r="T595" i="3"/>
  <c r="R595" i="3"/>
  <c r="AV593" i="3"/>
  <c r="BM594" i="3"/>
  <c r="AW593" i="3"/>
  <c r="AY593" i="3" s="1"/>
  <c r="AO594" i="3"/>
  <c r="BN594" i="3"/>
  <c r="BB591" i="3"/>
  <c r="BF591" i="3"/>
  <c r="BJ590" i="3" s="1"/>
  <c r="BK590" i="3" s="1"/>
  <c r="BQ591" i="3"/>
  <c r="AW594" i="3" l="1"/>
  <c r="BN595" i="3"/>
  <c r="AH595" i="3"/>
  <c r="AT594" i="3"/>
  <c r="AO595" i="3"/>
  <c r="BQ592" i="3"/>
  <c r="BB592" i="3"/>
  <c r="BF592" i="3"/>
  <c r="BJ591" i="3" s="1"/>
  <c r="BK591" i="3" s="1"/>
  <c r="Y595" i="3"/>
  <c r="Z595" i="3" s="1"/>
  <c r="AU594" i="3"/>
  <c r="BD592" i="3"/>
  <c r="BG592" i="3"/>
  <c r="BH592" i="3" s="1"/>
  <c r="BI592" i="3" s="1"/>
  <c r="AN595" i="3"/>
  <c r="AX594" i="3"/>
  <c r="AY594" i="3" s="1"/>
  <c r="C596" i="3"/>
  <c r="A597" i="3"/>
  <c r="AR596" i="3"/>
  <c r="B596" i="3"/>
  <c r="AQ596" i="3"/>
  <c r="D596" i="3"/>
  <c r="G596" i="3"/>
  <c r="H596" i="3" s="1"/>
  <c r="BN596" i="3" s="1"/>
  <c r="F596" i="3"/>
  <c r="Q596" i="3"/>
  <c r="S596" i="3"/>
  <c r="O596" i="3"/>
  <c r="U596" i="3"/>
  <c r="AF596" i="3"/>
  <c r="AD596" i="3"/>
  <c r="AK596" i="3"/>
  <c r="AM596" i="3"/>
  <c r="AN596" i="3" s="1"/>
  <c r="AE596" i="3"/>
  <c r="M596" i="3"/>
  <c r="V596" i="3"/>
  <c r="R596" i="3"/>
  <c r="P596" i="3"/>
  <c r="T596" i="3"/>
  <c r="BA593" i="3"/>
  <c r="BC593" i="3"/>
  <c r="AG595" i="3"/>
  <c r="AT595" i="3" s="1"/>
  <c r="BM595" i="3"/>
  <c r="BM596" i="3" l="1"/>
  <c r="BA594" i="3"/>
  <c r="BQ594" i="3" s="1"/>
  <c r="AO596" i="3"/>
  <c r="AU595" i="3"/>
  <c r="AH596" i="3"/>
  <c r="AX596" i="3" s="1"/>
  <c r="AX595" i="3"/>
  <c r="BF594" i="3"/>
  <c r="BB594" i="3"/>
  <c r="BQ593" i="3"/>
  <c r="BB593" i="3"/>
  <c r="BF593" i="3"/>
  <c r="BJ592" i="3" s="1"/>
  <c r="BK592" i="3" s="1"/>
  <c r="Y596" i="3"/>
  <c r="Z596" i="3" s="1"/>
  <c r="BD593" i="3"/>
  <c r="BG593" i="3"/>
  <c r="BH593" i="3" s="1"/>
  <c r="BI593" i="3" s="1"/>
  <c r="AV595" i="3"/>
  <c r="X596" i="3"/>
  <c r="A598" i="3"/>
  <c r="AQ597" i="3"/>
  <c r="B597" i="3"/>
  <c r="C597" i="3"/>
  <c r="D597" i="3"/>
  <c r="AR597" i="3"/>
  <c r="G597" i="3"/>
  <c r="H597" i="3" s="1"/>
  <c r="F597" i="3"/>
  <c r="S597" i="3"/>
  <c r="Q597" i="3"/>
  <c r="O597" i="3"/>
  <c r="U597" i="3"/>
  <c r="M597" i="3"/>
  <c r="AD597" i="3"/>
  <c r="AM597" i="3"/>
  <c r="AK597" i="3"/>
  <c r="AE597" i="3"/>
  <c r="AF597" i="3"/>
  <c r="V597" i="3"/>
  <c r="P597" i="3"/>
  <c r="T597" i="3"/>
  <c r="R597" i="3"/>
  <c r="AV594" i="3"/>
  <c r="BC594" i="3" s="1"/>
  <c r="AW595" i="3"/>
  <c r="AG596" i="3"/>
  <c r="AU596" i="3" l="1"/>
  <c r="BA595" i="3"/>
  <c r="AW596" i="3"/>
  <c r="AY595" i="3"/>
  <c r="BC595" i="3" s="1"/>
  <c r="AN597" i="3"/>
  <c r="BD594" i="3"/>
  <c r="BG594" i="3"/>
  <c r="BH594" i="3" s="1"/>
  <c r="BI594" i="3" s="1"/>
  <c r="BN597" i="3"/>
  <c r="X597" i="3"/>
  <c r="BB595" i="3"/>
  <c r="BQ595" i="3"/>
  <c r="BF595" i="3"/>
  <c r="BJ594" i="3" s="1"/>
  <c r="BK594" i="3" s="1"/>
  <c r="Y597" i="3"/>
  <c r="Z597" i="3" s="1"/>
  <c r="AH597" i="3"/>
  <c r="AY596" i="3"/>
  <c r="AG597" i="3"/>
  <c r="AQ598" i="3"/>
  <c r="C598" i="3"/>
  <c r="D598" i="3"/>
  <c r="AR598" i="3"/>
  <c r="A599" i="3"/>
  <c r="B598" i="3"/>
  <c r="F598" i="3"/>
  <c r="BM598" i="3" s="1"/>
  <c r="G598" i="3"/>
  <c r="H598" i="3" s="1"/>
  <c r="Q598" i="3"/>
  <c r="S598" i="3"/>
  <c r="O598" i="3"/>
  <c r="U598" i="3"/>
  <c r="AM598" i="3"/>
  <c r="AK598" i="3"/>
  <c r="AF598" i="3"/>
  <c r="AD598" i="3"/>
  <c r="AE598" i="3"/>
  <c r="M598" i="3"/>
  <c r="V598" i="3"/>
  <c r="R598" i="3"/>
  <c r="T598" i="3"/>
  <c r="P598" i="3"/>
  <c r="BJ593" i="3"/>
  <c r="BK593" i="3" s="1"/>
  <c r="AO597" i="3"/>
  <c r="BM597" i="3"/>
  <c r="AT596" i="3"/>
  <c r="AO598" i="3" l="1"/>
  <c r="BN598" i="3"/>
  <c r="AG598" i="3"/>
  <c r="AT597" i="3"/>
  <c r="AH598" i="3"/>
  <c r="AT598" i="3" s="1"/>
  <c r="AU598" i="3"/>
  <c r="AW597" i="3"/>
  <c r="AN598" i="3"/>
  <c r="AW598" i="3" s="1"/>
  <c r="B599" i="3"/>
  <c r="A600" i="3"/>
  <c r="AQ599" i="3"/>
  <c r="D599" i="3"/>
  <c r="C599" i="3"/>
  <c r="AR599" i="3"/>
  <c r="F599" i="3"/>
  <c r="BM599" i="3" s="1"/>
  <c r="G599" i="3"/>
  <c r="H599" i="3" s="1"/>
  <c r="BN599" i="3" s="1"/>
  <c r="Q599" i="3"/>
  <c r="S599" i="3"/>
  <c r="O599" i="3"/>
  <c r="U599" i="3"/>
  <c r="AF599" i="3"/>
  <c r="AM599" i="3"/>
  <c r="AK599" i="3"/>
  <c r="M599" i="3"/>
  <c r="AD599" i="3"/>
  <c r="AE599" i="3"/>
  <c r="P599" i="3"/>
  <c r="V599" i="3"/>
  <c r="R599" i="3"/>
  <c r="T599" i="3"/>
  <c r="X598" i="3"/>
  <c r="AU597" i="3"/>
  <c r="AV597" i="3" s="1"/>
  <c r="BD595" i="3"/>
  <c r="BG595" i="3"/>
  <c r="BH595" i="3" s="1"/>
  <c r="BI595" i="3" s="1"/>
  <c r="AX597" i="3"/>
  <c r="Y598" i="3"/>
  <c r="Z598" i="3" s="1"/>
  <c r="BA596" i="3"/>
  <c r="AV596" i="3"/>
  <c r="BC596" i="3" s="1"/>
  <c r="AO599" i="3" l="1"/>
  <c r="AH599" i="3"/>
  <c r="BB596" i="3"/>
  <c r="BF596" i="3"/>
  <c r="BJ595" i="3" s="1"/>
  <c r="BK595" i="3" s="1"/>
  <c r="BQ596" i="3"/>
  <c r="AN599" i="3"/>
  <c r="AX598" i="3"/>
  <c r="BA598" i="3" s="1"/>
  <c r="Y599" i="3"/>
  <c r="Z599" i="3" s="1"/>
  <c r="AY597" i="3"/>
  <c r="BC597" i="3" s="1"/>
  <c r="BA597" i="3"/>
  <c r="BD596" i="3"/>
  <c r="BG596" i="3"/>
  <c r="BH596" i="3" s="1"/>
  <c r="BI596" i="3" s="1"/>
  <c r="AV598" i="3"/>
  <c r="X599" i="3"/>
  <c r="AG599" i="3"/>
  <c r="AT599" i="3" s="1"/>
  <c r="C600" i="3"/>
  <c r="AR600" i="3"/>
  <c r="B600" i="3"/>
  <c r="AQ600" i="3"/>
  <c r="D600" i="3"/>
  <c r="A601" i="3"/>
  <c r="G600" i="3"/>
  <c r="H600" i="3" s="1"/>
  <c r="BN600" i="3" s="1"/>
  <c r="F600" i="3"/>
  <c r="Q600" i="3"/>
  <c r="S600" i="3"/>
  <c r="O600" i="3"/>
  <c r="U600" i="3"/>
  <c r="AM600" i="3"/>
  <c r="AK600" i="3"/>
  <c r="AO600" i="3" s="1"/>
  <c r="AF600" i="3"/>
  <c r="AE600" i="3"/>
  <c r="AD600" i="3"/>
  <c r="M600" i="3"/>
  <c r="P600" i="3"/>
  <c r="V600" i="3"/>
  <c r="T600" i="3"/>
  <c r="R600" i="3"/>
  <c r="AH600" i="3" l="1"/>
  <c r="AX599" i="3"/>
  <c r="X600" i="3"/>
  <c r="Y600" i="3"/>
  <c r="Z600" i="3" s="1"/>
  <c r="BD597" i="3"/>
  <c r="BG597" i="3"/>
  <c r="BH597" i="3" s="1"/>
  <c r="BI597" i="3" s="1"/>
  <c r="BB598" i="3"/>
  <c r="BF598" i="3"/>
  <c r="BQ598" i="3"/>
  <c r="AG600" i="3"/>
  <c r="AU600" i="3" s="1"/>
  <c r="AT600" i="3"/>
  <c r="BQ597" i="3"/>
  <c r="BF597" i="3"/>
  <c r="BJ596" i="3" s="1"/>
  <c r="BK596" i="3" s="1"/>
  <c r="BB597" i="3"/>
  <c r="AW599" i="3"/>
  <c r="AY599" i="3" s="1"/>
  <c r="AY598" i="3"/>
  <c r="BC598" i="3" s="1"/>
  <c r="BM600" i="3"/>
  <c r="AU599" i="3"/>
  <c r="AV599" i="3" s="1"/>
  <c r="D601" i="3"/>
  <c r="C601" i="3"/>
  <c r="AR601" i="3"/>
  <c r="A602" i="3"/>
  <c r="AQ601" i="3"/>
  <c r="B601" i="3"/>
  <c r="F601" i="3"/>
  <c r="G601" i="3"/>
  <c r="H601" i="3" s="1"/>
  <c r="Q601" i="3"/>
  <c r="S601" i="3"/>
  <c r="O601" i="3"/>
  <c r="U601" i="3"/>
  <c r="X601" i="3" s="1"/>
  <c r="AK601" i="3"/>
  <c r="AD601" i="3"/>
  <c r="AF601" i="3"/>
  <c r="AE601" i="3"/>
  <c r="AM601" i="3"/>
  <c r="M601" i="3"/>
  <c r="P601" i="3"/>
  <c r="R601" i="3"/>
  <c r="T601" i="3"/>
  <c r="V601" i="3"/>
  <c r="AN600" i="3"/>
  <c r="AX600" i="3" l="1"/>
  <c r="AN601" i="3"/>
  <c r="AG601" i="3"/>
  <c r="BC599" i="3"/>
  <c r="BD599" i="3" s="1"/>
  <c r="BJ597" i="3"/>
  <c r="BK597" i="3" s="1"/>
  <c r="AO601" i="3"/>
  <c r="BA599" i="3"/>
  <c r="AQ602" i="3"/>
  <c r="AR602" i="3"/>
  <c r="B602" i="3"/>
  <c r="C602" i="3"/>
  <c r="A603" i="3"/>
  <c r="D602" i="3"/>
  <c r="G602" i="3"/>
  <c r="H602" i="3" s="1"/>
  <c r="BN602" i="3" s="1"/>
  <c r="F602" i="3"/>
  <c r="Q602" i="3"/>
  <c r="S602" i="3"/>
  <c r="O602" i="3"/>
  <c r="U602" i="3"/>
  <c r="AF602" i="3"/>
  <c r="AK602" i="3"/>
  <c r="AM602" i="3"/>
  <c r="AN602" i="3" s="1"/>
  <c r="AD602" i="3"/>
  <c r="M602" i="3"/>
  <c r="AE602" i="3"/>
  <c r="R602" i="3"/>
  <c r="V602" i="3"/>
  <c r="T602" i="3"/>
  <c r="P602" i="3"/>
  <c r="BN601" i="3"/>
  <c r="BD598" i="3"/>
  <c r="BG598" i="3"/>
  <c r="BH598" i="3" s="1"/>
  <c r="BI598" i="3" s="1"/>
  <c r="AV600" i="3"/>
  <c r="BM601" i="3"/>
  <c r="Y601" i="3"/>
  <c r="Z601" i="3" s="1"/>
  <c r="AH601" i="3"/>
  <c r="AW600" i="3"/>
  <c r="AY600" i="3" s="1"/>
  <c r="BG599" i="3" l="1"/>
  <c r="BH599" i="3" s="1"/>
  <c r="BI599" i="3" s="1"/>
  <c r="AX601" i="3"/>
  <c r="AG602" i="3"/>
  <c r="BA600" i="3"/>
  <c r="BQ600" i="3" s="1"/>
  <c r="Y602" i="3"/>
  <c r="Z602" i="3" s="1"/>
  <c r="X602" i="3"/>
  <c r="BM602" i="3"/>
  <c r="AW601" i="3"/>
  <c r="AH602" i="3"/>
  <c r="BB599" i="3"/>
  <c r="BF599" i="3"/>
  <c r="BJ598" i="3" s="1"/>
  <c r="BK598" i="3" s="1"/>
  <c r="BQ599" i="3"/>
  <c r="AU601" i="3"/>
  <c r="AO602" i="3"/>
  <c r="BC600" i="3"/>
  <c r="B603" i="3"/>
  <c r="AQ603" i="3"/>
  <c r="AR603" i="3"/>
  <c r="D603" i="3"/>
  <c r="C603" i="3"/>
  <c r="A604" i="3"/>
  <c r="F603" i="3"/>
  <c r="BM603" i="3" s="1"/>
  <c r="G603" i="3"/>
  <c r="H603" i="3" s="1"/>
  <c r="BN603" i="3" s="1"/>
  <c r="S603" i="3"/>
  <c r="Q603" i="3"/>
  <c r="O603" i="3"/>
  <c r="U603" i="3"/>
  <c r="AK603" i="3"/>
  <c r="AD603" i="3"/>
  <c r="AM603" i="3"/>
  <c r="AE603" i="3"/>
  <c r="M603" i="3"/>
  <c r="AF603" i="3"/>
  <c r="V603" i="3"/>
  <c r="P603" i="3"/>
  <c r="T603" i="3"/>
  <c r="R603" i="3"/>
  <c r="AT601" i="3"/>
  <c r="AY601" i="3" l="1"/>
  <c r="AN603" i="3"/>
  <c r="BB600" i="3"/>
  <c r="BF600" i="3"/>
  <c r="AX602" i="3"/>
  <c r="AG603" i="3"/>
  <c r="BJ599" i="3"/>
  <c r="BK599" i="3" s="1"/>
  <c r="AO603" i="3"/>
  <c r="AU602" i="3"/>
  <c r="X603" i="3"/>
  <c r="AT602" i="3"/>
  <c r="BD600" i="3"/>
  <c r="BG600" i="3"/>
  <c r="BH600" i="3" s="1"/>
  <c r="BI600" i="3" s="1"/>
  <c r="AW602" i="3"/>
  <c r="AY602" i="3" s="1"/>
  <c r="AV601" i="3"/>
  <c r="BC601" i="3" s="1"/>
  <c r="BA601" i="3"/>
  <c r="C604" i="3"/>
  <c r="D604" i="3"/>
  <c r="A605" i="3"/>
  <c r="AR604" i="3"/>
  <c r="AQ604" i="3"/>
  <c r="B604" i="3"/>
  <c r="F604" i="3"/>
  <c r="G604" i="3"/>
  <c r="H604" i="3" s="1"/>
  <c r="Q604" i="3"/>
  <c r="S604" i="3"/>
  <c r="O604" i="3"/>
  <c r="U604" i="3"/>
  <c r="AK604" i="3"/>
  <c r="AM604" i="3"/>
  <c r="AN604" i="3" s="1"/>
  <c r="M604" i="3"/>
  <c r="AD604" i="3"/>
  <c r="AF604" i="3"/>
  <c r="AE604" i="3"/>
  <c r="V604" i="3"/>
  <c r="R604" i="3"/>
  <c r="T604" i="3"/>
  <c r="P604" i="3"/>
  <c r="Y603" i="3"/>
  <c r="Z603" i="3" s="1"/>
  <c r="AH603" i="3"/>
  <c r="AX603" i="3" s="1"/>
  <c r="AG604" i="3" l="1"/>
  <c r="AT603" i="3"/>
  <c r="AU603" i="3"/>
  <c r="AV603" i="3" s="1"/>
  <c r="X604" i="3"/>
  <c r="BD601" i="3"/>
  <c r="BG601" i="3"/>
  <c r="BH601" i="3" s="1"/>
  <c r="BI601" i="3" s="1"/>
  <c r="AR605" i="3"/>
  <c r="A606" i="3"/>
  <c r="AQ605" i="3"/>
  <c r="C605" i="3"/>
  <c r="B605" i="3"/>
  <c r="D605" i="3"/>
  <c r="G605" i="3"/>
  <c r="H605" i="3" s="1"/>
  <c r="BN605" i="3" s="1"/>
  <c r="F605" i="3"/>
  <c r="BM605" i="3" s="1"/>
  <c r="Q605" i="3"/>
  <c r="S605" i="3"/>
  <c r="O605" i="3"/>
  <c r="U605" i="3"/>
  <c r="AM605" i="3"/>
  <c r="M605" i="3"/>
  <c r="AK605" i="3"/>
  <c r="AF605" i="3"/>
  <c r="AD605" i="3"/>
  <c r="AE605" i="3"/>
  <c r="V605" i="3"/>
  <c r="P605" i="3"/>
  <c r="T605" i="3"/>
  <c r="R605" i="3"/>
  <c r="BN604" i="3"/>
  <c r="AV602" i="3"/>
  <c r="BC602" i="3" s="1"/>
  <c r="BA602" i="3"/>
  <c r="Y604" i="3"/>
  <c r="Z604" i="3" s="1"/>
  <c r="AH604" i="3"/>
  <c r="BQ601" i="3"/>
  <c r="BB601" i="3"/>
  <c r="BF601" i="3"/>
  <c r="BJ600" i="3" s="1"/>
  <c r="BK600" i="3" s="1"/>
  <c r="BM604" i="3"/>
  <c r="AO604" i="3"/>
  <c r="AW603" i="3"/>
  <c r="BA603" i="3" s="1"/>
  <c r="AX604" i="3" l="1"/>
  <c r="AO605" i="3"/>
  <c r="AH605" i="3"/>
  <c r="AY603" i="3"/>
  <c r="BB603" i="3"/>
  <c r="BF603" i="3"/>
  <c r="BQ603" i="3"/>
  <c r="AG605" i="3"/>
  <c r="AU605" i="3" s="1"/>
  <c r="AQ606" i="3"/>
  <c r="B606" i="3"/>
  <c r="A607" i="3"/>
  <c r="D606" i="3"/>
  <c r="C606" i="3"/>
  <c r="AR606" i="3"/>
  <c r="F606" i="3"/>
  <c r="BM606" i="3" s="1"/>
  <c r="G606" i="3"/>
  <c r="H606" i="3" s="1"/>
  <c r="BN606" i="3" s="1"/>
  <c r="Q606" i="3"/>
  <c r="S606" i="3"/>
  <c r="O606" i="3"/>
  <c r="U606" i="3"/>
  <c r="AM606" i="3"/>
  <c r="AK606" i="3"/>
  <c r="AF606" i="3"/>
  <c r="AE606" i="3"/>
  <c r="AD606" i="3"/>
  <c r="M606" i="3"/>
  <c r="V606" i="3"/>
  <c r="R606" i="3"/>
  <c r="P606" i="3"/>
  <c r="T606" i="3"/>
  <c r="AN605" i="3"/>
  <c r="AW604" i="3"/>
  <c r="AY604" i="3" s="1"/>
  <c r="BB602" i="3"/>
  <c r="BQ602" i="3"/>
  <c r="BF602" i="3"/>
  <c r="BJ601" i="3" s="1"/>
  <c r="BK601" i="3" s="1"/>
  <c r="BG602" i="3"/>
  <c r="BH602" i="3" s="1"/>
  <c r="BI602" i="3" s="1"/>
  <c r="BD602" i="3"/>
  <c r="BC603" i="3"/>
  <c r="AU604" i="3"/>
  <c r="X605" i="3"/>
  <c r="AT604" i="3"/>
  <c r="Y605" i="3"/>
  <c r="Z605" i="3" s="1"/>
  <c r="AO606" i="3" l="1"/>
  <c r="AH606" i="3"/>
  <c r="AX605" i="3"/>
  <c r="AT605" i="3"/>
  <c r="AV605" i="3" s="1"/>
  <c r="Y606" i="3"/>
  <c r="Z606" i="3" s="1"/>
  <c r="B607" i="3"/>
  <c r="D607" i="3"/>
  <c r="A608" i="3"/>
  <c r="AQ607" i="3"/>
  <c r="C607" i="3"/>
  <c r="AR607" i="3"/>
  <c r="F607" i="3"/>
  <c r="G607" i="3"/>
  <c r="H607" i="3" s="1"/>
  <c r="Q607" i="3"/>
  <c r="S607" i="3"/>
  <c r="O607" i="3"/>
  <c r="U607" i="3"/>
  <c r="AE607" i="3"/>
  <c r="AF607" i="3"/>
  <c r="AK607" i="3"/>
  <c r="AM607" i="3"/>
  <c r="AD607" i="3"/>
  <c r="M607" i="3"/>
  <c r="V607" i="3"/>
  <c r="P607" i="3"/>
  <c r="R607" i="3"/>
  <c r="T607" i="3"/>
  <c r="BD603" i="3"/>
  <c r="BG603" i="3"/>
  <c r="BH603" i="3" s="1"/>
  <c r="BI603" i="3" s="1"/>
  <c r="BA604" i="3"/>
  <c r="AV604" i="3"/>
  <c r="BC604" i="3" s="1"/>
  <c r="X606" i="3"/>
  <c r="AG606" i="3"/>
  <c r="BJ602" i="3"/>
  <c r="BK602" i="3" s="1"/>
  <c r="AW605" i="3"/>
  <c r="AY605" i="3" s="1"/>
  <c r="AN606" i="3"/>
  <c r="AW606" i="3" l="1"/>
  <c r="AX606" i="3"/>
  <c r="AO607" i="3"/>
  <c r="AY606" i="3"/>
  <c r="BM607" i="3"/>
  <c r="AG607" i="3"/>
  <c r="BD604" i="3"/>
  <c r="BG604" i="3"/>
  <c r="BH604" i="3" s="1"/>
  <c r="BI604" i="3" s="1"/>
  <c r="AT606" i="3"/>
  <c r="Y607" i="3"/>
  <c r="Z607" i="3" s="1"/>
  <c r="C608" i="3"/>
  <c r="A609" i="3"/>
  <c r="AR608" i="3"/>
  <c r="B608" i="3"/>
  <c r="AQ608" i="3"/>
  <c r="D608" i="3"/>
  <c r="F608" i="3"/>
  <c r="G608" i="3"/>
  <c r="H608" i="3" s="1"/>
  <c r="S608" i="3"/>
  <c r="Q608" i="3"/>
  <c r="O608" i="3"/>
  <c r="U608" i="3"/>
  <c r="AM608" i="3"/>
  <c r="M608" i="3"/>
  <c r="AF608" i="3"/>
  <c r="AK608" i="3"/>
  <c r="AE608" i="3"/>
  <c r="AD608" i="3"/>
  <c r="V608" i="3"/>
  <c r="P608" i="3"/>
  <c r="T608" i="3"/>
  <c r="R608" i="3"/>
  <c r="BA605" i="3"/>
  <c r="BC605" i="3"/>
  <c r="BF604" i="3"/>
  <c r="BJ603" i="3" s="1"/>
  <c r="BK603" i="3" s="1"/>
  <c r="BB604" i="3"/>
  <c r="BQ604" i="3"/>
  <c r="AH607" i="3"/>
  <c r="X607" i="3"/>
  <c r="AU606" i="3"/>
  <c r="AN607" i="3"/>
  <c r="BN607" i="3"/>
  <c r="AX607" i="3" l="1"/>
  <c r="X608" i="3"/>
  <c r="AO608" i="3"/>
  <c r="AT607" i="3"/>
  <c r="AN608" i="3"/>
  <c r="AG608" i="3"/>
  <c r="AW607" i="3"/>
  <c r="AY607" i="3" s="1"/>
  <c r="AQ609" i="3"/>
  <c r="B609" i="3"/>
  <c r="C609" i="3"/>
  <c r="D609" i="3"/>
  <c r="AR609" i="3"/>
  <c r="A610" i="3"/>
  <c r="F609" i="3"/>
  <c r="BM609" i="3" s="1"/>
  <c r="G609" i="3"/>
  <c r="H609" i="3" s="1"/>
  <c r="BN609" i="3" s="1"/>
  <c r="Q609" i="3"/>
  <c r="S609" i="3"/>
  <c r="O609" i="3"/>
  <c r="U609" i="3"/>
  <c r="AM609" i="3"/>
  <c r="M609" i="3"/>
  <c r="AK609" i="3"/>
  <c r="AO609" i="3" s="1"/>
  <c r="AF609" i="3"/>
  <c r="AE609" i="3"/>
  <c r="AD609" i="3"/>
  <c r="T609" i="3"/>
  <c r="V609" i="3"/>
  <c r="R609" i="3"/>
  <c r="P609" i="3"/>
  <c r="BN608" i="3"/>
  <c r="Y608" i="3"/>
  <c r="Z608" i="3" s="1"/>
  <c r="AU607" i="3"/>
  <c r="BD605" i="3"/>
  <c r="BG605" i="3"/>
  <c r="BH605" i="3" s="1"/>
  <c r="BI605" i="3" s="1"/>
  <c r="BQ605" i="3"/>
  <c r="BF605" i="3"/>
  <c r="BJ604" i="3" s="1"/>
  <c r="BK604" i="3" s="1"/>
  <c r="BB605" i="3"/>
  <c r="AH608" i="3"/>
  <c r="AX608" i="3" s="1"/>
  <c r="BM608" i="3"/>
  <c r="AV606" i="3"/>
  <c r="BC606" i="3" s="1"/>
  <c r="BA606" i="3"/>
  <c r="AT608" i="3" l="1"/>
  <c r="BD606" i="3"/>
  <c r="BG606" i="3"/>
  <c r="BH606" i="3" s="1"/>
  <c r="BI606" i="3" s="1"/>
  <c r="AG609" i="3"/>
  <c r="AW608" i="3"/>
  <c r="AN609" i="3"/>
  <c r="AU608" i="3"/>
  <c r="AV608" i="3" s="1"/>
  <c r="X609" i="3"/>
  <c r="AV607" i="3"/>
  <c r="BC607" i="3" s="1"/>
  <c r="BA607" i="3"/>
  <c r="AQ610" i="3"/>
  <c r="C610" i="3"/>
  <c r="AR610" i="3"/>
  <c r="B610" i="3"/>
  <c r="A611" i="3"/>
  <c r="D610" i="3"/>
  <c r="F610" i="3"/>
  <c r="G610" i="3"/>
  <c r="H610" i="3" s="1"/>
  <c r="Q610" i="3"/>
  <c r="S610" i="3"/>
  <c r="O610" i="3"/>
  <c r="U610" i="3"/>
  <c r="AM610" i="3"/>
  <c r="M610" i="3"/>
  <c r="AE610" i="3"/>
  <c r="AK610" i="3"/>
  <c r="AD610" i="3"/>
  <c r="AF610" i="3"/>
  <c r="R610" i="3"/>
  <c r="T610" i="3"/>
  <c r="V610" i="3"/>
  <c r="P610" i="3"/>
  <c r="Y609" i="3"/>
  <c r="Z609" i="3" s="1"/>
  <c r="BQ606" i="3"/>
  <c r="BB606" i="3"/>
  <c r="BF606" i="3"/>
  <c r="BJ605" i="3" s="1"/>
  <c r="BK605" i="3" s="1"/>
  <c r="AH609" i="3"/>
  <c r="AU609" i="3" l="1"/>
  <c r="BN610" i="3"/>
  <c r="BM610" i="3"/>
  <c r="BA608" i="3"/>
  <c r="BB608" i="3" s="1"/>
  <c r="AO610" i="3"/>
  <c r="AT609" i="3"/>
  <c r="AV609" i="3" s="1"/>
  <c r="AY608" i="3"/>
  <c r="BC608" i="3"/>
  <c r="BD608" i="3" s="1"/>
  <c r="AH610" i="3"/>
  <c r="AX609" i="3"/>
  <c r="BB607" i="3"/>
  <c r="BQ607" i="3"/>
  <c r="BF607" i="3"/>
  <c r="BJ606" i="3" s="1"/>
  <c r="BK606" i="3" s="1"/>
  <c r="AN610" i="3"/>
  <c r="B611" i="3"/>
  <c r="A612" i="3"/>
  <c r="AR611" i="3"/>
  <c r="AQ611" i="3"/>
  <c r="C611" i="3"/>
  <c r="D611" i="3"/>
  <c r="F611" i="3"/>
  <c r="BM611" i="3" s="1"/>
  <c r="G611" i="3"/>
  <c r="H611" i="3" s="1"/>
  <c r="BN611" i="3" s="1"/>
  <c r="S611" i="3"/>
  <c r="Q611" i="3"/>
  <c r="O611" i="3"/>
  <c r="U611" i="3"/>
  <c r="M611" i="3"/>
  <c r="AD611" i="3"/>
  <c r="AE611" i="3"/>
  <c r="AK611" i="3"/>
  <c r="AM611" i="3"/>
  <c r="AF611" i="3"/>
  <c r="V611" i="3"/>
  <c r="R611" i="3"/>
  <c r="T611" i="3"/>
  <c r="P611" i="3"/>
  <c r="AW609" i="3"/>
  <c r="AG610" i="3"/>
  <c r="Y610" i="3"/>
  <c r="Z610" i="3" s="1"/>
  <c r="X610" i="3"/>
  <c r="BD607" i="3"/>
  <c r="BG607" i="3"/>
  <c r="BH607" i="3" s="1"/>
  <c r="BI607" i="3" s="1"/>
  <c r="BQ608" i="3" l="1"/>
  <c r="BF608" i="3"/>
  <c r="BJ607" i="3" s="1"/>
  <c r="BK607" i="3" s="1"/>
  <c r="BG608" i="3"/>
  <c r="BH608" i="3" s="1"/>
  <c r="BI608" i="3" s="1"/>
  <c r="AO611" i="3"/>
  <c r="BA609" i="3"/>
  <c r="BF609" i="3" s="1"/>
  <c r="BJ608" i="3" s="1"/>
  <c r="BK608" i="3" s="1"/>
  <c r="AG611" i="3"/>
  <c r="AW610" i="3"/>
  <c r="AX610" i="3"/>
  <c r="AN611" i="3"/>
  <c r="AY609" i="3"/>
  <c r="BC609" i="3" s="1"/>
  <c r="AU610" i="3"/>
  <c r="AH611" i="3"/>
  <c r="AT610" i="3"/>
  <c r="X611" i="3"/>
  <c r="Y611" i="3"/>
  <c r="Z611" i="3" s="1"/>
  <c r="D612" i="3"/>
  <c r="B612" i="3"/>
  <c r="AQ612" i="3"/>
  <c r="C612" i="3"/>
  <c r="A613" i="3"/>
  <c r="AR612" i="3"/>
  <c r="F612" i="3"/>
  <c r="BM612" i="3" s="1"/>
  <c r="G612" i="3"/>
  <c r="H612" i="3" s="1"/>
  <c r="S612" i="3"/>
  <c r="Q612" i="3"/>
  <c r="O612" i="3"/>
  <c r="U612" i="3"/>
  <c r="AK612" i="3"/>
  <c r="AD612" i="3"/>
  <c r="AM612" i="3"/>
  <c r="AF612" i="3"/>
  <c r="M612" i="3"/>
  <c r="AE612" i="3"/>
  <c r="V612" i="3"/>
  <c r="P612" i="3"/>
  <c r="T612" i="3"/>
  <c r="R612" i="3"/>
  <c r="BQ609" i="3" l="1"/>
  <c r="BB609" i="3"/>
  <c r="AW611" i="3"/>
  <c r="AY610" i="3"/>
  <c r="AT611" i="3"/>
  <c r="AU611" i="3"/>
  <c r="AV611" i="3" s="1"/>
  <c r="AN612" i="3"/>
  <c r="AH612" i="3"/>
  <c r="X612" i="3"/>
  <c r="BD609" i="3"/>
  <c r="BG609" i="3"/>
  <c r="BH609" i="3" s="1"/>
  <c r="BI609" i="3" s="1"/>
  <c r="D613" i="3"/>
  <c r="AR613" i="3"/>
  <c r="A614" i="3"/>
  <c r="AQ613" i="3"/>
  <c r="C613" i="3"/>
  <c r="B613" i="3"/>
  <c r="G613" i="3"/>
  <c r="H613" i="3" s="1"/>
  <c r="F613" i="3"/>
  <c r="S613" i="3"/>
  <c r="Q613" i="3"/>
  <c r="O613" i="3"/>
  <c r="U613" i="3"/>
  <c r="AK613" i="3"/>
  <c r="AM613" i="3"/>
  <c r="AF613" i="3"/>
  <c r="AD613" i="3"/>
  <c r="M613" i="3"/>
  <c r="AE613" i="3"/>
  <c r="V613" i="3"/>
  <c r="P613" i="3"/>
  <c r="R613" i="3"/>
  <c r="T613" i="3"/>
  <c r="BN612" i="3"/>
  <c r="BA610" i="3"/>
  <c r="AV610" i="3"/>
  <c r="BC610" i="3" s="1"/>
  <c r="AO612" i="3"/>
  <c r="Y612" i="3"/>
  <c r="Z612" i="3" s="1"/>
  <c r="AG612" i="3"/>
  <c r="AX611" i="3"/>
  <c r="AY611" i="3" s="1"/>
  <c r="BN613" i="3" l="1"/>
  <c r="AN613" i="3"/>
  <c r="AU612" i="3"/>
  <c r="AW612" i="3"/>
  <c r="AQ614" i="3"/>
  <c r="AR614" i="3"/>
  <c r="B614" i="3"/>
  <c r="A615" i="3"/>
  <c r="C614" i="3"/>
  <c r="D614" i="3"/>
  <c r="F614" i="3"/>
  <c r="G614" i="3"/>
  <c r="H614" i="3" s="1"/>
  <c r="Q614" i="3"/>
  <c r="S614" i="3"/>
  <c r="O614" i="3"/>
  <c r="U614" i="3"/>
  <c r="M614" i="3"/>
  <c r="AF614" i="3"/>
  <c r="AK614" i="3"/>
  <c r="AM614" i="3"/>
  <c r="AD614" i="3"/>
  <c r="AE614" i="3"/>
  <c r="V614" i="3"/>
  <c r="P614" i="3"/>
  <c r="R614" i="3"/>
  <c r="T614" i="3"/>
  <c r="BA611" i="3"/>
  <c r="X613" i="3"/>
  <c r="Y613" i="3"/>
  <c r="Z613" i="3" s="1"/>
  <c r="BD610" i="3"/>
  <c r="BG610" i="3"/>
  <c r="BH610" i="3" s="1"/>
  <c r="BI610" i="3" s="1"/>
  <c r="BQ610" i="3"/>
  <c r="BF610" i="3"/>
  <c r="BJ609" i="3" s="1"/>
  <c r="BK609" i="3" s="1"/>
  <c r="BB610" i="3"/>
  <c r="AX612" i="3"/>
  <c r="AO613" i="3"/>
  <c r="BC611" i="3"/>
  <c r="AG613" i="3"/>
  <c r="AH613" i="3"/>
  <c r="BM613" i="3"/>
  <c r="AT612" i="3"/>
  <c r="AY612" i="3" l="1"/>
  <c r="AO614" i="3"/>
  <c r="AX613" i="3"/>
  <c r="BB611" i="3"/>
  <c r="BQ611" i="3"/>
  <c r="BF611" i="3"/>
  <c r="BJ610" i="3" s="1"/>
  <c r="BK610" i="3" s="1"/>
  <c r="BM614" i="3"/>
  <c r="B615" i="3"/>
  <c r="AR615" i="3"/>
  <c r="D615" i="3"/>
  <c r="C615" i="3"/>
  <c r="AQ615" i="3"/>
  <c r="A616" i="3"/>
  <c r="F615" i="3"/>
  <c r="G615" i="3"/>
  <c r="H615" i="3" s="1"/>
  <c r="S615" i="3"/>
  <c r="Q615" i="3"/>
  <c r="O615" i="3"/>
  <c r="U615" i="3"/>
  <c r="AF615" i="3"/>
  <c r="AE615" i="3"/>
  <c r="AK615" i="3"/>
  <c r="AM615" i="3"/>
  <c r="AN615" i="3" s="1"/>
  <c r="M615" i="3"/>
  <c r="AD615" i="3"/>
  <c r="P615" i="3"/>
  <c r="V615" i="3"/>
  <c r="R615" i="3"/>
  <c r="T615" i="3"/>
  <c r="BD611" i="3"/>
  <c r="BG611" i="3"/>
  <c r="BH611" i="3" s="1"/>
  <c r="BI611" i="3" s="1"/>
  <c r="AG614" i="3"/>
  <c r="AU613" i="3"/>
  <c r="X614" i="3"/>
  <c r="Y614" i="3"/>
  <c r="Z614" i="3" s="1"/>
  <c r="AH614" i="3"/>
  <c r="AW613" i="3"/>
  <c r="AY613" i="3" s="1"/>
  <c r="AT613" i="3"/>
  <c r="BA612" i="3"/>
  <c r="AV612" i="3"/>
  <c r="BC612" i="3" s="1"/>
  <c r="AN614" i="3"/>
  <c r="BN614" i="3"/>
  <c r="AH615" i="3" l="1"/>
  <c r="AW614" i="3"/>
  <c r="Y615" i="3"/>
  <c r="Z615" i="3" s="1"/>
  <c r="BD612" i="3"/>
  <c r="BG612" i="3"/>
  <c r="BH612" i="3" s="1"/>
  <c r="BI612" i="3" s="1"/>
  <c r="AV613" i="3"/>
  <c r="BC613" i="3" s="1"/>
  <c r="BA613" i="3"/>
  <c r="X615" i="3"/>
  <c r="BN615" i="3"/>
  <c r="AX614" i="3"/>
  <c r="AY614" i="3" s="1"/>
  <c r="AO615" i="3"/>
  <c r="AG615" i="3"/>
  <c r="AX615" i="3" s="1"/>
  <c r="D616" i="3"/>
  <c r="A617" i="3"/>
  <c r="AR616" i="3"/>
  <c r="B616" i="3"/>
  <c r="C616" i="3"/>
  <c r="AQ616" i="3"/>
  <c r="G616" i="3"/>
  <c r="H616" i="3" s="1"/>
  <c r="F616" i="3"/>
  <c r="BM616" i="3" s="1"/>
  <c r="Q616" i="3"/>
  <c r="S616" i="3"/>
  <c r="O616" i="3"/>
  <c r="U616" i="3"/>
  <c r="AK616" i="3"/>
  <c r="AF616" i="3"/>
  <c r="AM616" i="3"/>
  <c r="AN616" i="3" s="1"/>
  <c r="M616" i="3"/>
  <c r="AE616" i="3"/>
  <c r="AD616" i="3"/>
  <c r="V616" i="3"/>
  <c r="P616" i="3"/>
  <c r="T616" i="3"/>
  <c r="R616" i="3"/>
  <c r="BQ612" i="3"/>
  <c r="BB612" i="3"/>
  <c r="BF612" i="3"/>
  <c r="BJ611" i="3" s="1"/>
  <c r="BK611" i="3" s="1"/>
  <c r="AT614" i="3"/>
  <c r="AU614" i="3"/>
  <c r="BM615" i="3"/>
  <c r="BN616" i="3" l="1"/>
  <c r="AH616" i="3"/>
  <c r="X616" i="3"/>
  <c r="AW615" i="3"/>
  <c r="AY615" i="3" s="1"/>
  <c r="Y616" i="3"/>
  <c r="Z616" i="3" s="1"/>
  <c r="AR617" i="3"/>
  <c r="A618" i="3"/>
  <c r="AQ617" i="3"/>
  <c r="B617" i="3"/>
  <c r="C617" i="3"/>
  <c r="D617" i="3"/>
  <c r="F617" i="3"/>
  <c r="G617" i="3"/>
  <c r="H617" i="3" s="1"/>
  <c r="S617" i="3"/>
  <c r="Q617" i="3"/>
  <c r="O617" i="3"/>
  <c r="U617" i="3"/>
  <c r="M617" i="3"/>
  <c r="AM617" i="3"/>
  <c r="AE617" i="3"/>
  <c r="AF617" i="3"/>
  <c r="AK617" i="3"/>
  <c r="AD617" i="3"/>
  <c r="T617" i="3"/>
  <c r="V617" i="3"/>
  <c r="P617" i="3"/>
  <c r="R617" i="3"/>
  <c r="AG616" i="3"/>
  <c r="AT616" i="3" s="1"/>
  <c r="BQ613" i="3"/>
  <c r="BB613" i="3"/>
  <c r="BF613" i="3"/>
  <c r="BJ612" i="3" s="1"/>
  <c r="BK612" i="3" s="1"/>
  <c r="AV614" i="3"/>
  <c r="BC614" i="3" s="1"/>
  <c r="BA614" i="3"/>
  <c r="BD613" i="3"/>
  <c r="BG613" i="3"/>
  <c r="BH613" i="3" s="1"/>
  <c r="BI613" i="3" s="1"/>
  <c r="AU615" i="3"/>
  <c r="AO616" i="3"/>
  <c r="AX616" i="3" s="1"/>
  <c r="AT615" i="3"/>
  <c r="AN617" i="3" l="1"/>
  <c r="BD614" i="3"/>
  <c r="BG614" i="3"/>
  <c r="BH614" i="3" s="1"/>
  <c r="BI614" i="3" s="1"/>
  <c r="Y617" i="3"/>
  <c r="Z617" i="3" s="1"/>
  <c r="BF614" i="3"/>
  <c r="BJ613" i="3" s="1"/>
  <c r="BK613" i="3" s="1"/>
  <c r="BB614" i="3"/>
  <c r="BQ614" i="3"/>
  <c r="AW616" i="3"/>
  <c r="AY616" i="3" s="1"/>
  <c r="AG617" i="3"/>
  <c r="BM617" i="3"/>
  <c r="X617" i="3"/>
  <c r="AQ618" i="3"/>
  <c r="A619" i="3"/>
  <c r="C618" i="3"/>
  <c r="D618" i="3"/>
  <c r="AR618" i="3"/>
  <c r="B618" i="3"/>
  <c r="G618" i="3"/>
  <c r="H618" i="3" s="1"/>
  <c r="F618" i="3"/>
  <c r="Q618" i="3"/>
  <c r="S618" i="3"/>
  <c r="O618" i="3"/>
  <c r="U618" i="3"/>
  <c r="AM618" i="3"/>
  <c r="AK618" i="3"/>
  <c r="AD618" i="3"/>
  <c r="M618" i="3"/>
  <c r="AE618" i="3"/>
  <c r="AF618" i="3"/>
  <c r="P618" i="3"/>
  <c r="V618" i="3"/>
  <c r="R618" i="3"/>
  <c r="T618" i="3"/>
  <c r="BA615" i="3"/>
  <c r="AV615" i="3"/>
  <c r="BC615" i="3" s="1"/>
  <c r="AO617" i="3"/>
  <c r="AU616" i="3"/>
  <c r="AH617" i="3"/>
  <c r="AT617" i="3" s="1"/>
  <c r="BN617" i="3"/>
  <c r="BM618" i="3" l="1"/>
  <c r="BN618" i="3"/>
  <c r="BA616" i="3"/>
  <c r="AO618" i="3"/>
  <c r="AV616" i="3"/>
  <c r="BC616" i="3" s="1"/>
  <c r="AH618" i="3"/>
  <c r="AG618" i="3"/>
  <c r="B619" i="3"/>
  <c r="A620" i="3"/>
  <c r="AQ619" i="3"/>
  <c r="AR619" i="3"/>
  <c r="C619" i="3"/>
  <c r="D619" i="3"/>
  <c r="F619" i="3"/>
  <c r="BM619" i="3" s="1"/>
  <c r="G619" i="3"/>
  <c r="H619" i="3" s="1"/>
  <c r="Q619" i="3"/>
  <c r="S619" i="3"/>
  <c r="O619" i="3"/>
  <c r="U619" i="3"/>
  <c r="AE619" i="3"/>
  <c r="AF619" i="3"/>
  <c r="AD619" i="3"/>
  <c r="AK619" i="3"/>
  <c r="AM619" i="3"/>
  <c r="M619" i="3"/>
  <c r="R619" i="3"/>
  <c r="V619" i="3"/>
  <c r="T619" i="3"/>
  <c r="P619" i="3"/>
  <c r="BD615" i="3"/>
  <c r="BG615" i="3"/>
  <c r="BH615" i="3" s="1"/>
  <c r="BI615" i="3" s="1"/>
  <c r="BB615" i="3"/>
  <c r="BF615" i="3"/>
  <c r="BJ614" i="3" s="1"/>
  <c r="BK614" i="3" s="1"/>
  <c r="BQ615" i="3"/>
  <c r="AN618" i="3"/>
  <c r="BQ616" i="3"/>
  <c r="BF616" i="3"/>
  <c r="BB616" i="3"/>
  <c r="AW617" i="3"/>
  <c r="Y618" i="3"/>
  <c r="Z618" i="3" s="1"/>
  <c r="X618" i="3"/>
  <c r="AX617" i="3"/>
  <c r="AU617" i="3"/>
  <c r="AV617" i="3" s="1"/>
  <c r="AN619" i="3" l="1"/>
  <c r="AT618" i="3"/>
  <c r="BN619" i="3"/>
  <c r="AU618" i="3"/>
  <c r="AV618" i="3" s="1"/>
  <c r="AH619" i="3"/>
  <c r="D620" i="3"/>
  <c r="A621" i="3"/>
  <c r="AR620" i="3"/>
  <c r="B620" i="3"/>
  <c r="AQ620" i="3"/>
  <c r="C620" i="3"/>
  <c r="F620" i="3"/>
  <c r="BM620" i="3" s="1"/>
  <c r="G620" i="3"/>
  <c r="H620" i="3" s="1"/>
  <c r="S620" i="3"/>
  <c r="Q620" i="3"/>
  <c r="O620" i="3"/>
  <c r="U620" i="3"/>
  <c r="AE620" i="3"/>
  <c r="AM620" i="3"/>
  <c r="AF620" i="3"/>
  <c r="AK620" i="3"/>
  <c r="M620" i="3"/>
  <c r="AD620" i="3"/>
  <c r="P620" i="3"/>
  <c r="V620" i="3"/>
  <c r="T620" i="3"/>
  <c r="R620" i="3"/>
  <c r="Y619" i="3"/>
  <c r="Z619" i="3" s="1"/>
  <c r="X619" i="3"/>
  <c r="AY617" i="3"/>
  <c r="BC617" i="3" s="1"/>
  <c r="BA617" i="3"/>
  <c r="BJ615" i="3"/>
  <c r="BK615" i="3" s="1"/>
  <c r="AO619" i="3"/>
  <c r="BD616" i="3"/>
  <c r="BG616" i="3"/>
  <c r="BH616" i="3" s="1"/>
  <c r="BI616" i="3" s="1"/>
  <c r="AG619" i="3"/>
  <c r="AW618" i="3"/>
  <c r="AX618" i="3"/>
  <c r="AN620" i="3" l="1"/>
  <c r="BA618" i="3"/>
  <c r="AW619" i="3"/>
  <c r="BF618" i="3"/>
  <c r="BQ618" i="3"/>
  <c r="BB618" i="3"/>
  <c r="BD617" i="3"/>
  <c r="BG617" i="3"/>
  <c r="BH617" i="3" s="1"/>
  <c r="BI617" i="3" s="1"/>
  <c r="AG620" i="3"/>
  <c r="AH620" i="3"/>
  <c r="B621" i="3"/>
  <c r="C621" i="3"/>
  <c r="D621" i="3"/>
  <c r="AQ621" i="3"/>
  <c r="AR621" i="3"/>
  <c r="A622" i="3"/>
  <c r="G621" i="3"/>
  <c r="H621" i="3" s="1"/>
  <c r="F621" i="3"/>
  <c r="S621" i="3"/>
  <c r="Q621" i="3"/>
  <c r="O621" i="3"/>
  <c r="U621" i="3"/>
  <c r="AF621" i="3"/>
  <c r="AM621" i="3"/>
  <c r="AN621" i="3" s="1"/>
  <c r="M621" i="3"/>
  <c r="AK621" i="3"/>
  <c r="AD621" i="3"/>
  <c r="AE621" i="3"/>
  <c r="P621" i="3"/>
  <c r="V621" i="3"/>
  <c r="R621" i="3"/>
  <c r="T621" i="3"/>
  <c r="X620" i="3"/>
  <c r="AX619" i="3"/>
  <c r="BB617" i="3"/>
  <c r="BQ617" i="3"/>
  <c r="BF617" i="3"/>
  <c r="BJ616" i="3" s="1"/>
  <c r="BK616" i="3" s="1"/>
  <c r="AT619" i="3"/>
  <c r="Y620" i="3"/>
  <c r="Z620" i="3" s="1"/>
  <c r="AU619" i="3"/>
  <c r="AY618" i="3"/>
  <c r="BC618" i="3" s="1"/>
  <c r="AO620" i="3"/>
  <c r="BN620" i="3"/>
  <c r="BM621" i="3" l="1"/>
  <c r="BN621" i="3"/>
  <c r="AW620" i="3"/>
  <c r="AU620" i="3"/>
  <c r="AT620" i="3"/>
  <c r="AY619" i="3"/>
  <c r="AV620" i="3"/>
  <c r="AO621" i="3"/>
  <c r="AX620" i="3"/>
  <c r="X621" i="3"/>
  <c r="AQ622" i="3"/>
  <c r="AR622" i="3"/>
  <c r="B622" i="3"/>
  <c r="A623" i="3"/>
  <c r="D622" i="3"/>
  <c r="C622" i="3"/>
  <c r="F622" i="3"/>
  <c r="G622" i="3"/>
  <c r="H622" i="3" s="1"/>
  <c r="S622" i="3"/>
  <c r="Q622" i="3"/>
  <c r="O622" i="3"/>
  <c r="U622" i="3"/>
  <c r="AF622" i="3"/>
  <c r="AM622" i="3"/>
  <c r="AK622" i="3"/>
  <c r="M622" i="3"/>
  <c r="AE622" i="3"/>
  <c r="AD622" i="3"/>
  <c r="T622" i="3"/>
  <c r="R622" i="3"/>
  <c r="V622" i="3"/>
  <c r="P622" i="3"/>
  <c r="AH621" i="3"/>
  <c r="Y621" i="3"/>
  <c r="Z621" i="3" s="1"/>
  <c r="BD618" i="3"/>
  <c r="BG618" i="3"/>
  <c r="BH618" i="3" s="1"/>
  <c r="BI618" i="3" s="1"/>
  <c r="AV619" i="3"/>
  <c r="BA619" i="3"/>
  <c r="AG621" i="3"/>
  <c r="BJ617" i="3"/>
  <c r="BK617" i="3" s="1"/>
  <c r="BN622" i="3" l="1"/>
  <c r="AX621" i="3"/>
  <c r="AO622" i="3"/>
  <c r="BM622" i="3"/>
  <c r="AY620" i="3"/>
  <c r="BC620" i="3" s="1"/>
  <c r="BC619" i="3"/>
  <c r="BG619" i="3" s="1"/>
  <c r="BH619" i="3" s="1"/>
  <c r="BI619" i="3" s="1"/>
  <c r="AU621" i="3"/>
  <c r="AG622" i="3"/>
  <c r="AW621" i="3"/>
  <c r="AN622" i="3"/>
  <c r="AT621" i="3"/>
  <c r="Y622" i="3"/>
  <c r="Z622" i="3" s="1"/>
  <c r="BA620" i="3"/>
  <c r="BF619" i="3"/>
  <c r="BJ618" i="3" s="1"/>
  <c r="BK618" i="3" s="1"/>
  <c r="BB619" i="3"/>
  <c r="BQ619" i="3"/>
  <c r="X622" i="3"/>
  <c r="B623" i="3"/>
  <c r="A624" i="3"/>
  <c r="AQ623" i="3"/>
  <c r="AR623" i="3"/>
  <c r="C623" i="3"/>
  <c r="D623" i="3"/>
  <c r="F623" i="3"/>
  <c r="G623" i="3"/>
  <c r="H623" i="3" s="1"/>
  <c r="S623" i="3"/>
  <c r="Q623" i="3"/>
  <c r="O623" i="3"/>
  <c r="U623" i="3"/>
  <c r="AF623" i="3"/>
  <c r="AD623" i="3"/>
  <c r="M623" i="3"/>
  <c r="AM623" i="3"/>
  <c r="AK623" i="3"/>
  <c r="AE623" i="3"/>
  <c r="V623" i="3"/>
  <c r="P623" i="3"/>
  <c r="R623" i="3"/>
  <c r="T623" i="3"/>
  <c r="AH622" i="3"/>
  <c r="AX622" i="3" s="1"/>
  <c r="BN623" i="3" l="1"/>
  <c r="BD619" i="3"/>
  <c r="BM623" i="3"/>
  <c r="AY621" i="3"/>
  <c r="AT622" i="3"/>
  <c r="AN623" i="3"/>
  <c r="BD620" i="3"/>
  <c r="BG620" i="3"/>
  <c r="BH620" i="3" s="1"/>
  <c r="BI620" i="3" s="1"/>
  <c r="AO623" i="3"/>
  <c r="AU622" i="3"/>
  <c r="AH623" i="3"/>
  <c r="BA621" i="3"/>
  <c r="AV621" i="3"/>
  <c r="BC621" i="3" s="1"/>
  <c r="X623" i="3"/>
  <c r="AW622" i="3"/>
  <c r="AY622" i="3" s="1"/>
  <c r="BQ620" i="3"/>
  <c r="BF620" i="3"/>
  <c r="BJ619" i="3" s="1"/>
  <c r="BK619" i="3" s="1"/>
  <c r="BB620" i="3"/>
  <c r="Y623" i="3"/>
  <c r="Z623" i="3" s="1"/>
  <c r="AG623" i="3"/>
  <c r="C624" i="3"/>
  <c r="AQ624" i="3"/>
  <c r="D624" i="3"/>
  <c r="AR624" i="3"/>
  <c r="A625" i="3"/>
  <c r="B624" i="3"/>
  <c r="F624" i="3"/>
  <c r="G624" i="3"/>
  <c r="H624" i="3" s="1"/>
  <c r="S624" i="3"/>
  <c r="Q624" i="3"/>
  <c r="O624" i="3"/>
  <c r="U624" i="3"/>
  <c r="AM624" i="3"/>
  <c r="AK624" i="3"/>
  <c r="AE624" i="3"/>
  <c r="AF624" i="3"/>
  <c r="M624" i="3"/>
  <c r="AD624" i="3"/>
  <c r="V624" i="3"/>
  <c r="P624" i="3"/>
  <c r="R624" i="3"/>
  <c r="T624" i="3"/>
  <c r="BA622" i="3" l="1"/>
  <c r="AH624" i="3"/>
  <c r="AX623" i="3"/>
  <c r="AN624" i="3"/>
  <c r="X624" i="3"/>
  <c r="BQ622" i="3"/>
  <c r="BB622" i="3"/>
  <c r="BF622" i="3"/>
  <c r="A626" i="3"/>
  <c r="AR625" i="3"/>
  <c r="AQ625" i="3"/>
  <c r="B625" i="3"/>
  <c r="C625" i="3"/>
  <c r="D625" i="3"/>
  <c r="F625" i="3"/>
  <c r="G625" i="3"/>
  <c r="H625" i="3" s="1"/>
  <c r="Q625" i="3"/>
  <c r="S625" i="3"/>
  <c r="O625" i="3"/>
  <c r="U625" i="3"/>
  <c r="AF625" i="3"/>
  <c r="AE625" i="3"/>
  <c r="AM625" i="3"/>
  <c r="AK625" i="3"/>
  <c r="AO625" i="3" s="1"/>
  <c r="AD625" i="3"/>
  <c r="M625" i="3"/>
  <c r="V625" i="3"/>
  <c r="R625" i="3"/>
  <c r="T625" i="3"/>
  <c r="P625" i="3"/>
  <c r="BF621" i="3"/>
  <c r="BJ620" i="3" s="1"/>
  <c r="BK620" i="3" s="1"/>
  <c r="BB621" i="3"/>
  <c r="BQ621" i="3"/>
  <c r="AW623" i="3"/>
  <c r="BM624" i="3"/>
  <c r="AU623" i="3"/>
  <c r="AV622" i="3"/>
  <c r="BC622" i="3" s="1"/>
  <c r="Y624" i="3"/>
  <c r="Z624" i="3" s="1"/>
  <c r="AT623" i="3"/>
  <c r="BN624" i="3"/>
  <c r="AG624" i="3"/>
  <c r="AT624" i="3" s="1"/>
  <c r="AO624" i="3"/>
  <c r="BD621" i="3"/>
  <c r="BG621" i="3"/>
  <c r="BH621" i="3" s="1"/>
  <c r="BI621" i="3" s="1"/>
  <c r="BN625" i="3" l="1"/>
  <c r="BM625" i="3"/>
  <c r="AH625" i="3"/>
  <c r="AY623" i="3"/>
  <c r="AW624" i="3"/>
  <c r="AX624" i="3"/>
  <c r="Y625" i="3"/>
  <c r="Z625" i="3" s="1"/>
  <c r="AV623" i="3"/>
  <c r="BC623" i="3" s="1"/>
  <c r="BA623" i="3"/>
  <c r="X625" i="3"/>
  <c r="BD622" i="3"/>
  <c r="BG622" i="3"/>
  <c r="BH622" i="3" s="1"/>
  <c r="BI622" i="3" s="1"/>
  <c r="AG625" i="3"/>
  <c r="AU625" i="3" s="1"/>
  <c r="AU624" i="3"/>
  <c r="AQ626" i="3"/>
  <c r="AR626" i="3"/>
  <c r="B626" i="3"/>
  <c r="A627" i="3"/>
  <c r="D626" i="3"/>
  <c r="C626" i="3"/>
  <c r="G626" i="3"/>
  <c r="H626" i="3" s="1"/>
  <c r="BN626" i="3" s="1"/>
  <c r="F626" i="3"/>
  <c r="BM626" i="3" s="1"/>
  <c r="Q626" i="3"/>
  <c r="S626" i="3"/>
  <c r="O626" i="3"/>
  <c r="U626" i="3"/>
  <c r="AK626" i="3"/>
  <c r="AM626" i="3"/>
  <c r="AN626" i="3" s="1"/>
  <c r="M626" i="3"/>
  <c r="AE626" i="3"/>
  <c r="AF626" i="3"/>
  <c r="AD626" i="3"/>
  <c r="T626" i="3"/>
  <c r="V626" i="3"/>
  <c r="P626" i="3"/>
  <c r="R626" i="3"/>
  <c r="AN625" i="3"/>
  <c r="AX625" i="3" s="1"/>
  <c r="BJ621" i="3"/>
  <c r="BK621" i="3" s="1"/>
  <c r="AY624" i="3" l="1"/>
  <c r="BA624" i="3"/>
  <c r="AV624" i="3"/>
  <c r="BC624" i="3" s="1"/>
  <c r="BD624" i="3" s="1"/>
  <c r="BF624" i="3"/>
  <c r="BB624" i="3"/>
  <c r="BQ624" i="3"/>
  <c r="AU626" i="3"/>
  <c r="BG624" i="3"/>
  <c r="BH624" i="3" s="1"/>
  <c r="BI624" i="3" s="1"/>
  <c r="AW625" i="3"/>
  <c r="AY625" i="3" s="1"/>
  <c r="AH626" i="3"/>
  <c r="AG626" i="3"/>
  <c r="AO626" i="3"/>
  <c r="Y626" i="3"/>
  <c r="Z626" i="3" s="1"/>
  <c r="BB623" i="3"/>
  <c r="BF623" i="3"/>
  <c r="BJ622" i="3" s="1"/>
  <c r="BK622" i="3" s="1"/>
  <c r="BQ623" i="3"/>
  <c r="X626" i="3"/>
  <c r="B627" i="3"/>
  <c r="D627" i="3"/>
  <c r="C627" i="3"/>
  <c r="A628" i="3"/>
  <c r="AQ627" i="3"/>
  <c r="AR627" i="3"/>
  <c r="G627" i="3"/>
  <c r="H627" i="3" s="1"/>
  <c r="BN627" i="3" s="1"/>
  <c r="F627" i="3"/>
  <c r="Q627" i="3"/>
  <c r="S627" i="3"/>
  <c r="O627" i="3"/>
  <c r="U627" i="3"/>
  <c r="M627" i="3"/>
  <c r="AM627" i="3"/>
  <c r="AK627" i="3"/>
  <c r="AF627" i="3"/>
  <c r="AD627" i="3"/>
  <c r="AE627" i="3"/>
  <c r="V627" i="3"/>
  <c r="R627" i="3"/>
  <c r="T627" i="3"/>
  <c r="P627" i="3"/>
  <c r="AT625" i="3"/>
  <c r="BD623" i="3"/>
  <c r="BG623" i="3"/>
  <c r="BH623" i="3" s="1"/>
  <c r="BI623" i="3" s="1"/>
  <c r="AG627" i="3" l="1"/>
  <c r="AT626" i="3"/>
  <c r="AO627" i="3"/>
  <c r="AN627" i="3"/>
  <c r="AV626" i="3"/>
  <c r="Y627" i="3"/>
  <c r="Z627" i="3" s="1"/>
  <c r="AV625" i="3"/>
  <c r="BC625" i="3" s="1"/>
  <c r="BA625" i="3"/>
  <c r="D628" i="3"/>
  <c r="AR628" i="3"/>
  <c r="A629" i="3"/>
  <c r="B628" i="3"/>
  <c r="AQ628" i="3"/>
  <c r="C628" i="3"/>
  <c r="F628" i="3"/>
  <c r="BM628" i="3" s="1"/>
  <c r="G628" i="3"/>
  <c r="H628" i="3" s="1"/>
  <c r="BN628" i="3" s="1"/>
  <c r="S628" i="3"/>
  <c r="Q628" i="3"/>
  <c r="O628" i="3"/>
  <c r="U628" i="3"/>
  <c r="AF628" i="3"/>
  <c r="M628" i="3"/>
  <c r="AK628" i="3"/>
  <c r="AM628" i="3"/>
  <c r="AD628" i="3"/>
  <c r="AE628" i="3"/>
  <c r="P628" i="3"/>
  <c r="V628" i="3"/>
  <c r="T628" i="3"/>
  <c r="R628" i="3"/>
  <c r="AW626" i="3"/>
  <c r="BA626" i="3" s="1"/>
  <c r="X627" i="3"/>
  <c r="AH627" i="3"/>
  <c r="BM627" i="3"/>
  <c r="AX626" i="3"/>
  <c r="BJ623" i="3"/>
  <c r="BK623" i="3" s="1"/>
  <c r="AW627" i="3" l="1"/>
  <c r="AX627" i="3"/>
  <c r="AT627" i="3"/>
  <c r="AN628" i="3"/>
  <c r="AU627" i="3"/>
  <c r="BF626" i="3"/>
  <c r="BQ626" i="3"/>
  <c r="BB626" i="3"/>
  <c r="AG628" i="3"/>
  <c r="AO628" i="3"/>
  <c r="AH628" i="3"/>
  <c r="AY626" i="3"/>
  <c r="BC626" i="3" s="1"/>
  <c r="Y628" i="3"/>
  <c r="Z628" i="3" s="1"/>
  <c r="X628" i="3"/>
  <c r="AV627" i="3"/>
  <c r="BC627" i="3" s="1"/>
  <c r="BA627" i="3"/>
  <c r="BQ625" i="3"/>
  <c r="BB625" i="3"/>
  <c r="BF625" i="3"/>
  <c r="BJ624" i="3" s="1"/>
  <c r="BK624" i="3" s="1"/>
  <c r="BD625" i="3"/>
  <c r="BG625" i="3"/>
  <c r="BH625" i="3" s="1"/>
  <c r="BI625" i="3" s="1"/>
  <c r="AY627" i="3"/>
  <c r="A630" i="3"/>
  <c r="AQ629" i="3"/>
  <c r="B629" i="3"/>
  <c r="D629" i="3"/>
  <c r="AR629" i="3"/>
  <c r="C629" i="3"/>
  <c r="G629" i="3"/>
  <c r="H629" i="3" s="1"/>
  <c r="F629" i="3"/>
  <c r="BM629" i="3" s="1"/>
  <c r="S629" i="3"/>
  <c r="Q629" i="3"/>
  <c r="O629" i="3"/>
  <c r="U629" i="3"/>
  <c r="AM629" i="3"/>
  <c r="AK629" i="3"/>
  <c r="AE629" i="3"/>
  <c r="M629" i="3"/>
  <c r="AF629" i="3"/>
  <c r="AD629" i="3"/>
  <c r="V629" i="3"/>
  <c r="R629" i="3"/>
  <c r="T629" i="3"/>
  <c r="P629" i="3"/>
  <c r="AX628" i="3" l="1"/>
  <c r="X629" i="3"/>
  <c r="AN629" i="3"/>
  <c r="AH629" i="3"/>
  <c r="BD626" i="3"/>
  <c r="BG626" i="3"/>
  <c r="BH626" i="3" s="1"/>
  <c r="BI626" i="3" s="1"/>
  <c r="Y629" i="3"/>
  <c r="Z629" i="3" s="1"/>
  <c r="BB627" i="3"/>
  <c r="BF627" i="3"/>
  <c r="BJ626" i="3" s="1"/>
  <c r="BQ627" i="3"/>
  <c r="AQ630" i="3"/>
  <c r="C630" i="3"/>
  <c r="D630" i="3"/>
  <c r="AR630" i="3"/>
  <c r="B630" i="3"/>
  <c r="A631" i="3"/>
  <c r="G630" i="3"/>
  <c r="H630" i="3" s="1"/>
  <c r="F630" i="3"/>
  <c r="S630" i="3"/>
  <c r="Q630" i="3"/>
  <c r="O630" i="3"/>
  <c r="U630" i="3"/>
  <c r="AM630" i="3"/>
  <c r="AD630" i="3"/>
  <c r="M630" i="3"/>
  <c r="AK630" i="3"/>
  <c r="AE630" i="3"/>
  <c r="AF630" i="3"/>
  <c r="V630" i="3"/>
  <c r="T630" i="3"/>
  <c r="R630" i="3"/>
  <c r="P630" i="3"/>
  <c r="AT628" i="3"/>
  <c r="AW628" i="3"/>
  <c r="AY628" i="3" s="1"/>
  <c r="BN629" i="3"/>
  <c r="BD627" i="3"/>
  <c r="BG627" i="3"/>
  <c r="BH627" i="3" s="1"/>
  <c r="BI627" i="3" s="1"/>
  <c r="AG629" i="3"/>
  <c r="AT629" i="3" s="1"/>
  <c r="AO629" i="3"/>
  <c r="AU628" i="3"/>
  <c r="BJ625" i="3"/>
  <c r="BK625" i="3" s="1"/>
  <c r="BM630" i="3" l="1"/>
  <c r="AU629" i="3"/>
  <c r="BN630" i="3"/>
  <c r="AO630" i="3"/>
  <c r="AG630" i="3"/>
  <c r="AV629" i="3"/>
  <c r="B631" i="3"/>
  <c r="AQ631" i="3"/>
  <c r="A632" i="3"/>
  <c r="AR631" i="3"/>
  <c r="C631" i="3"/>
  <c r="D631" i="3"/>
  <c r="G631" i="3"/>
  <c r="H631" i="3" s="1"/>
  <c r="BN631" i="3" s="1"/>
  <c r="F631" i="3"/>
  <c r="BM631" i="3" s="1"/>
  <c r="Q631" i="3"/>
  <c r="S631" i="3"/>
  <c r="O631" i="3"/>
  <c r="U631" i="3"/>
  <c r="AD631" i="3"/>
  <c r="AM631" i="3"/>
  <c r="AK631" i="3"/>
  <c r="AF631" i="3"/>
  <c r="AE631" i="3"/>
  <c r="M631" i="3"/>
  <c r="V631" i="3"/>
  <c r="T631" i="3"/>
  <c r="P631" i="3"/>
  <c r="R631" i="3"/>
  <c r="AH630" i="3"/>
  <c r="AU630" i="3" s="1"/>
  <c r="AN630" i="3"/>
  <c r="AV628" i="3"/>
  <c r="BC628" i="3" s="1"/>
  <c r="BA628" i="3"/>
  <c r="BK626" i="3"/>
  <c r="BK5" i="3"/>
  <c r="AW629" i="3"/>
  <c r="AX629" i="3"/>
  <c r="X630" i="3"/>
  <c r="Y630" i="3"/>
  <c r="Z630" i="3" s="1"/>
  <c r="AH631" i="3" l="1"/>
  <c r="X631" i="3"/>
  <c r="AO631" i="3"/>
  <c r="AT630" i="3"/>
  <c r="AV630" i="3" s="1"/>
  <c r="C260" i="2"/>
  <c r="B260" i="2"/>
  <c r="A691" i="3"/>
  <c r="B691" i="3" s="1"/>
  <c r="A690" i="3"/>
  <c r="B690" i="3" s="1"/>
  <c r="A260" i="2"/>
  <c r="A688" i="3"/>
  <c r="A692" i="3"/>
  <c r="B692" i="3" s="1"/>
  <c r="C632" i="3"/>
  <c r="AR632" i="3"/>
  <c r="B632" i="3"/>
  <c r="AQ632" i="3"/>
  <c r="D632" i="3"/>
  <c r="A633" i="3"/>
  <c r="G632" i="3"/>
  <c r="H632" i="3" s="1"/>
  <c r="F632" i="3"/>
  <c r="S632" i="3"/>
  <c r="Q632" i="3"/>
  <c r="O632" i="3"/>
  <c r="U632" i="3"/>
  <c r="M632" i="3"/>
  <c r="AM632" i="3"/>
  <c r="AK632" i="3"/>
  <c r="AE632" i="3"/>
  <c r="AF632" i="3"/>
  <c r="AD632" i="3"/>
  <c r="V632" i="3"/>
  <c r="R632" i="3"/>
  <c r="T632" i="3"/>
  <c r="P632" i="3"/>
  <c r="BQ628" i="3"/>
  <c r="BB628" i="3"/>
  <c r="BF628" i="3"/>
  <c r="BJ627" i="3" s="1"/>
  <c r="BK627" i="3" s="1"/>
  <c r="BK6" i="3" s="1"/>
  <c r="AG631" i="3"/>
  <c r="AU631" i="3" s="1"/>
  <c r="AX630" i="3"/>
  <c r="BD628" i="3"/>
  <c r="BG628" i="3"/>
  <c r="BH628" i="3" s="1"/>
  <c r="BI628" i="3" s="1"/>
  <c r="AY629" i="3"/>
  <c r="BC629" i="3" s="1"/>
  <c r="AW630" i="3"/>
  <c r="AN631" i="3"/>
  <c r="Y631" i="3"/>
  <c r="Z631" i="3" s="1"/>
  <c r="BA629" i="3"/>
  <c r="AH632" i="3" l="1"/>
  <c r="AT631" i="3"/>
  <c r="BM632" i="3"/>
  <c r="BA630" i="3"/>
  <c r="BB630" i="3" s="1"/>
  <c r="AN632" i="3"/>
  <c r="AX631" i="3"/>
  <c r="BQ630" i="3"/>
  <c r="BF630" i="3"/>
  <c r="C633" i="3"/>
  <c r="D633" i="3"/>
  <c r="B633" i="3"/>
  <c r="A634" i="3"/>
  <c r="AR633" i="3"/>
  <c r="AQ633" i="3"/>
  <c r="F633" i="3"/>
  <c r="G633" i="3"/>
  <c r="H633" i="3" s="1"/>
  <c r="Q633" i="3"/>
  <c r="S633" i="3"/>
  <c r="O633" i="3"/>
  <c r="U633" i="3"/>
  <c r="AM633" i="3"/>
  <c r="AK633" i="3"/>
  <c r="AF633" i="3"/>
  <c r="AD633" i="3"/>
  <c r="AE633" i="3"/>
  <c r="M633" i="3"/>
  <c r="P633" i="3"/>
  <c r="T633" i="3"/>
  <c r="V633" i="3"/>
  <c r="R633" i="3"/>
  <c r="G688" i="3"/>
  <c r="H688" i="3" s="1"/>
  <c r="Q688" i="3"/>
  <c r="M688" i="3"/>
  <c r="P688" i="3"/>
  <c r="AQ688" i="3"/>
  <c r="AF688" i="3"/>
  <c r="T688" i="3"/>
  <c r="S688" i="3"/>
  <c r="F688" i="3"/>
  <c r="AK688" i="3"/>
  <c r="AE688" i="3"/>
  <c r="AR688" i="3"/>
  <c r="B688" i="3"/>
  <c r="U688" i="3"/>
  <c r="V688" i="3"/>
  <c r="R688" i="3"/>
  <c r="C688" i="3"/>
  <c r="D688" i="3"/>
  <c r="O688" i="3"/>
  <c r="AD688" i="3"/>
  <c r="AM688" i="3"/>
  <c r="AV631" i="3"/>
  <c r="A261" i="2"/>
  <c r="B261" i="2"/>
  <c r="X632" i="3"/>
  <c r="BD629" i="3"/>
  <c r="BG629" i="3"/>
  <c r="BH629" i="3" s="1"/>
  <c r="BI629" i="3" s="1"/>
  <c r="Y632" i="3"/>
  <c r="Z632" i="3" s="1"/>
  <c r="AW631" i="3"/>
  <c r="BF629" i="3"/>
  <c r="BJ628" i="3" s="1"/>
  <c r="BK628" i="3" s="1"/>
  <c r="BB629" i="3"/>
  <c r="BQ629" i="3"/>
  <c r="AY630" i="3"/>
  <c r="BC630" i="3" s="1"/>
  <c r="AG632" i="3"/>
  <c r="AO632" i="3"/>
  <c r="BN632" i="3"/>
  <c r="AG633" i="3" l="1"/>
  <c r="AY631" i="3"/>
  <c r="BC631" i="3" s="1"/>
  <c r="AW632" i="3"/>
  <c r="AN688" i="3"/>
  <c r="AN633" i="3"/>
  <c r="AX632" i="3"/>
  <c r="AY632" i="3" s="1"/>
  <c r="X633" i="3"/>
  <c r="AH688" i="3"/>
  <c r="BD630" i="3"/>
  <c r="BG630" i="3"/>
  <c r="BH630" i="3" s="1"/>
  <c r="BI630" i="3" s="1"/>
  <c r="Y633" i="3"/>
  <c r="Z633" i="3" s="1"/>
  <c r="AQ634" i="3"/>
  <c r="B634" i="3"/>
  <c r="AR634" i="3"/>
  <c r="A635" i="3"/>
  <c r="C634" i="3"/>
  <c r="D634" i="3"/>
  <c r="G634" i="3"/>
  <c r="H634" i="3" s="1"/>
  <c r="BN634" i="3" s="1"/>
  <c r="F634" i="3"/>
  <c r="Q634" i="3"/>
  <c r="S634" i="3"/>
  <c r="O634" i="3"/>
  <c r="U634" i="3"/>
  <c r="AD634" i="3"/>
  <c r="AM634" i="3"/>
  <c r="AK634" i="3"/>
  <c r="M634" i="3"/>
  <c r="AF634" i="3"/>
  <c r="AE634" i="3"/>
  <c r="V634" i="3"/>
  <c r="P634" i="3"/>
  <c r="R634" i="3"/>
  <c r="T634" i="3"/>
  <c r="AO688" i="3"/>
  <c r="X688" i="3"/>
  <c r="BA631" i="3"/>
  <c r="AU632" i="3"/>
  <c r="BN633" i="3"/>
  <c r="Y688" i="3"/>
  <c r="Z688" i="3" s="1"/>
  <c r="AH633" i="3"/>
  <c r="AT633" i="3" s="1"/>
  <c r="BM633" i="3"/>
  <c r="BJ629" i="3"/>
  <c r="BK629" i="3" s="1"/>
  <c r="AG688" i="3"/>
  <c r="AT632" i="3"/>
  <c r="AO633" i="3"/>
  <c r="AU633" i="3" l="1"/>
  <c r="BM634" i="3"/>
  <c r="AW633" i="3"/>
  <c r="AH634" i="3"/>
  <c r="AX633" i="3"/>
  <c r="BA633" i="3" s="1"/>
  <c r="AT688" i="3"/>
  <c r="AN634" i="3"/>
  <c r="AO634" i="3"/>
  <c r="AW688" i="3"/>
  <c r="BQ631" i="3"/>
  <c r="BF631" i="3"/>
  <c r="BJ630" i="3" s="1"/>
  <c r="BK630" i="3" s="1"/>
  <c r="BB631" i="3"/>
  <c r="X634" i="3"/>
  <c r="B635" i="3"/>
  <c r="AQ635" i="3"/>
  <c r="AR635" i="3"/>
  <c r="C635" i="3"/>
  <c r="D635" i="3"/>
  <c r="A636" i="3"/>
  <c r="F635" i="3"/>
  <c r="G635" i="3"/>
  <c r="H635" i="3" s="1"/>
  <c r="S635" i="3"/>
  <c r="Q635" i="3"/>
  <c r="O635" i="3"/>
  <c r="U635" i="3"/>
  <c r="AD635" i="3"/>
  <c r="AE635" i="3"/>
  <c r="AF635" i="3"/>
  <c r="AM635" i="3"/>
  <c r="AK635" i="3"/>
  <c r="M635" i="3"/>
  <c r="V635" i="3"/>
  <c r="R635" i="3"/>
  <c r="P635" i="3"/>
  <c r="T635" i="3"/>
  <c r="BG631" i="3"/>
  <c r="BH631" i="3" s="1"/>
  <c r="BI631" i="3" s="1"/>
  <c r="BD631" i="3"/>
  <c r="BA632" i="3"/>
  <c r="AV632" i="3"/>
  <c r="BC632" i="3" s="1"/>
  <c r="AU688" i="3"/>
  <c r="Y634" i="3"/>
  <c r="Z634" i="3" s="1"/>
  <c r="AV633" i="3"/>
  <c r="AX688" i="3"/>
  <c r="AG634" i="3"/>
  <c r="AY633" i="3" l="1"/>
  <c r="AV688" i="3"/>
  <c r="AW634" i="3"/>
  <c r="AN635" i="3"/>
  <c r="AH635" i="3"/>
  <c r="X635" i="3"/>
  <c r="AG635" i="3"/>
  <c r="C636" i="3"/>
  <c r="D636" i="3"/>
  <c r="B636" i="3"/>
  <c r="A637" i="3"/>
  <c r="AR636" i="3"/>
  <c r="AQ636" i="3"/>
  <c r="F636" i="3"/>
  <c r="G636" i="3"/>
  <c r="H636" i="3" s="1"/>
  <c r="Q636" i="3"/>
  <c r="S636" i="3"/>
  <c r="O636" i="3"/>
  <c r="U636" i="3"/>
  <c r="AM636" i="3"/>
  <c r="AD636" i="3"/>
  <c r="AE636" i="3"/>
  <c r="AF636" i="3"/>
  <c r="AK636" i="3"/>
  <c r="M636" i="3"/>
  <c r="T636" i="3"/>
  <c r="R636" i="3"/>
  <c r="P636" i="3"/>
  <c r="V636" i="3"/>
  <c r="BA688" i="3"/>
  <c r="BB688" i="3" s="1"/>
  <c r="AU634" i="3"/>
  <c r="Y635" i="3"/>
  <c r="Z635" i="3" s="1"/>
  <c r="AT634" i="3"/>
  <c r="BB632" i="3"/>
  <c r="BQ632" i="3"/>
  <c r="BF632" i="3"/>
  <c r="AO635" i="3"/>
  <c r="BF633" i="3"/>
  <c r="BQ633" i="3"/>
  <c r="BB633" i="3"/>
  <c r="AX634" i="3"/>
  <c r="BN635" i="3"/>
  <c r="AY688" i="3"/>
  <c r="BC688" i="3" s="1"/>
  <c r="BD632" i="3"/>
  <c r="BG632" i="3"/>
  <c r="BH632" i="3" s="1"/>
  <c r="BI632" i="3" s="1"/>
  <c r="BC633" i="3"/>
  <c r="BM635" i="3"/>
  <c r="AT635" i="3" l="1"/>
  <c r="AY634" i="3"/>
  <c r="AU635" i="3"/>
  <c r="AV635" i="3" s="1"/>
  <c r="BM636" i="3"/>
  <c r="X636" i="3"/>
  <c r="AX635" i="3"/>
  <c r="AG636" i="3"/>
  <c r="AN636" i="3"/>
  <c r="BD688" i="3"/>
  <c r="BG688" i="3"/>
  <c r="BG633" i="3"/>
  <c r="BH633" i="3" s="1"/>
  <c r="BI633" i="3" s="1"/>
  <c r="BD633" i="3"/>
  <c r="AV634" i="3"/>
  <c r="BC634" i="3" s="1"/>
  <c r="BA634" i="3"/>
  <c r="BJ632" i="3"/>
  <c r="BK632" i="3" s="1"/>
  <c r="BJ631" i="3"/>
  <c r="BK631" i="3" s="1"/>
  <c r="Y636" i="3"/>
  <c r="Z636" i="3" s="1"/>
  <c r="AO636" i="3"/>
  <c r="AH636" i="3"/>
  <c r="BN636" i="3"/>
  <c r="AW635" i="3"/>
  <c r="AR637" i="3"/>
  <c r="A638" i="3"/>
  <c r="AQ637" i="3"/>
  <c r="B637" i="3"/>
  <c r="D637" i="3"/>
  <c r="C637" i="3"/>
  <c r="F637" i="3"/>
  <c r="G637" i="3"/>
  <c r="H637" i="3" s="1"/>
  <c r="S637" i="3"/>
  <c r="Q637" i="3"/>
  <c r="O637" i="3"/>
  <c r="U637" i="3"/>
  <c r="M637" i="3"/>
  <c r="AF637" i="3"/>
  <c r="AK637" i="3"/>
  <c r="AM637" i="3"/>
  <c r="AD637" i="3"/>
  <c r="AE637" i="3"/>
  <c r="V637" i="3"/>
  <c r="T637" i="3"/>
  <c r="R637" i="3"/>
  <c r="P637" i="3"/>
  <c r="AY635" i="3" l="1"/>
  <c r="BC635" i="3"/>
  <c r="BD635" i="3" s="1"/>
  <c r="BA635" i="3"/>
  <c r="BB635" i="3" s="1"/>
  <c r="AH637" i="3"/>
  <c r="AG637" i="3"/>
  <c r="AT637" i="3" s="1"/>
  <c r="AU637" i="3"/>
  <c r="AN637" i="3"/>
  <c r="AX636" i="3"/>
  <c r="BD634" i="3"/>
  <c r="BG634" i="3"/>
  <c r="BH634" i="3" s="1"/>
  <c r="BI634" i="3" s="1"/>
  <c r="BG635" i="3"/>
  <c r="BH635" i="3" s="1"/>
  <c r="BI635" i="3" s="1"/>
  <c r="X637" i="3"/>
  <c r="AQ638" i="3"/>
  <c r="B638" i="3"/>
  <c r="A639" i="3"/>
  <c r="C638" i="3"/>
  <c r="D638" i="3"/>
  <c r="AR638" i="3"/>
  <c r="F638" i="3"/>
  <c r="G638" i="3"/>
  <c r="H638" i="3" s="1"/>
  <c r="S638" i="3"/>
  <c r="Q638" i="3"/>
  <c r="O638" i="3"/>
  <c r="U638" i="3"/>
  <c r="AM638" i="3"/>
  <c r="AK638" i="3"/>
  <c r="AD638" i="3"/>
  <c r="AE638" i="3"/>
  <c r="AF638" i="3"/>
  <c r="M638" i="3"/>
  <c r="V638" i="3"/>
  <c r="R638" i="3"/>
  <c r="P638" i="3"/>
  <c r="T638" i="3"/>
  <c r="AU636" i="3"/>
  <c r="AT636" i="3"/>
  <c r="BB634" i="3"/>
  <c r="BF634" i="3"/>
  <c r="BJ633" i="3" s="1"/>
  <c r="BK633" i="3" s="1"/>
  <c r="BQ634" i="3"/>
  <c r="Y637" i="3"/>
  <c r="Z637" i="3" s="1"/>
  <c r="BN637" i="3"/>
  <c r="BH688" i="3"/>
  <c r="BI688" i="3" s="1"/>
  <c r="BG689" i="3"/>
  <c r="BH689" i="3" s="1"/>
  <c r="BI689" i="3" s="1"/>
  <c r="BG690" i="3"/>
  <c r="BH690" i="3" s="1"/>
  <c r="BI690" i="3" s="1"/>
  <c r="AW636" i="3"/>
  <c r="AO637" i="3"/>
  <c r="BM637" i="3"/>
  <c r="BQ635" i="3" l="1"/>
  <c r="BF635" i="3"/>
  <c r="BJ634" i="3" s="1"/>
  <c r="BK634" i="3" s="1"/>
  <c r="BM638" i="3"/>
  <c r="AW637" i="3"/>
  <c r="AH638" i="3"/>
  <c r="AO638" i="3"/>
  <c r="AV637" i="3"/>
  <c r="B639" i="3"/>
  <c r="D639" i="3"/>
  <c r="AR639" i="3"/>
  <c r="AQ639" i="3"/>
  <c r="C639" i="3"/>
  <c r="A640" i="3"/>
  <c r="G639" i="3"/>
  <c r="H639" i="3" s="1"/>
  <c r="F639" i="3"/>
  <c r="S639" i="3"/>
  <c r="Q639" i="3"/>
  <c r="O639" i="3"/>
  <c r="U639" i="3"/>
  <c r="AK639" i="3"/>
  <c r="AD639" i="3"/>
  <c r="AE639" i="3"/>
  <c r="AM639" i="3"/>
  <c r="M639" i="3"/>
  <c r="AF639" i="3"/>
  <c r="T639" i="3"/>
  <c r="V639" i="3"/>
  <c r="P639" i="3"/>
  <c r="R639" i="3"/>
  <c r="AY636" i="3"/>
  <c r="X638" i="3"/>
  <c r="BA636" i="3"/>
  <c r="AV636" i="3"/>
  <c r="AX637" i="3"/>
  <c r="AN638" i="3"/>
  <c r="Y638" i="3"/>
  <c r="Z638" i="3" s="1"/>
  <c r="AG638" i="3"/>
  <c r="AU638" i="3" s="1"/>
  <c r="BN638" i="3"/>
  <c r="AY637" i="3" l="1"/>
  <c r="BC636" i="3"/>
  <c r="AX638" i="3"/>
  <c r="AO639" i="3"/>
  <c r="X639" i="3"/>
  <c r="Y639" i="3"/>
  <c r="Z639" i="3" s="1"/>
  <c r="AW638" i="3"/>
  <c r="BB636" i="3"/>
  <c r="BF636" i="3"/>
  <c r="BJ635" i="3" s="1"/>
  <c r="BK635" i="3" s="1"/>
  <c r="BQ636" i="3"/>
  <c r="AN639" i="3"/>
  <c r="AG639" i="3"/>
  <c r="BC637" i="3"/>
  <c r="BD636" i="3"/>
  <c r="BG636" i="3"/>
  <c r="BH636" i="3" s="1"/>
  <c r="BI636" i="3" s="1"/>
  <c r="AY638" i="3"/>
  <c r="BM639" i="3"/>
  <c r="BN639" i="3"/>
  <c r="AT638" i="3"/>
  <c r="AH639" i="3"/>
  <c r="D640" i="3"/>
  <c r="A641" i="3"/>
  <c r="B640" i="3"/>
  <c r="AR640" i="3"/>
  <c r="AQ640" i="3"/>
  <c r="C640" i="3"/>
  <c r="F640" i="3"/>
  <c r="G640" i="3"/>
  <c r="H640" i="3" s="1"/>
  <c r="Q640" i="3"/>
  <c r="S640" i="3"/>
  <c r="O640" i="3"/>
  <c r="U640" i="3"/>
  <c r="AM640" i="3"/>
  <c r="AF640" i="3"/>
  <c r="AD640" i="3"/>
  <c r="AE640" i="3"/>
  <c r="AK640" i="3"/>
  <c r="M640" i="3"/>
  <c r="V640" i="3"/>
  <c r="P640" i="3"/>
  <c r="T640" i="3"/>
  <c r="R640" i="3"/>
  <c r="BA637" i="3"/>
  <c r="BN640" i="3" l="1"/>
  <c r="BM640" i="3"/>
  <c r="AH640" i="3"/>
  <c r="AN640" i="3"/>
  <c r="AG640" i="3"/>
  <c r="AX639" i="3"/>
  <c r="AW639" i="3"/>
  <c r="AY639" i="3" s="1"/>
  <c r="BF637" i="3"/>
  <c r="BJ636" i="3" s="1"/>
  <c r="BK636" i="3" s="1"/>
  <c r="BQ637" i="3"/>
  <c r="BB637" i="3"/>
  <c r="BA638" i="3"/>
  <c r="AV638" i="3"/>
  <c r="BC638" i="3" s="1"/>
  <c r="Y640" i="3"/>
  <c r="Z640" i="3" s="1"/>
  <c r="AT639" i="3"/>
  <c r="AU640" i="3"/>
  <c r="X640" i="3"/>
  <c r="AQ641" i="3"/>
  <c r="B641" i="3"/>
  <c r="C641" i="3"/>
  <c r="D641" i="3"/>
  <c r="A642" i="3"/>
  <c r="AR641" i="3"/>
  <c r="G641" i="3"/>
  <c r="H641" i="3" s="1"/>
  <c r="BN641" i="3" s="1"/>
  <c r="F641" i="3"/>
  <c r="BM641" i="3" s="1"/>
  <c r="S641" i="3"/>
  <c r="Q641" i="3"/>
  <c r="O641" i="3"/>
  <c r="U641" i="3"/>
  <c r="AK641" i="3"/>
  <c r="AF641" i="3"/>
  <c r="M641" i="3"/>
  <c r="AM641" i="3"/>
  <c r="AN641" i="3" s="1"/>
  <c r="AD641" i="3"/>
  <c r="AE641" i="3"/>
  <c r="R641" i="3"/>
  <c r="T641" i="3"/>
  <c r="V641" i="3"/>
  <c r="P641" i="3"/>
  <c r="AO640" i="3"/>
  <c r="AX640" i="3" s="1"/>
  <c r="BD637" i="3"/>
  <c r="BG637" i="3"/>
  <c r="BH637" i="3" s="1"/>
  <c r="BI637" i="3" s="1"/>
  <c r="AU639" i="3"/>
  <c r="AH641" i="3" l="1"/>
  <c r="AT640" i="3"/>
  <c r="BQ638" i="3"/>
  <c r="BF638" i="3"/>
  <c r="BJ637" i="3" s="1"/>
  <c r="BK637" i="3" s="1"/>
  <c r="BB638" i="3"/>
  <c r="AG641" i="3"/>
  <c r="AW641" i="3" s="1"/>
  <c r="BD638" i="3"/>
  <c r="BG638" i="3"/>
  <c r="BH638" i="3" s="1"/>
  <c r="BI638" i="3" s="1"/>
  <c r="Y641" i="3"/>
  <c r="Z641" i="3" s="1"/>
  <c r="AO641" i="3"/>
  <c r="AQ642" i="3"/>
  <c r="D642" i="3"/>
  <c r="B642" i="3"/>
  <c r="C642" i="3"/>
  <c r="AR642" i="3"/>
  <c r="A643" i="3"/>
  <c r="G642" i="3"/>
  <c r="H642" i="3" s="1"/>
  <c r="F642" i="3"/>
  <c r="Q642" i="3"/>
  <c r="S642" i="3"/>
  <c r="O642" i="3"/>
  <c r="U642" i="3"/>
  <c r="X642" i="3" s="1"/>
  <c r="AM642" i="3"/>
  <c r="AN642" i="3" s="1"/>
  <c r="AE642" i="3"/>
  <c r="AF642" i="3"/>
  <c r="AK642" i="3"/>
  <c r="AD642" i="3"/>
  <c r="M642" i="3"/>
  <c r="R642" i="3"/>
  <c r="P642" i="3"/>
  <c r="V642" i="3"/>
  <c r="T642" i="3"/>
  <c r="BA639" i="3"/>
  <c r="AV639" i="3"/>
  <c r="BC639" i="3" s="1"/>
  <c r="X641" i="3"/>
  <c r="AV640" i="3"/>
  <c r="AW640" i="3"/>
  <c r="AY640" i="3" s="1"/>
  <c r="AX641" i="3" l="1"/>
  <c r="BN642" i="3"/>
  <c r="AT641" i="3"/>
  <c r="AG642" i="3"/>
  <c r="BA640" i="3"/>
  <c r="BF640" i="3" s="1"/>
  <c r="AU641" i="3"/>
  <c r="BA641" i="3" s="1"/>
  <c r="BC640" i="3"/>
  <c r="BD640" i="3" s="1"/>
  <c r="BF639" i="3"/>
  <c r="BJ638" i="3" s="1"/>
  <c r="BK638" i="3" s="1"/>
  <c r="BQ639" i="3"/>
  <c r="BB639" i="3"/>
  <c r="AH642" i="3"/>
  <c r="B643" i="3"/>
  <c r="A644" i="3"/>
  <c r="AR643" i="3"/>
  <c r="AQ643" i="3"/>
  <c r="D643" i="3"/>
  <c r="C643" i="3"/>
  <c r="G643" i="3"/>
  <c r="H643" i="3" s="1"/>
  <c r="F643" i="3"/>
  <c r="Q643" i="3"/>
  <c r="S643" i="3"/>
  <c r="O643" i="3"/>
  <c r="U643" i="3"/>
  <c r="M643" i="3"/>
  <c r="AM643" i="3"/>
  <c r="AF643" i="3"/>
  <c r="AK643" i="3"/>
  <c r="AE643" i="3"/>
  <c r="AD643" i="3"/>
  <c r="P643" i="3"/>
  <c r="V643" i="3"/>
  <c r="R643" i="3"/>
  <c r="T643" i="3"/>
  <c r="AY641" i="3"/>
  <c r="Y642" i="3"/>
  <c r="Z642" i="3" s="1"/>
  <c r="BD639" i="3"/>
  <c r="BG639" i="3"/>
  <c r="BH639" i="3" s="1"/>
  <c r="BI639" i="3" s="1"/>
  <c r="AO642" i="3"/>
  <c r="BM642" i="3"/>
  <c r="BN643" i="3" l="1"/>
  <c r="AV641" i="3"/>
  <c r="BC641" i="3" s="1"/>
  <c r="BG640" i="3"/>
  <c r="BH640" i="3" s="1"/>
  <c r="BI640" i="3" s="1"/>
  <c r="BB640" i="3"/>
  <c r="BJ639" i="3"/>
  <c r="BK639" i="3" s="1"/>
  <c r="BQ640" i="3"/>
  <c r="AX642" i="3"/>
  <c r="AT642" i="3"/>
  <c r="AG643" i="3"/>
  <c r="AN643" i="3"/>
  <c r="AO643" i="3"/>
  <c r="BM643" i="3"/>
  <c r="BD641" i="3"/>
  <c r="BG641" i="3"/>
  <c r="BH641" i="3" s="1"/>
  <c r="BI641" i="3" s="1"/>
  <c r="X643" i="3"/>
  <c r="BF641" i="3"/>
  <c r="BJ640" i="3" s="1"/>
  <c r="BK640" i="3" s="1"/>
  <c r="BB641" i="3"/>
  <c r="BQ641" i="3"/>
  <c r="AU642" i="3"/>
  <c r="AH643" i="3"/>
  <c r="C644" i="3"/>
  <c r="B644" i="3"/>
  <c r="AQ644" i="3"/>
  <c r="D644" i="3"/>
  <c r="A645" i="3"/>
  <c r="AR644" i="3"/>
  <c r="F644" i="3"/>
  <c r="G644" i="3"/>
  <c r="H644" i="3" s="1"/>
  <c r="Q644" i="3"/>
  <c r="S644" i="3"/>
  <c r="O644" i="3"/>
  <c r="U644" i="3"/>
  <c r="AD644" i="3"/>
  <c r="M644" i="3"/>
  <c r="AM644" i="3"/>
  <c r="AK644" i="3"/>
  <c r="AO644" i="3" s="1"/>
  <c r="AE644" i="3"/>
  <c r="AF644" i="3"/>
  <c r="V644" i="3"/>
  <c r="P644" i="3"/>
  <c r="R644" i="3"/>
  <c r="T644" i="3"/>
  <c r="Y643" i="3"/>
  <c r="Z643" i="3" s="1"/>
  <c r="AW642" i="3"/>
  <c r="BN644" i="3" l="1"/>
  <c r="AY642" i="3"/>
  <c r="AG644" i="3"/>
  <c r="BA642" i="3"/>
  <c r="BB642" i="3" s="1"/>
  <c r="BQ642" i="3"/>
  <c r="BF642" i="3"/>
  <c r="BJ641" i="3" s="1"/>
  <c r="BK641" i="3" s="1"/>
  <c r="AH644" i="3"/>
  <c r="AU644" i="3" s="1"/>
  <c r="AT643" i="3"/>
  <c r="AX643" i="3"/>
  <c r="AN644" i="3"/>
  <c r="AU643" i="3"/>
  <c r="AW643" i="3"/>
  <c r="D645" i="3"/>
  <c r="AR645" i="3"/>
  <c r="B645" i="3"/>
  <c r="A646" i="3"/>
  <c r="C645" i="3"/>
  <c r="AQ645" i="3"/>
  <c r="F645" i="3"/>
  <c r="G645" i="3"/>
  <c r="H645" i="3" s="1"/>
  <c r="Q645" i="3"/>
  <c r="S645" i="3"/>
  <c r="O645" i="3"/>
  <c r="U645" i="3"/>
  <c r="AE645" i="3"/>
  <c r="AF645" i="3"/>
  <c r="M645" i="3"/>
  <c r="AM645" i="3"/>
  <c r="AK645" i="3"/>
  <c r="AO645" i="3" s="1"/>
  <c r="AD645" i="3"/>
  <c r="V645" i="3"/>
  <c r="R645" i="3"/>
  <c r="T645" i="3"/>
  <c r="P645" i="3"/>
  <c r="X644" i="3"/>
  <c r="AV642" i="3"/>
  <c r="BC642" i="3" s="1"/>
  <c r="BM644" i="3"/>
  <c r="Y644" i="3"/>
  <c r="Z644" i="3" s="1"/>
  <c r="AG645" i="3" l="1"/>
  <c r="X645" i="3"/>
  <c r="AW644" i="3"/>
  <c r="BD642" i="3"/>
  <c r="BG642" i="3"/>
  <c r="BH642" i="3" s="1"/>
  <c r="BI642" i="3" s="1"/>
  <c r="AQ646" i="3"/>
  <c r="AR646" i="3"/>
  <c r="B646" i="3"/>
  <c r="A647" i="3"/>
  <c r="C646" i="3"/>
  <c r="D646" i="3"/>
  <c r="F646" i="3"/>
  <c r="G646" i="3"/>
  <c r="H646" i="3" s="1"/>
  <c r="BN646" i="3" s="1"/>
  <c r="Q646" i="3"/>
  <c r="S646" i="3"/>
  <c r="O646" i="3"/>
  <c r="U646" i="3"/>
  <c r="AK646" i="3"/>
  <c r="AM646" i="3"/>
  <c r="AD646" i="3"/>
  <c r="M646" i="3"/>
  <c r="AF646" i="3"/>
  <c r="AE646" i="3"/>
  <c r="V646" i="3"/>
  <c r="T646" i="3"/>
  <c r="P646" i="3"/>
  <c r="R646" i="3"/>
  <c r="Y645" i="3"/>
  <c r="Z645" i="3" s="1"/>
  <c r="AH645" i="3"/>
  <c r="AU645" i="3" s="1"/>
  <c r="AX644" i="3"/>
  <c r="AY644" i="3" s="1"/>
  <c r="BN645" i="3"/>
  <c r="BM645" i="3"/>
  <c r="AV643" i="3"/>
  <c r="BA643" i="3"/>
  <c r="AN645" i="3"/>
  <c r="AY643" i="3"/>
  <c r="AT644" i="3"/>
  <c r="AO646" i="3" l="1"/>
  <c r="X646" i="3"/>
  <c r="Y646" i="3"/>
  <c r="Z646" i="3" s="1"/>
  <c r="AX645" i="3"/>
  <c r="BF643" i="3"/>
  <c r="BJ642" i="3" s="1"/>
  <c r="BK642" i="3" s="1"/>
  <c r="BB643" i="3"/>
  <c r="BQ643" i="3"/>
  <c r="BC643" i="3"/>
  <c r="B647" i="3"/>
  <c r="AR647" i="3"/>
  <c r="C647" i="3"/>
  <c r="D647" i="3"/>
  <c r="A648" i="3"/>
  <c r="AQ647" i="3"/>
  <c r="G647" i="3"/>
  <c r="H647" i="3" s="1"/>
  <c r="BN647" i="3" s="1"/>
  <c r="F647" i="3"/>
  <c r="BM647" i="3" s="1"/>
  <c r="S647" i="3"/>
  <c r="Q647" i="3"/>
  <c r="O647" i="3"/>
  <c r="U647" i="3"/>
  <c r="AD647" i="3"/>
  <c r="AK647" i="3"/>
  <c r="AM647" i="3"/>
  <c r="AE647" i="3"/>
  <c r="AF647" i="3"/>
  <c r="M647" i="3"/>
  <c r="V647" i="3"/>
  <c r="P647" i="3"/>
  <c r="T647" i="3"/>
  <c r="R647" i="3"/>
  <c r="BA644" i="3"/>
  <c r="AV644" i="3"/>
  <c r="BC644" i="3" s="1"/>
  <c r="AH646" i="3"/>
  <c r="BM646" i="3"/>
  <c r="AG646" i="3"/>
  <c r="AT645" i="3"/>
  <c r="AN646" i="3"/>
  <c r="AW645" i="3"/>
  <c r="AY645" i="3" s="1"/>
  <c r="AN647" i="3" l="1"/>
  <c r="AX646" i="3"/>
  <c r="BQ644" i="3"/>
  <c r="BF644" i="3"/>
  <c r="BJ643" i="3" s="1"/>
  <c r="BK643" i="3" s="1"/>
  <c r="BB644" i="3"/>
  <c r="BD644" i="3"/>
  <c r="BG644" i="3"/>
  <c r="BH644" i="3" s="1"/>
  <c r="BI644" i="3" s="1"/>
  <c r="AU646" i="3"/>
  <c r="AO647" i="3"/>
  <c r="AT646" i="3"/>
  <c r="X647" i="3"/>
  <c r="AG647" i="3"/>
  <c r="BD643" i="3"/>
  <c r="BG643" i="3"/>
  <c r="BH643" i="3" s="1"/>
  <c r="BI643" i="3" s="1"/>
  <c r="AH647" i="3"/>
  <c r="C648" i="3"/>
  <c r="A649" i="3"/>
  <c r="B648" i="3"/>
  <c r="AQ648" i="3"/>
  <c r="AR648" i="3"/>
  <c r="D648" i="3"/>
  <c r="G648" i="3"/>
  <c r="H648" i="3" s="1"/>
  <c r="BN648" i="3" s="1"/>
  <c r="F648" i="3"/>
  <c r="BM648" i="3" s="1"/>
  <c r="S648" i="3"/>
  <c r="Q648" i="3"/>
  <c r="O648" i="3"/>
  <c r="U648" i="3"/>
  <c r="M648" i="3"/>
  <c r="AK648" i="3"/>
  <c r="AF648" i="3"/>
  <c r="AM648" i="3"/>
  <c r="AN648" i="3" s="1"/>
  <c r="AD648" i="3"/>
  <c r="AE648" i="3"/>
  <c r="V648" i="3"/>
  <c r="R648" i="3"/>
  <c r="P648" i="3"/>
  <c r="T648" i="3"/>
  <c r="BA645" i="3"/>
  <c r="AV645" i="3"/>
  <c r="BC645" i="3" s="1"/>
  <c r="AW646" i="3"/>
  <c r="AY646" i="3" s="1"/>
  <c r="Y647" i="3"/>
  <c r="Z647" i="3" s="1"/>
  <c r="AX647" i="3" l="1"/>
  <c r="AH648" i="3"/>
  <c r="BB645" i="3"/>
  <c r="BF645" i="3"/>
  <c r="BJ644" i="3" s="1"/>
  <c r="BK644" i="3" s="1"/>
  <c r="BQ645" i="3"/>
  <c r="AO648" i="3"/>
  <c r="AU647" i="3"/>
  <c r="AG648" i="3"/>
  <c r="AT648" i="3" s="1"/>
  <c r="BG645" i="3"/>
  <c r="BH645" i="3" s="1"/>
  <c r="BI645" i="3" s="1"/>
  <c r="BD645" i="3"/>
  <c r="AW647" i="3"/>
  <c r="AY647" i="3" s="1"/>
  <c r="X648" i="3"/>
  <c r="AT647" i="3"/>
  <c r="Y648" i="3"/>
  <c r="Z648" i="3" s="1"/>
  <c r="AR649" i="3"/>
  <c r="A650" i="3"/>
  <c r="AQ649" i="3"/>
  <c r="B649" i="3"/>
  <c r="C649" i="3"/>
  <c r="D649" i="3"/>
  <c r="F649" i="3"/>
  <c r="BM649" i="3" s="1"/>
  <c r="G649" i="3"/>
  <c r="H649" i="3" s="1"/>
  <c r="BN649" i="3" s="1"/>
  <c r="S649" i="3"/>
  <c r="Q649" i="3"/>
  <c r="O649" i="3"/>
  <c r="U649" i="3"/>
  <c r="AK649" i="3"/>
  <c r="AF649" i="3"/>
  <c r="AD649" i="3"/>
  <c r="AM649" i="3"/>
  <c r="AN649" i="3" s="1"/>
  <c r="AE649" i="3"/>
  <c r="M649" i="3"/>
  <c r="V649" i="3"/>
  <c r="P649" i="3"/>
  <c r="T649" i="3"/>
  <c r="R649" i="3"/>
  <c r="AV646" i="3"/>
  <c r="BC646" i="3" s="1"/>
  <c r="BA646" i="3"/>
  <c r="AU648" i="3" l="1"/>
  <c r="AX648" i="3"/>
  <c r="AH649" i="3"/>
  <c r="BB646" i="3"/>
  <c r="BQ646" i="3"/>
  <c r="BF646" i="3"/>
  <c r="BJ645" i="3" s="1"/>
  <c r="BK645" i="3" s="1"/>
  <c r="AV647" i="3"/>
  <c r="BC647" i="3" s="1"/>
  <c r="BA647" i="3"/>
  <c r="AO649" i="3"/>
  <c r="AV648" i="3"/>
  <c r="Y649" i="3"/>
  <c r="Z649" i="3" s="1"/>
  <c r="AQ650" i="3"/>
  <c r="A651" i="3"/>
  <c r="C650" i="3"/>
  <c r="D650" i="3"/>
  <c r="AR650" i="3"/>
  <c r="B650" i="3"/>
  <c r="F650" i="3"/>
  <c r="G650" i="3"/>
  <c r="H650" i="3" s="1"/>
  <c r="S650" i="3"/>
  <c r="Q650" i="3"/>
  <c r="O650" i="3"/>
  <c r="U650" i="3"/>
  <c r="AE650" i="3"/>
  <c r="AM650" i="3"/>
  <c r="AK650" i="3"/>
  <c r="AO650" i="3" s="1"/>
  <c r="M650" i="3"/>
  <c r="AF650" i="3"/>
  <c r="AD650" i="3"/>
  <c r="V650" i="3"/>
  <c r="P650" i="3"/>
  <c r="R650" i="3"/>
  <c r="T650" i="3"/>
  <c r="BD646" i="3"/>
  <c r="BG646" i="3"/>
  <c r="BH646" i="3" s="1"/>
  <c r="BI646" i="3" s="1"/>
  <c r="X649" i="3"/>
  <c r="AG649" i="3"/>
  <c r="AW649" i="3" s="1"/>
  <c r="AW648" i="3"/>
  <c r="BA648" i="3" s="1"/>
  <c r="BM650" i="3" l="1"/>
  <c r="BN650" i="3"/>
  <c r="AH650" i="3"/>
  <c r="BF648" i="3"/>
  <c r="BQ648" i="3"/>
  <c r="BB648" i="3"/>
  <c r="B651" i="3"/>
  <c r="A652" i="3"/>
  <c r="C651" i="3"/>
  <c r="AR651" i="3"/>
  <c r="D651" i="3"/>
  <c r="AQ651" i="3"/>
  <c r="G651" i="3"/>
  <c r="H651" i="3" s="1"/>
  <c r="BN651" i="3" s="1"/>
  <c r="F651" i="3"/>
  <c r="Q651" i="3"/>
  <c r="S651" i="3"/>
  <c r="O651" i="3"/>
  <c r="U651" i="3"/>
  <c r="AM651" i="3"/>
  <c r="AK651" i="3"/>
  <c r="AE651" i="3"/>
  <c r="AD651" i="3"/>
  <c r="AF651" i="3"/>
  <c r="M651" i="3"/>
  <c r="V651" i="3"/>
  <c r="P651" i="3"/>
  <c r="R651" i="3"/>
  <c r="T651" i="3"/>
  <c r="AT649" i="3"/>
  <c r="Y650" i="3"/>
  <c r="Z650" i="3" s="1"/>
  <c r="BD647" i="3"/>
  <c r="BG647" i="3"/>
  <c r="BH647" i="3" s="1"/>
  <c r="BI647" i="3" s="1"/>
  <c r="AX649" i="3"/>
  <c r="AY649" i="3" s="1"/>
  <c r="AN650" i="3"/>
  <c r="AY648" i="3"/>
  <c r="AU649" i="3"/>
  <c r="AG650" i="3"/>
  <c r="AT650" i="3"/>
  <c r="BC648" i="3"/>
  <c r="AU650" i="3"/>
  <c r="BQ647" i="3"/>
  <c r="BB647" i="3"/>
  <c r="BF647" i="3"/>
  <c r="BJ646" i="3" s="1"/>
  <c r="BK646" i="3" s="1"/>
  <c r="X650" i="3"/>
  <c r="AX650" i="3" l="1"/>
  <c r="AN651" i="3"/>
  <c r="Y651" i="3"/>
  <c r="Z651" i="3" s="1"/>
  <c r="AW650" i="3"/>
  <c r="AY650" i="3" s="1"/>
  <c r="X651" i="3"/>
  <c r="C652" i="3"/>
  <c r="A653" i="3"/>
  <c r="AR652" i="3"/>
  <c r="B652" i="3"/>
  <c r="AQ652" i="3"/>
  <c r="D652" i="3"/>
  <c r="F652" i="3"/>
  <c r="G652" i="3"/>
  <c r="H652" i="3" s="1"/>
  <c r="Q652" i="3"/>
  <c r="S652" i="3"/>
  <c r="O652" i="3"/>
  <c r="U652" i="3"/>
  <c r="M652" i="3"/>
  <c r="AM652" i="3"/>
  <c r="AF652" i="3"/>
  <c r="AK652" i="3"/>
  <c r="AE652" i="3"/>
  <c r="AD652" i="3"/>
  <c r="T652" i="3"/>
  <c r="R652" i="3"/>
  <c r="V652" i="3"/>
  <c r="P652" i="3"/>
  <c r="AV650" i="3"/>
  <c r="BA650" i="3"/>
  <c r="BM651" i="3"/>
  <c r="AV649" i="3"/>
  <c r="BC649" i="3" s="1"/>
  <c r="BA649" i="3"/>
  <c r="AG651" i="3"/>
  <c r="AO651" i="3"/>
  <c r="BD648" i="3"/>
  <c r="BG648" i="3"/>
  <c r="BH648" i="3" s="1"/>
  <c r="BI648" i="3" s="1"/>
  <c r="AH651" i="3"/>
  <c r="BJ647" i="3"/>
  <c r="BK647" i="3" s="1"/>
  <c r="AN652" i="3" l="1"/>
  <c r="BF649" i="3"/>
  <c r="BJ648" i="3" s="1"/>
  <c r="BK648" i="3" s="1"/>
  <c r="BB649" i="3"/>
  <c r="BQ649" i="3"/>
  <c r="AX651" i="3"/>
  <c r="AW651" i="3"/>
  <c r="Y652" i="3"/>
  <c r="Z652" i="3" s="1"/>
  <c r="BD649" i="3"/>
  <c r="BG649" i="3"/>
  <c r="BH649" i="3" s="1"/>
  <c r="BI649" i="3" s="1"/>
  <c r="AR653" i="3"/>
  <c r="D653" i="3"/>
  <c r="C653" i="3"/>
  <c r="AQ653" i="3"/>
  <c r="B653" i="3"/>
  <c r="A654" i="3"/>
  <c r="G653" i="3"/>
  <c r="H653" i="3" s="1"/>
  <c r="F653" i="3"/>
  <c r="S653" i="3"/>
  <c r="Q653" i="3"/>
  <c r="O653" i="3"/>
  <c r="U653" i="3"/>
  <c r="AD653" i="3"/>
  <c r="M653" i="3"/>
  <c r="AK653" i="3"/>
  <c r="AM653" i="3"/>
  <c r="AE653" i="3"/>
  <c r="AF653" i="3"/>
  <c r="T653" i="3"/>
  <c r="P653" i="3"/>
  <c r="V653" i="3"/>
  <c r="R653" i="3"/>
  <c r="AG652" i="3"/>
  <c r="BC650" i="3"/>
  <c r="AO652" i="3"/>
  <c r="BN652" i="3"/>
  <c r="AT651" i="3"/>
  <c r="X652" i="3"/>
  <c r="BF650" i="3"/>
  <c r="BJ649" i="3" s="1"/>
  <c r="BK649" i="3" s="1"/>
  <c r="BB650" i="3"/>
  <c r="BQ650" i="3"/>
  <c r="AU651" i="3"/>
  <c r="AH652" i="3"/>
  <c r="BM652" i="3"/>
  <c r="AH653" i="3" l="1"/>
  <c r="AX652" i="3"/>
  <c r="AN653" i="3"/>
  <c r="Y653" i="3"/>
  <c r="Z653" i="3" s="1"/>
  <c r="X653" i="3"/>
  <c r="BA651" i="3"/>
  <c r="AV651" i="3"/>
  <c r="AU653" i="3"/>
  <c r="AU652" i="3"/>
  <c r="AQ654" i="3"/>
  <c r="AR654" i="3"/>
  <c r="B654" i="3"/>
  <c r="A655" i="3"/>
  <c r="D654" i="3"/>
  <c r="C654" i="3"/>
  <c r="G654" i="3"/>
  <c r="H654" i="3" s="1"/>
  <c r="BN654" i="3" s="1"/>
  <c r="F654" i="3"/>
  <c r="Q654" i="3"/>
  <c r="S654" i="3"/>
  <c r="O654" i="3"/>
  <c r="U654" i="3"/>
  <c r="M654" i="3"/>
  <c r="AK654" i="3"/>
  <c r="AM654" i="3"/>
  <c r="AE654" i="3"/>
  <c r="AF654" i="3"/>
  <c r="AD654" i="3"/>
  <c r="AH654" i="3" s="1"/>
  <c r="V654" i="3"/>
  <c r="T654" i="3"/>
  <c r="P654" i="3"/>
  <c r="R654" i="3"/>
  <c r="AY651" i="3"/>
  <c r="AG653" i="3"/>
  <c r="AT653" i="3" s="1"/>
  <c r="BD650" i="3"/>
  <c r="BG650" i="3"/>
  <c r="BH650" i="3" s="1"/>
  <c r="BI650" i="3" s="1"/>
  <c r="BM653" i="3"/>
  <c r="AW652" i="3"/>
  <c r="AO653" i="3"/>
  <c r="BN653" i="3"/>
  <c r="AT652" i="3"/>
  <c r="AY652" i="3" l="1"/>
  <c r="AO654" i="3"/>
  <c r="X654" i="3"/>
  <c r="BC651" i="3"/>
  <c r="Y654" i="3"/>
  <c r="Z654" i="3" s="1"/>
  <c r="BB651" i="3"/>
  <c r="BF651" i="3"/>
  <c r="BJ650" i="3" s="1"/>
  <c r="BK650" i="3" s="1"/>
  <c r="BQ651" i="3"/>
  <c r="AN654" i="3"/>
  <c r="B655" i="3"/>
  <c r="A656" i="3"/>
  <c r="AQ655" i="3"/>
  <c r="AR655" i="3"/>
  <c r="C655" i="3"/>
  <c r="D655" i="3"/>
  <c r="F655" i="3"/>
  <c r="G655" i="3"/>
  <c r="H655" i="3" s="1"/>
  <c r="Q655" i="3"/>
  <c r="S655" i="3"/>
  <c r="O655" i="3"/>
  <c r="U655" i="3"/>
  <c r="AK655" i="3"/>
  <c r="AF655" i="3"/>
  <c r="AE655" i="3"/>
  <c r="AM655" i="3"/>
  <c r="M655" i="3"/>
  <c r="AD655" i="3"/>
  <c r="R655" i="3"/>
  <c r="V655" i="3"/>
  <c r="P655" i="3"/>
  <c r="T655" i="3"/>
  <c r="AV653" i="3"/>
  <c r="BA652" i="3"/>
  <c r="AV652" i="3"/>
  <c r="BC652" i="3" s="1"/>
  <c r="AW653" i="3"/>
  <c r="AG654" i="3"/>
  <c r="BM654" i="3"/>
  <c r="AX653" i="3"/>
  <c r="AY653" i="3" s="1"/>
  <c r="AX654" i="3" l="1"/>
  <c r="AO655" i="3"/>
  <c r="AW654" i="3"/>
  <c r="AY654" i="3" s="1"/>
  <c r="X655" i="3"/>
  <c r="BA653" i="3"/>
  <c r="BB653" i="3" s="1"/>
  <c r="AT654" i="3"/>
  <c r="D656" i="3"/>
  <c r="AQ656" i="3"/>
  <c r="C656" i="3"/>
  <c r="A657" i="3"/>
  <c r="AR656" i="3"/>
  <c r="B656" i="3"/>
  <c r="F656" i="3"/>
  <c r="BM656" i="3" s="1"/>
  <c r="G656" i="3"/>
  <c r="H656" i="3" s="1"/>
  <c r="Q656" i="3"/>
  <c r="S656" i="3"/>
  <c r="O656" i="3"/>
  <c r="U656" i="3"/>
  <c r="AD656" i="3"/>
  <c r="AE656" i="3"/>
  <c r="AF656" i="3"/>
  <c r="AM656" i="3"/>
  <c r="AK656" i="3"/>
  <c r="M656" i="3"/>
  <c r="P656" i="3"/>
  <c r="R656" i="3"/>
  <c r="T656" i="3"/>
  <c r="V656" i="3"/>
  <c r="AH655" i="3"/>
  <c r="AN655" i="3"/>
  <c r="BN655" i="3"/>
  <c r="Y655" i="3"/>
  <c r="Z655" i="3" s="1"/>
  <c r="BD652" i="3"/>
  <c r="BG652" i="3"/>
  <c r="BH652" i="3" s="1"/>
  <c r="BI652" i="3" s="1"/>
  <c r="BB652" i="3"/>
  <c r="BQ652" i="3"/>
  <c r="BF652" i="3"/>
  <c r="BJ651" i="3" s="1"/>
  <c r="BK651" i="3" s="1"/>
  <c r="BD651" i="3"/>
  <c r="BG651" i="3"/>
  <c r="BH651" i="3" s="1"/>
  <c r="BI651" i="3" s="1"/>
  <c r="BC653" i="3"/>
  <c r="AG655" i="3"/>
  <c r="BM655" i="3"/>
  <c r="AU654" i="3"/>
  <c r="BF653" i="3" l="1"/>
  <c r="AT655" i="3"/>
  <c r="BQ653" i="3"/>
  <c r="AO656" i="3"/>
  <c r="BN656" i="3"/>
  <c r="AV654" i="3"/>
  <c r="BC654" i="3" s="1"/>
  <c r="BA654" i="3"/>
  <c r="AX655" i="3"/>
  <c r="AH656" i="3"/>
  <c r="BJ652" i="3"/>
  <c r="BK652" i="3" s="1"/>
  <c r="AN656" i="3"/>
  <c r="AG656" i="3"/>
  <c r="AR657" i="3"/>
  <c r="A658" i="3"/>
  <c r="D657" i="3"/>
  <c r="C657" i="3"/>
  <c r="AQ657" i="3"/>
  <c r="B657" i="3"/>
  <c r="G657" i="3"/>
  <c r="H657" i="3" s="1"/>
  <c r="F657" i="3"/>
  <c r="Q657" i="3"/>
  <c r="S657" i="3"/>
  <c r="O657" i="3"/>
  <c r="U657" i="3"/>
  <c r="AF657" i="3"/>
  <c r="AM657" i="3"/>
  <c r="AE657" i="3"/>
  <c r="AK657" i="3"/>
  <c r="AD657" i="3"/>
  <c r="M657" i="3"/>
  <c r="T657" i="3"/>
  <c r="V657" i="3"/>
  <c r="R657" i="3"/>
  <c r="P657" i="3"/>
  <c r="Y656" i="3"/>
  <c r="Z656" i="3" s="1"/>
  <c r="AW655" i="3"/>
  <c r="BD653" i="3"/>
  <c r="BG653" i="3"/>
  <c r="BH653" i="3" s="1"/>
  <c r="BI653" i="3" s="1"/>
  <c r="AU655" i="3"/>
  <c r="X656" i="3"/>
  <c r="AT656" i="3" l="1"/>
  <c r="BM657" i="3"/>
  <c r="AU656" i="3"/>
  <c r="AV656" i="3" s="1"/>
  <c r="BA655" i="3"/>
  <c r="BF655" i="3" s="1"/>
  <c r="AH657" i="3"/>
  <c r="AY655" i="3"/>
  <c r="AO657" i="3"/>
  <c r="AW656" i="3"/>
  <c r="Y657" i="3"/>
  <c r="Z657" i="3" s="1"/>
  <c r="X657" i="3"/>
  <c r="BG654" i="3"/>
  <c r="BH654" i="3" s="1"/>
  <c r="BI654" i="3" s="1"/>
  <c r="BD654" i="3"/>
  <c r="BB654" i="3"/>
  <c r="BQ654" i="3"/>
  <c r="BF654" i="3"/>
  <c r="BJ653" i="3" s="1"/>
  <c r="BK653" i="3" s="1"/>
  <c r="BN657" i="3"/>
  <c r="AG657" i="3"/>
  <c r="AN657" i="3"/>
  <c r="AV655" i="3"/>
  <c r="B658" i="3"/>
  <c r="AR658" i="3"/>
  <c r="AQ658" i="3"/>
  <c r="A659" i="3"/>
  <c r="C658" i="3"/>
  <c r="D658" i="3"/>
  <c r="F658" i="3"/>
  <c r="G658" i="3"/>
  <c r="H658" i="3" s="1"/>
  <c r="S658" i="3"/>
  <c r="Q658" i="3"/>
  <c r="O658" i="3"/>
  <c r="U658" i="3"/>
  <c r="AM658" i="3"/>
  <c r="AE658" i="3"/>
  <c r="AK658" i="3"/>
  <c r="AD658" i="3"/>
  <c r="AF658" i="3"/>
  <c r="M658" i="3"/>
  <c r="V658" i="3"/>
  <c r="T658" i="3"/>
  <c r="R658" i="3"/>
  <c r="P658" i="3"/>
  <c r="AX656" i="3"/>
  <c r="BA656" i="3" l="1"/>
  <c r="BQ655" i="3"/>
  <c r="BB655" i="3"/>
  <c r="AY656" i="3"/>
  <c r="BC656" i="3" s="1"/>
  <c r="BC655" i="3"/>
  <c r="BG655" i="3" s="1"/>
  <c r="BH655" i="3" s="1"/>
  <c r="BI655" i="3" s="1"/>
  <c r="AX657" i="3"/>
  <c r="AG658" i="3"/>
  <c r="AU658" i="3" s="1"/>
  <c r="AW657" i="3"/>
  <c r="AY657" i="3" s="1"/>
  <c r="AN658" i="3"/>
  <c r="BB656" i="3"/>
  <c r="BQ656" i="3"/>
  <c r="BF656" i="3"/>
  <c r="BJ655" i="3" s="1"/>
  <c r="BK655" i="3" s="1"/>
  <c r="BJ654" i="3"/>
  <c r="BK654" i="3" s="1"/>
  <c r="A660" i="3"/>
  <c r="C659" i="3"/>
  <c r="D659" i="3"/>
  <c r="B659" i="3"/>
  <c r="AR659" i="3"/>
  <c r="AQ659" i="3"/>
  <c r="F659" i="3"/>
  <c r="G659" i="3"/>
  <c r="H659" i="3" s="1"/>
  <c r="Q659" i="3"/>
  <c r="S659" i="3"/>
  <c r="O659" i="3"/>
  <c r="U659" i="3"/>
  <c r="AF659" i="3"/>
  <c r="M659" i="3"/>
  <c r="AE659" i="3"/>
  <c r="AM659" i="3"/>
  <c r="AK659" i="3"/>
  <c r="AD659" i="3"/>
  <c r="V659" i="3"/>
  <c r="T659" i="3"/>
  <c r="P659" i="3"/>
  <c r="R659" i="3"/>
  <c r="BN658" i="3"/>
  <c r="AT657" i="3"/>
  <c r="X658" i="3"/>
  <c r="Y658" i="3"/>
  <c r="Z658" i="3" s="1"/>
  <c r="AU657" i="3"/>
  <c r="AH658" i="3"/>
  <c r="AO658" i="3"/>
  <c r="BM658" i="3"/>
  <c r="BN659" i="3" l="1"/>
  <c r="BD655" i="3"/>
  <c r="AT658" i="3"/>
  <c r="AV658" i="3" s="1"/>
  <c r="AH659" i="3"/>
  <c r="AO659" i="3"/>
  <c r="AN659" i="3"/>
  <c r="BA657" i="3"/>
  <c r="AV657" i="3"/>
  <c r="BC657" i="3" s="1"/>
  <c r="BM659" i="3"/>
  <c r="BD656" i="3"/>
  <c r="BG656" i="3"/>
  <c r="BH656" i="3" s="1"/>
  <c r="BI656" i="3" s="1"/>
  <c r="AX658" i="3"/>
  <c r="C660" i="3"/>
  <c r="A661" i="3"/>
  <c r="AR660" i="3"/>
  <c r="D660" i="3"/>
  <c r="AQ660" i="3"/>
  <c r="B660" i="3"/>
  <c r="G660" i="3"/>
  <c r="H660" i="3" s="1"/>
  <c r="F660" i="3"/>
  <c r="S660" i="3"/>
  <c r="Q660" i="3"/>
  <c r="O660" i="3"/>
  <c r="U660" i="3"/>
  <c r="M660" i="3"/>
  <c r="AK660" i="3"/>
  <c r="AM660" i="3"/>
  <c r="AN660" i="3" s="1"/>
  <c r="AD660" i="3"/>
  <c r="AF660" i="3"/>
  <c r="AE660" i="3"/>
  <c r="T660" i="3"/>
  <c r="R660" i="3"/>
  <c r="P660" i="3"/>
  <c r="V660" i="3"/>
  <c r="AG659" i="3"/>
  <c r="AW658" i="3"/>
  <c r="BA658" i="3" s="1"/>
  <c r="AT659" i="3"/>
  <c r="X659" i="3"/>
  <c r="Y659" i="3"/>
  <c r="Z659" i="3" s="1"/>
  <c r="AW659" i="3" l="1"/>
  <c r="AG660" i="3"/>
  <c r="AU659" i="3"/>
  <c r="AX659" i="3"/>
  <c r="AY659" i="3" s="1"/>
  <c r="X660" i="3"/>
  <c r="B661" i="3"/>
  <c r="A662" i="3"/>
  <c r="AR661" i="3"/>
  <c r="C661" i="3"/>
  <c r="D661" i="3"/>
  <c r="AQ661" i="3"/>
  <c r="G661" i="3"/>
  <c r="H661" i="3" s="1"/>
  <c r="BN661" i="3" s="1"/>
  <c r="F661" i="3"/>
  <c r="BM661" i="3" s="1"/>
  <c r="S661" i="3"/>
  <c r="Q661" i="3"/>
  <c r="O661" i="3"/>
  <c r="U661" i="3"/>
  <c r="AE661" i="3"/>
  <c r="AM661" i="3"/>
  <c r="AK661" i="3"/>
  <c r="AO661" i="3" s="1"/>
  <c r="AF661" i="3"/>
  <c r="AD661" i="3"/>
  <c r="M661" i="3"/>
  <c r="V661" i="3"/>
  <c r="P661" i="3"/>
  <c r="T661" i="3"/>
  <c r="R661" i="3"/>
  <c r="AV659" i="3"/>
  <c r="BA659" i="3"/>
  <c r="BD657" i="3"/>
  <c r="BG657" i="3"/>
  <c r="BH657" i="3" s="1"/>
  <c r="BI657" i="3" s="1"/>
  <c r="BN660" i="3"/>
  <c r="BM660" i="3"/>
  <c r="BB657" i="3"/>
  <c r="BF657" i="3"/>
  <c r="BJ656" i="3" s="1"/>
  <c r="BK656" i="3" s="1"/>
  <c r="BQ657" i="3"/>
  <c r="AY658" i="3"/>
  <c r="BC658" i="3" s="1"/>
  <c r="AO660" i="3"/>
  <c r="AW660" i="3" s="1"/>
  <c r="BF658" i="3"/>
  <c r="BJ657" i="3" s="1"/>
  <c r="BK657" i="3" s="1"/>
  <c r="BB658" i="3"/>
  <c r="BQ658" i="3"/>
  <c r="AH660" i="3"/>
  <c r="AT660" i="3" s="1"/>
  <c r="Y660" i="3"/>
  <c r="Z660" i="3" s="1"/>
  <c r="AU660" i="3"/>
  <c r="BC659" i="3" l="1"/>
  <c r="Y661" i="3"/>
  <c r="Z661" i="3" s="1"/>
  <c r="BD658" i="3"/>
  <c r="BG658" i="3"/>
  <c r="BH658" i="3" s="1"/>
  <c r="BI658" i="3" s="1"/>
  <c r="BB659" i="3"/>
  <c r="BQ659" i="3"/>
  <c r="BF659" i="3"/>
  <c r="BJ658" i="3" s="1"/>
  <c r="BK658" i="3" s="1"/>
  <c r="BA660" i="3"/>
  <c r="AV660" i="3"/>
  <c r="AX660" i="3"/>
  <c r="AY660" i="3" s="1"/>
  <c r="AQ662" i="3"/>
  <c r="C662" i="3"/>
  <c r="D662" i="3"/>
  <c r="AR662" i="3"/>
  <c r="A663" i="3"/>
  <c r="B662" i="3"/>
  <c r="G662" i="3"/>
  <c r="H662" i="3" s="1"/>
  <c r="F662" i="3"/>
  <c r="S662" i="3"/>
  <c r="Q662" i="3"/>
  <c r="O662" i="3"/>
  <c r="U662" i="3"/>
  <c r="AM662" i="3"/>
  <c r="AK662" i="3"/>
  <c r="AD662" i="3"/>
  <c r="M662" i="3"/>
  <c r="AF662" i="3"/>
  <c r="AE662" i="3"/>
  <c r="AG662" i="3" s="1"/>
  <c r="V662" i="3"/>
  <c r="R662" i="3"/>
  <c r="P662" i="3"/>
  <c r="T662" i="3"/>
  <c r="AH661" i="3"/>
  <c r="BD659" i="3"/>
  <c r="BG659" i="3"/>
  <c r="BH659" i="3" s="1"/>
  <c r="BI659" i="3" s="1"/>
  <c r="AN661" i="3"/>
  <c r="AG661" i="3"/>
  <c r="X661" i="3"/>
  <c r="AW661" i="3" l="1"/>
  <c r="AN662" i="3"/>
  <c r="X662" i="3"/>
  <c r="AO662" i="3"/>
  <c r="BC660" i="3"/>
  <c r="AR663" i="3"/>
  <c r="A664" i="3"/>
  <c r="C663" i="3"/>
  <c r="D663" i="3"/>
  <c r="AQ663" i="3"/>
  <c r="B663" i="3"/>
  <c r="G663" i="3"/>
  <c r="H663" i="3" s="1"/>
  <c r="BN663" i="3" s="1"/>
  <c r="F663" i="3"/>
  <c r="S663" i="3"/>
  <c r="Q663" i="3"/>
  <c r="O663" i="3"/>
  <c r="U663" i="3"/>
  <c r="AE663" i="3"/>
  <c r="M663" i="3"/>
  <c r="AK663" i="3"/>
  <c r="AM663" i="3"/>
  <c r="AN663" i="3" s="1"/>
  <c r="AF663" i="3"/>
  <c r="AD663" i="3"/>
  <c r="V663" i="3"/>
  <c r="T663" i="3"/>
  <c r="R663" i="3"/>
  <c r="P663" i="3"/>
  <c r="Y662" i="3"/>
  <c r="Z662" i="3" s="1"/>
  <c r="BM662" i="3"/>
  <c r="BB660" i="3"/>
  <c r="BQ660" i="3"/>
  <c r="BF660" i="3"/>
  <c r="BJ659" i="3" s="1"/>
  <c r="BK659" i="3" s="1"/>
  <c r="AU661" i="3"/>
  <c r="AX661" i="3"/>
  <c r="AY661" i="3" s="1"/>
  <c r="AH662" i="3"/>
  <c r="BN662" i="3"/>
  <c r="AT661" i="3"/>
  <c r="Y663" i="3" l="1"/>
  <c r="Z663" i="3" s="1"/>
  <c r="AH663" i="3"/>
  <c r="AX662" i="3"/>
  <c r="X663" i="3"/>
  <c r="BA661" i="3"/>
  <c r="AV661" i="3"/>
  <c r="BC661" i="3" s="1"/>
  <c r="BM663" i="3"/>
  <c r="AW662" i="3"/>
  <c r="AY662" i="3" s="1"/>
  <c r="AT662" i="3"/>
  <c r="AO663" i="3"/>
  <c r="BG660" i="3"/>
  <c r="BH660" i="3" s="1"/>
  <c r="BI660" i="3" s="1"/>
  <c r="BD660" i="3"/>
  <c r="A665" i="3"/>
  <c r="AR664" i="3"/>
  <c r="AQ664" i="3"/>
  <c r="B664" i="3"/>
  <c r="C664" i="3"/>
  <c r="D664" i="3"/>
  <c r="G664" i="3"/>
  <c r="H664" i="3" s="1"/>
  <c r="BN664" i="3" s="1"/>
  <c r="F664" i="3"/>
  <c r="BM664" i="3" s="1"/>
  <c r="Q664" i="3"/>
  <c r="S664" i="3"/>
  <c r="O664" i="3"/>
  <c r="U664" i="3"/>
  <c r="AF664" i="3"/>
  <c r="AD664" i="3"/>
  <c r="AK664" i="3"/>
  <c r="AM664" i="3"/>
  <c r="AN664" i="3" s="1"/>
  <c r="M664" i="3"/>
  <c r="AE664" i="3"/>
  <c r="AG664" i="3" s="1"/>
  <c r="V664" i="3"/>
  <c r="T664" i="3"/>
  <c r="R664" i="3"/>
  <c r="P664" i="3"/>
  <c r="AU662" i="3"/>
  <c r="AG663" i="3"/>
  <c r="AW663" i="3" s="1"/>
  <c r="AU663" i="3" l="1"/>
  <c r="X664" i="3"/>
  <c r="AT663" i="3"/>
  <c r="AV663" i="3"/>
  <c r="AQ665" i="3"/>
  <c r="B665" i="3"/>
  <c r="C665" i="3"/>
  <c r="D665" i="3"/>
  <c r="AR665" i="3"/>
  <c r="A666" i="3"/>
  <c r="F665" i="3"/>
  <c r="G665" i="3"/>
  <c r="H665" i="3" s="1"/>
  <c r="Q665" i="3"/>
  <c r="S665" i="3"/>
  <c r="O665" i="3"/>
  <c r="U665" i="3"/>
  <c r="AK665" i="3"/>
  <c r="AM665" i="3"/>
  <c r="AD665" i="3"/>
  <c r="AF665" i="3"/>
  <c r="AE665" i="3"/>
  <c r="AG665" i="3" s="1"/>
  <c r="M665" i="3"/>
  <c r="V665" i="3"/>
  <c r="R665" i="3"/>
  <c r="T665" i="3"/>
  <c r="P665" i="3"/>
  <c r="AO664" i="3"/>
  <c r="Y664" i="3"/>
  <c r="Z664" i="3" s="1"/>
  <c r="AW664" i="3"/>
  <c r="BD661" i="3"/>
  <c r="BG661" i="3"/>
  <c r="BH661" i="3" s="1"/>
  <c r="BI661" i="3" s="1"/>
  <c r="BB661" i="3"/>
  <c r="BQ661" i="3"/>
  <c r="BF661" i="3"/>
  <c r="BJ660" i="3" s="1"/>
  <c r="BK660" i="3" s="1"/>
  <c r="AH664" i="3"/>
  <c r="BA662" i="3"/>
  <c r="AV662" i="3"/>
  <c r="BC662" i="3" s="1"/>
  <c r="AX663" i="3"/>
  <c r="BN665" i="3" l="1"/>
  <c r="AX664" i="3"/>
  <c r="AY664" i="3" s="1"/>
  <c r="AO665" i="3"/>
  <c r="BA663" i="3"/>
  <c r="BB663" i="3" s="1"/>
  <c r="BQ663" i="3"/>
  <c r="BF663" i="3"/>
  <c r="X665" i="3"/>
  <c r="Y665" i="3"/>
  <c r="Z665" i="3" s="1"/>
  <c r="AH665" i="3"/>
  <c r="BM665" i="3"/>
  <c r="AU664" i="3"/>
  <c r="BG662" i="3"/>
  <c r="BH662" i="3" s="1"/>
  <c r="BI662" i="3" s="1"/>
  <c r="BD662" i="3"/>
  <c r="BF662" i="3"/>
  <c r="BJ661" i="3" s="1"/>
  <c r="BK661" i="3" s="1"/>
  <c r="BQ662" i="3"/>
  <c r="BB662" i="3"/>
  <c r="AY663" i="3"/>
  <c r="BC663" i="3" s="1"/>
  <c r="AN665" i="3"/>
  <c r="C666" i="3"/>
  <c r="D666" i="3"/>
  <c r="AQ666" i="3"/>
  <c r="A667" i="3"/>
  <c r="AR666" i="3"/>
  <c r="B666" i="3"/>
  <c r="G666" i="3"/>
  <c r="H666" i="3" s="1"/>
  <c r="F666" i="3"/>
  <c r="Q666" i="3"/>
  <c r="S666" i="3"/>
  <c r="O666" i="3"/>
  <c r="U666" i="3"/>
  <c r="AM666" i="3"/>
  <c r="AK666" i="3"/>
  <c r="AE666" i="3"/>
  <c r="AF666" i="3"/>
  <c r="M666" i="3"/>
  <c r="AD666" i="3"/>
  <c r="R666" i="3"/>
  <c r="V666" i="3"/>
  <c r="T666" i="3"/>
  <c r="P666" i="3"/>
  <c r="AT664" i="3"/>
  <c r="BN666" i="3" l="1"/>
  <c r="AO666" i="3"/>
  <c r="AX665" i="3"/>
  <c r="AG666" i="3"/>
  <c r="X666" i="3"/>
  <c r="BD663" i="3"/>
  <c r="BG663" i="3"/>
  <c r="BH663" i="3" s="1"/>
  <c r="BI663" i="3" s="1"/>
  <c r="AH666" i="3"/>
  <c r="BJ662" i="3"/>
  <c r="BK662" i="3" s="1"/>
  <c r="AN666" i="3"/>
  <c r="Y666" i="3"/>
  <c r="Z666" i="3" s="1"/>
  <c r="A668" i="3"/>
  <c r="AQ667" i="3"/>
  <c r="AR667" i="3"/>
  <c r="B667" i="3"/>
  <c r="C667" i="3"/>
  <c r="D667" i="3"/>
  <c r="G667" i="3"/>
  <c r="H667" i="3" s="1"/>
  <c r="BN667" i="3" s="1"/>
  <c r="F667" i="3"/>
  <c r="Q667" i="3"/>
  <c r="S667" i="3"/>
  <c r="O667" i="3"/>
  <c r="U667" i="3"/>
  <c r="AF667" i="3"/>
  <c r="M667" i="3"/>
  <c r="AM667" i="3"/>
  <c r="AK667" i="3"/>
  <c r="AD667" i="3"/>
  <c r="AE667" i="3"/>
  <c r="T667" i="3"/>
  <c r="P667" i="3"/>
  <c r="R667" i="3"/>
  <c r="V667" i="3"/>
  <c r="AW665" i="3"/>
  <c r="AT665" i="3"/>
  <c r="BA664" i="3"/>
  <c r="AV664" i="3"/>
  <c r="BC664" i="3" s="1"/>
  <c r="AU665" i="3"/>
  <c r="BM666" i="3"/>
  <c r="AY665" i="3" l="1"/>
  <c r="BM667" i="3"/>
  <c r="X667" i="3"/>
  <c r="AG667" i="3"/>
  <c r="AX666" i="3"/>
  <c r="AO667" i="3"/>
  <c r="BD664" i="3"/>
  <c r="BG664" i="3"/>
  <c r="BH664" i="3" s="1"/>
  <c r="BI664" i="3" s="1"/>
  <c r="AH667" i="3"/>
  <c r="A669" i="3"/>
  <c r="AR668" i="3"/>
  <c r="B668" i="3"/>
  <c r="AQ668" i="3"/>
  <c r="C668" i="3"/>
  <c r="D668" i="3"/>
  <c r="G668" i="3"/>
  <c r="H668" i="3" s="1"/>
  <c r="BN668" i="3" s="1"/>
  <c r="F668" i="3"/>
  <c r="S668" i="3"/>
  <c r="Q668" i="3"/>
  <c r="O668" i="3"/>
  <c r="U668" i="3"/>
  <c r="AK668" i="3"/>
  <c r="AE668" i="3"/>
  <c r="AF668" i="3"/>
  <c r="AM668" i="3"/>
  <c r="M668" i="3"/>
  <c r="AD668" i="3"/>
  <c r="V668" i="3"/>
  <c r="P668" i="3"/>
  <c r="T668" i="3"/>
  <c r="R668" i="3"/>
  <c r="BQ664" i="3"/>
  <c r="BB664" i="3"/>
  <c r="BF664" i="3"/>
  <c r="BJ663" i="3" s="1"/>
  <c r="BK663" i="3" s="1"/>
  <c r="AW666" i="3"/>
  <c r="AT666" i="3"/>
  <c r="AU666" i="3"/>
  <c r="AV665" i="3"/>
  <c r="BC665" i="3" s="1"/>
  <c r="BA665" i="3"/>
  <c r="AN667" i="3"/>
  <c r="Y667" i="3"/>
  <c r="Z667" i="3" s="1"/>
  <c r="AN668" i="3" l="1"/>
  <c r="BM668" i="3"/>
  <c r="AU667" i="3"/>
  <c r="Y668" i="3"/>
  <c r="Z668" i="3" s="1"/>
  <c r="AY666" i="3"/>
  <c r="AH668" i="3"/>
  <c r="X668" i="3"/>
  <c r="A670" i="3"/>
  <c r="AR669" i="3"/>
  <c r="D669" i="3"/>
  <c r="C669" i="3"/>
  <c r="AQ669" i="3"/>
  <c r="B669" i="3"/>
  <c r="F669" i="3"/>
  <c r="G669" i="3"/>
  <c r="H669" i="3" s="1"/>
  <c r="Q669" i="3"/>
  <c r="S669" i="3"/>
  <c r="O669" i="3"/>
  <c r="U669" i="3"/>
  <c r="AD669" i="3"/>
  <c r="AF669" i="3"/>
  <c r="M669" i="3"/>
  <c r="AM669" i="3"/>
  <c r="AK669" i="3"/>
  <c r="AO669" i="3" s="1"/>
  <c r="AE669" i="3"/>
  <c r="P669" i="3"/>
  <c r="T669" i="3"/>
  <c r="V669" i="3"/>
  <c r="R669" i="3"/>
  <c r="AX667" i="3"/>
  <c r="BF665" i="3"/>
  <c r="BJ664" i="3" s="1"/>
  <c r="BK664" i="3" s="1"/>
  <c r="BQ665" i="3"/>
  <c r="BB665" i="3"/>
  <c r="BD665" i="3"/>
  <c r="BG665" i="3"/>
  <c r="BH665" i="3" s="1"/>
  <c r="BI665" i="3" s="1"/>
  <c r="AW667" i="3"/>
  <c r="AG668" i="3"/>
  <c r="AV666" i="3"/>
  <c r="BC666" i="3" s="1"/>
  <c r="BA666" i="3"/>
  <c r="AO668" i="3"/>
  <c r="AT667" i="3"/>
  <c r="AU668" i="3" l="1"/>
  <c r="AT668" i="3"/>
  <c r="AX668" i="3"/>
  <c r="Y669" i="3"/>
  <c r="Z669" i="3" s="1"/>
  <c r="AH669" i="3"/>
  <c r="AV667" i="3"/>
  <c r="BA667" i="3"/>
  <c r="AG669" i="3"/>
  <c r="AT669" i="3" s="1"/>
  <c r="BF666" i="3"/>
  <c r="BJ665" i="3" s="1"/>
  <c r="BK665" i="3" s="1"/>
  <c r="BB666" i="3"/>
  <c r="BQ666" i="3"/>
  <c r="D670" i="3"/>
  <c r="C670" i="3"/>
  <c r="AR670" i="3"/>
  <c r="AQ670" i="3"/>
  <c r="B670" i="3"/>
  <c r="A671" i="3"/>
  <c r="F670" i="3"/>
  <c r="G670" i="3"/>
  <c r="H670" i="3" s="1"/>
  <c r="S670" i="3"/>
  <c r="Q670" i="3"/>
  <c r="O670" i="3"/>
  <c r="U670" i="3"/>
  <c r="AK670" i="3"/>
  <c r="AM670" i="3"/>
  <c r="AF670" i="3"/>
  <c r="AD670" i="3"/>
  <c r="AE670" i="3"/>
  <c r="M670" i="3"/>
  <c r="V670" i="3"/>
  <c r="P670" i="3"/>
  <c r="T670" i="3"/>
  <c r="R670" i="3"/>
  <c r="AN669" i="3"/>
  <c r="AV668" i="3"/>
  <c r="BM669" i="3"/>
  <c r="X669" i="3"/>
  <c r="BD666" i="3"/>
  <c r="BG666" i="3"/>
  <c r="BH666" i="3" s="1"/>
  <c r="BI666" i="3" s="1"/>
  <c r="BN669" i="3"/>
  <c r="AW668" i="3"/>
  <c r="AY667" i="3"/>
  <c r="AU669" i="3" l="1"/>
  <c r="BM670" i="3"/>
  <c r="AY668" i="3"/>
  <c r="AN670" i="3"/>
  <c r="AX669" i="3"/>
  <c r="BC668" i="3"/>
  <c r="BD668" i="3" s="1"/>
  <c r="AG670" i="3"/>
  <c r="BA668" i="3"/>
  <c r="BF668" i="3" s="1"/>
  <c r="BN670" i="3"/>
  <c r="AH670" i="3"/>
  <c r="AR671" i="3"/>
  <c r="B671" i="3"/>
  <c r="C671" i="3"/>
  <c r="D671" i="3"/>
  <c r="A672" i="3"/>
  <c r="AQ671" i="3"/>
  <c r="G671" i="3"/>
  <c r="H671" i="3" s="1"/>
  <c r="F671" i="3"/>
  <c r="S671" i="3"/>
  <c r="Q671" i="3"/>
  <c r="O671" i="3"/>
  <c r="U671" i="3"/>
  <c r="AK671" i="3"/>
  <c r="M671" i="3"/>
  <c r="AE671" i="3"/>
  <c r="AM671" i="3"/>
  <c r="AD671" i="3"/>
  <c r="AF671" i="3"/>
  <c r="V671" i="3"/>
  <c r="R671" i="3"/>
  <c r="P671" i="3"/>
  <c r="T671" i="3"/>
  <c r="AO670" i="3"/>
  <c r="Y670" i="3"/>
  <c r="Z670" i="3" s="1"/>
  <c r="BQ667" i="3"/>
  <c r="BF667" i="3"/>
  <c r="BJ666" i="3" s="1"/>
  <c r="BK666" i="3" s="1"/>
  <c r="BB667" i="3"/>
  <c r="AV669" i="3"/>
  <c r="X670" i="3"/>
  <c r="AW669" i="3"/>
  <c r="AY669" i="3" s="1"/>
  <c r="BC667" i="3"/>
  <c r="BJ667" i="3" l="1"/>
  <c r="BK667" i="3" s="1"/>
  <c r="BM671" i="3"/>
  <c r="BN671" i="3"/>
  <c r="AU670" i="3"/>
  <c r="BA669" i="3"/>
  <c r="BQ669" i="3" s="1"/>
  <c r="BQ668" i="3"/>
  <c r="BC669" i="3"/>
  <c r="BG669" i="3" s="1"/>
  <c r="BH669" i="3" s="1"/>
  <c r="BI669" i="3" s="1"/>
  <c r="BG668" i="3"/>
  <c r="BH668" i="3" s="1"/>
  <c r="BI668" i="3" s="1"/>
  <c r="BB668" i="3"/>
  <c r="AG671" i="3"/>
  <c r="AN671" i="3"/>
  <c r="AX670" i="3"/>
  <c r="X671" i="3"/>
  <c r="Y671" i="3"/>
  <c r="Z671" i="3" s="1"/>
  <c r="AO671" i="3"/>
  <c r="A673" i="3"/>
  <c r="AR672" i="3"/>
  <c r="B672" i="3"/>
  <c r="AQ672" i="3"/>
  <c r="C672" i="3"/>
  <c r="D672" i="3"/>
  <c r="F672" i="3"/>
  <c r="G672" i="3"/>
  <c r="H672" i="3" s="1"/>
  <c r="S672" i="3"/>
  <c r="Q672" i="3"/>
  <c r="O672" i="3"/>
  <c r="U672" i="3"/>
  <c r="AD672" i="3"/>
  <c r="AK672" i="3"/>
  <c r="AF672" i="3"/>
  <c r="AE672" i="3"/>
  <c r="AM672" i="3"/>
  <c r="M672" i="3"/>
  <c r="P672" i="3"/>
  <c r="V672" i="3"/>
  <c r="R672" i="3"/>
  <c r="T672" i="3"/>
  <c r="BD667" i="3"/>
  <c r="BG667" i="3"/>
  <c r="BH667" i="3" s="1"/>
  <c r="BI667" i="3" s="1"/>
  <c r="AT670" i="3"/>
  <c r="AH671" i="3"/>
  <c r="AW670" i="3"/>
  <c r="BD669" i="3" l="1"/>
  <c r="BM672" i="3"/>
  <c r="BF669" i="3"/>
  <c r="BJ668" i="3" s="1"/>
  <c r="BK668" i="3" s="1"/>
  <c r="AT671" i="3"/>
  <c r="AG672" i="3"/>
  <c r="BN672" i="3"/>
  <c r="BB669" i="3"/>
  <c r="AN672" i="3"/>
  <c r="AQ673" i="3"/>
  <c r="B673" i="3"/>
  <c r="C673" i="3"/>
  <c r="D673" i="3"/>
  <c r="AR673" i="3"/>
  <c r="A674" i="3"/>
  <c r="F673" i="3"/>
  <c r="BM673" i="3" s="1"/>
  <c r="G673" i="3"/>
  <c r="H673" i="3" s="1"/>
  <c r="BN673" i="3" s="1"/>
  <c r="Q673" i="3"/>
  <c r="S673" i="3"/>
  <c r="O673" i="3"/>
  <c r="U673" i="3"/>
  <c r="AK673" i="3"/>
  <c r="AF673" i="3"/>
  <c r="AM673" i="3"/>
  <c r="AD673" i="3"/>
  <c r="AE673" i="3"/>
  <c r="M673" i="3"/>
  <c r="V673" i="3"/>
  <c r="P673" i="3"/>
  <c r="T673" i="3"/>
  <c r="R673" i="3"/>
  <c r="Y672" i="3"/>
  <c r="Z672" i="3" s="1"/>
  <c r="BA670" i="3"/>
  <c r="AV670" i="3"/>
  <c r="AW671" i="3"/>
  <c r="AX671" i="3"/>
  <c r="AH672" i="3"/>
  <c r="AO672" i="3"/>
  <c r="AU671" i="3"/>
  <c r="AV671" i="3" s="1"/>
  <c r="X672" i="3"/>
  <c r="AY670" i="3"/>
  <c r="AN673" i="3" l="1"/>
  <c r="AX672" i="3"/>
  <c r="BA671" i="3"/>
  <c r="BQ671" i="3" s="1"/>
  <c r="AU672" i="3"/>
  <c r="BB671" i="3"/>
  <c r="BF671" i="3"/>
  <c r="AY671" i="3"/>
  <c r="BC671" i="3" s="1"/>
  <c r="AH673" i="3"/>
  <c r="AO673" i="3"/>
  <c r="X673" i="3"/>
  <c r="BC670" i="3"/>
  <c r="C674" i="3"/>
  <c r="D674" i="3"/>
  <c r="AR674" i="3"/>
  <c r="B674" i="3"/>
  <c r="AQ674" i="3"/>
  <c r="A675" i="3"/>
  <c r="F674" i="3"/>
  <c r="G674" i="3"/>
  <c r="H674" i="3" s="1"/>
  <c r="Q674" i="3"/>
  <c r="S674" i="3"/>
  <c r="O674" i="3"/>
  <c r="U674" i="3"/>
  <c r="AM674" i="3"/>
  <c r="AD674" i="3"/>
  <c r="AK674" i="3"/>
  <c r="AF674" i="3"/>
  <c r="M674" i="3"/>
  <c r="AE674" i="3"/>
  <c r="V674" i="3"/>
  <c r="P674" i="3"/>
  <c r="R674" i="3"/>
  <c r="T674" i="3"/>
  <c r="BQ670" i="3"/>
  <c r="BB670" i="3"/>
  <c r="BF670" i="3"/>
  <c r="BJ669" i="3" s="1"/>
  <c r="BK669" i="3" s="1"/>
  <c r="Y673" i="3"/>
  <c r="Z673" i="3" s="1"/>
  <c r="AW672" i="3"/>
  <c r="AY672" i="3" s="1"/>
  <c r="AT672" i="3"/>
  <c r="AG673" i="3"/>
  <c r="BM674" i="3" l="1"/>
  <c r="AT673" i="3"/>
  <c r="AO674" i="3"/>
  <c r="AH674" i="3"/>
  <c r="BJ670" i="3"/>
  <c r="BK670" i="3" s="1"/>
  <c r="BD671" i="3"/>
  <c r="BG671" i="3"/>
  <c r="BH671" i="3" s="1"/>
  <c r="BI671" i="3" s="1"/>
  <c r="A676" i="3"/>
  <c r="AQ675" i="3"/>
  <c r="AR675" i="3"/>
  <c r="B675" i="3"/>
  <c r="D675" i="3"/>
  <c r="C675" i="3"/>
  <c r="F675" i="3"/>
  <c r="BM675" i="3" s="1"/>
  <c r="G675" i="3"/>
  <c r="H675" i="3" s="1"/>
  <c r="S675" i="3"/>
  <c r="Q675" i="3"/>
  <c r="O675" i="3"/>
  <c r="U675" i="3"/>
  <c r="AE675" i="3"/>
  <c r="M675" i="3"/>
  <c r="AD675" i="3"/>
  <c r="AM675" i="3"/>
  <c r="AK675" i="3"/>
  <c r="AF675" i="3"/>
  <c r="R675" i="3"/>
  <c r="V675" i="3"/>
  <c r="T675" i="3"/>
  <c r="P675" i="3"/>
  <c r="AN674" i="3"/>
  <c r="AX673" i="3"/>
  <c r="Y674" i="3"/>
  <c r="Z674" i="3" s="1"/>
  <c r="AG674" i="3"/>
  <c r="BA672" i="3"/>
  <c r="AV672" i="3"/>
  <c r="BC672" i="3" s="1"/>
  <c r="X674" i="3"/>
  <c r="AU673" i="3"/>
  <c r="AW673" i="3"/>
  <c r="BN674" i="3"/>
  <c r="BG670" i="3"/>
  <c r="BH670" i="3" s="1"/>
  <c r="BI670" i="3" s="1"/>
  <c r="BD670" i="3"/>
  <c r="AW674" i="3" l="1"/>
  <c r="AO675" i="3"/>
  <c r="AX674" i="3"/>
  <c r="AY674" i="3" s="1"/>
  <c r="BA673" i="3"/>
  <c r="BQ673" i="3" s="1"/>
  <c r="AY673" i="3"/>
  <c r="AG675" i="3"/>
  <c r="Y675" i="3"/>
  <c r="Z675" i="3" s="1"/>
  <c r="BF673" i="3"/>
  <c r="X675" i="3"/>
  <c r="BD672" i="3"/>
  <c r="BG672" i="3"/>
  <c r="BH672" i="3" s="1"/>
  <c r="BI672" i="3" s="1"/>
  <c r="AQ676" i="3"/>
  <c r="AR676" i="3"/>
  <c r="D676" i="3"/>
  <c r="B676" i="3"/>
  <c r="C676" i="3"/>
  <c r="G676" i="3"/>
  <c r="H676" i="3" s="1"/>
  <c r="F676" i="3"/>
  <c r="Q676" i="3"/>
  <c r="S676" i="3"/>
  <c r="O676" i="3"/>
  <c r="U676" i="3"/>
  <c r="AM676" i="3"/>
  <c r="AK676" i="3"/>
  <c r="AE676" i="3"/>
  <c r="AD676" i="3"/>
  <c r="M676" i="3"/>
  <c r="AF676" i="3"/>
  <c r="R676" i="3"/>
  <c r="V676" i="3"/>
  <c r="P676" i="3"/>
  <c r="T676" i="3"/>
  <c r="BB672" i="3"/>
  <c r="BQ672" i="3"/>
  <c r="BF672" i="3"/>
  <c r="BJ671" i="3" s="1"/>
  <c r="BK671" i="3" s="1"/>
  <c r="AN675" i="3"/>
  <c r="BN675" i="3"/>
  <c r="AT674" i="3"/>
  <c r="AH675" i="3"/>
  <c r="AX675" i="3" s="1"/>
  <c r="AU674" i="3"/>
  <c r="AV673" i="3"/>
  <c r="BB673" i="3" l="1"/>
  <c r="BC673" i="3"/>
  <c r="BD673" i="3" s="1"/>
  <c r="AG676" i="3"/>
  <c r="AO676" i="3"/>
  <c r="X676" i="3"/>
  <c r="BN676" i="3"/>
  <c r="AU675" i="3"/>
  <c r="Y676" i="3"/>
  <c r="Z676" i="3" s="1"/>
  <c r="AN676" i="3"/>
  <c r="BA674" i="3"/>
  <c r="AV674" i="3"/>
  <c r="BC674" i="3" s="1"/>
  <c r="AT675" i="3"/>
  <c r="AW675" i="3"/>
  <c r="AY675" i="3" s="1"/>
  <c r="AH676" i="3"/>
  <c r="AU676" i="3" s="1"/>
  <c r="BM676" i="3"/>
  <c r="BJ672" i="3"/>
  <c r="BK672" i="3" s="1"/>
  <c r="AT676" i="3" l="1"/>
  <c r="BG673" i="3"/>
  <c r="BH673" i="3" s="1"/>
  <c r="BI673" i="3" s="1"/>
  <c r="AX676" i="3"/>
  <c r="AW676" i="3"/>
  <c r="AY676" i="3" s="1"/>
  <c r="BF674" i="3"/>
  <c r="BJ673" i="3" s="1"/>
  <c r="BK673" i="3" s="1"/>
  <c r="BB674" i="3"/>
  <c r="BQ674" i="3"/>
  <c r="BA676" i="3"/>
  <c r="AV676" i="3"/>
  <c r="BA675" i="3"/>
  <c r="AV675" i="3"/>
  <c r="BC675" i="3" s="1"/>
  <c r="BD674" i="3"/>
  <c r="BG674" i="3"/>
  <c r="BH674" i="3" s="1"/>
  <c r="BI674" i="3" s="1"/>
  <c r="BC676" i="3" l="1"/>
  <c r="BD675" i="3"/>
  <c r="BG675" i="3"/>
  <c r="BH675" i="3" s="1"/>
  <c r="BI675" i="3" s="1"/>
  <c r="BD676" i="3"/>
  <c r="BG676" i="3"/>
  <c r="BH676" i="3" s="1"/>
  <c r="BI676" i="3" s="1"/>
  <c r="BQ675" i="3"/>
  <c r="BB675" i="3"/>
  <c r="BF675" i="3"/>
  <c r="BJ674" i="3" s="1"/>
  <c r="BK674" i="3" s="1"/>
  <c r="BB676" i="3"/>
  <c r="BF676" i="3"/>
  <c r="BQ676" i="3"/>
  <c r="BJ676" i="3" l="1"/>
  <c r="BK676" i="3" s="1"/>
  <c r="BJ675" i="3"/>
  <c r="BK67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BDATSC</author>
    <author>Hegarty, Timothy</author>
  </authors>
  <commentList>
    <comment ref="A3" authorId="0" shapeId="0" xr:uid="{00000000-0006-0000-0000-000001000000}">
      <text>
        <r>
          <rPr>
            <b/>
            <sz val="11"/>
            <color indexed="10"/>
            <rFont val="Tahoma"/>
            <family val="2"/>
          </rPr>
          <t>Welcome to the LM5145/6/-Q1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LM5145/6/-Q1 synchronous buck controller</t>
        </r>
        <r>
          <rPr>
            <sz val="9"/>
            <color indexed="81"/>
            <rFont val="Tahoma"/>
            <family val="2"/>
          </rPr>
          <t xml:space="preserve">. As such, the user can expeditiously arrive at an optimized design by virtue of the following:
- Determine buck inductance, input and output capacitances
- Select components for switching frequency, soft-start, UVLO, and OCP
- Optimize compensation values and pole/zero placement in terms of control loop stability using crossover frquency as a performance metric
- Inspect regulator efficiency and component power dissipation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t>
        </r>
        <r>
          <rPr>
            <b/>
            <sz val="9"/>
            <color indexed="81"/>
            <rFont val="Tahoma"/>
            <family val="2"/>
          </rPr>
          <t xml:space="preserve"> </t>
        </r>
        <r>
          <rPr>
            <b/>
            <u/>
            <sz val="9"/>
            <color indexed="81"/>
            <rFont val="Tahoma"/>
            <family val="2"/>
          </rPr>
          <t>Also, set Windows zoom factor to 100% for correct schematic viewing.</t>
        </r>
        <r>
          <rPr>
            <sz val="9"/>
            <color indexed="81"/>
            <rFont val="Tahoma"/>
            <family val="2"/>
          </rPr>
          <t xml:space="preserve">
</t>
        </r>
        <r>
          <rPr>
            <u/>
            <sz val="9"/>
            <color indexed="12"/>
            <rFont val="Tahoma"/>
            <family val="2"/>
          </rPr>
          <t>www.ti.com/widevin</t>
        </r>
        <r>
          <rPr>
            <sz val="9"/>
            <color indexed="81"/>
            <rFont val="Tahoma"/>
            <family val="2"/>
          </rPr>
          <t xml:space="preserve">
</t>
        </r>
        <r>
          <rPr>
            <b/>
            <sz val="9"/>
            <color indexed="81"/>
            <rFont val="Tahoma"/>
            <family val="2"/>
          </rPr>
          <t xml:space="preserve">
Rev. B1, March 2025,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LM(2)5145/6/-Q1 product datasheets and EVM user's guides for more details.
</t>
        </r>
        <r>
          <rPr>
            <b/>
            <sz val="9"/>
            <color indexed="81"/>
            <rFont val="Tahoma"/>
            <family val="2"/>
          </rPr>
          <t>Rev. B1, Timothy Hegarty, Texas Instruments, Inc.</t>
        </r>
      </text>
    </comment>
    <comment ref="E6" authorId="0" shapeId="0" xr:uid="{00000000-0006-0000-0000-000003000000}">
      <text>
        <r>
          <rPr>
            <b/>
            <u/>
            <sz val="9"/>
            <color rgb="FF000000"/>
            <rFont val="Tahoma"/>
            <family val="2"/>
          </rPr>
          <t>Minimum Input Voltage</t>
        </r>
        <r>
          <rPr>
            <b/>
            <sz val="9"/>
            <color rgb="FF000000"/>
            <rFont val="Tahoma"/>
            <family val="2"/>
          </rPr>
          <t>:</t>
        </r>
        <r>
          <rPr>
            <sz val="9"/>
            <color rgb="FF000000"/>
            <rFont val="Tahoma"/>
            <family val="2"/>
          </rPr>
          <t xml:space="preserve">
</t>
        </r>
        <r>
          <rPr>
            <sz val="9"/>
            <color rgb="FF000000"/>
            <rFont val="Tahoma"/>
            <family val="2"/>
          </rPr>
          <t xml:space="preserve">Enter the nominal input voltage.
</t>
        </r>
        <r>
          <rPr>
            <sz val="9"/>
            <color rgb="FF000000"/>
            <rFont val="Tahoma"/>
            <family val="2"/>
          </rPr>
          <t xml:space="preserve">
</t>
        </r>
        <r>
          <rPr>
            <b/>
            <sz val="9"/>
            <color rgb="FF000000"/>
            <rFont val="Tahoma"/>
            <family val="2"/>
          </rPr>
          <t>The text in this cell is red if:</t>
        </r>
        <r>
          <rPr>
            <sz val="9"/>
            <color rgb="FF000000"/>
            <rFont val="Tahoma"/>
            <family val="2"/>
          </rPr>
          <t xml:space="preserve">
</t>
        </r>
        <r>
          <rPr>
            <sz val="9"/>
            <color rgb="FF000000"/>
            <rFont val="Tahoma"/>
            <family val="2"/>
          </rPr>
          <t xml:space="preserve">-The input voltage is above </t>
        </r>
        <r>
          <rPr>
            <b/>
            <sz val="9"/>
            <color rgb="FFFF0000"/>
            <rFont val="Tahoma"/>
            <family val="2"/>
          </rPr>
          <t>42V (LM25145), 75V (LM5145) or 100V (LM5146)</t>
        </r>
        <r>
          <rPr>
            <sz val="9"/>
            <color rgb="FF000000"/>
            <rFont val="Tahoma"/>
            <family val="2"/>
          </rPr>
          <t xml:space="preserve">
</t>
        </r>
        <r>
          <rPr>
            <sz val="9"/>
            <color rgb="FF000000"/>
            <rFont val="Tahoma"/>
            <family val="2"/>
          </rPr>
          <t xml:space="preserve">-The input voltage is below </t>
        </r>
        <r>
          <rPr>
            <b/>
            <sz val="9"/>
            <color rgb="FFFF0000"/>
            <rFont val="Tahoma"/>
            <family val="2"/>
          </rPr>
          <t xml:space="preserve">5.5V (LM5146) or 6V (LM25145, LM5145)
</t>
        </r>
        <r>
          <rPr>
            <b/>
            <sz val="9"/>
            <color rgb="FFFF0000"/>
            <rFont val="Tahoma"/>
            <family val="2"/>
          </rPr>
          <t>-</t>
        </r>
        <r>
          <rPr>
            <sz val="9"/>
            <color rgb="FF000000"/>
            <rFont val="Tahoma"/>
            <family val="2"/>
          </rPr>
          <t xml:space="preserve">The minimum PWM off-time of </t>
        </r>
        <r>
          <rPr>
            <b/>
            <sz val="9"/>
            <color rgb="FFFF0000"/>
            <rFont val="Tahoma"/>
            <family val="2"/>
          </rPr>
          <t>140ns</t>
        </r>
        <r>
          <rPr>
            <sz val="9"/>
            <color rgb="FF000000"/>
            <rFont val="Tahoma"/>
            <family val="2"/>
          </rPr>
          <t xml:space="preserve"> is reached</t>
        </r>
      </text>
    </comment>
    <comment ref="E7" authorId="0" shapeId="0" xr:uid="{00000000-0006-0000-0000-000004000000}">
      <text>
        <r>
          <rPr>
            <b/>
            <u/>
            <sz val="9"/>
            <color rgb="FF000000"/>
            <rFont val="Tahoma"/>
            <family val="2"/>
          </rPr>
          <t>Nominal Input Voltage</t>
        </r>
        <r>
          <rPr>
            <b/>
            <sz val="9"/>
            <color rgb="FF000000"/>
            <rFont val="Tahoma"/>
            <family val="2"/>
          </rPr>
          <t>:</t>
        </r>
        <r>
          <rPr>
            <sz val="9"/>
            <color rgb="FF000000"/>
            <rFont val="Tahoma"/>
            <family val="2"/>
          </rPr>
          <t xml:space="preserve">
</t>
        </r>
        <r>
          <rPr>
            <sz val="9"/>
            <color rgb="FF000000"/>
            <rFont val="Tahoma"/>
            <family val="2"/>
          </rPr>
          <t xml:space="preserve">Enter the nominal input voltage.
</t>
        </r>
        <r>
          <rPr>
            <sz val="9"/>
            <color rgb="FF000000"/>
            <rFont val="Tahoma"/>
            <family val="2"/>
          </rPr>
          <t xml:space="preserve">
</t>
        </r>
        <r>
          <rPr>
            <b/>
            <sz val="9"/>
            <color rgb="FF000000"/>
            <rFont val="Tahoma"/>
            <family val="2"/>
          </rPr>
          <t>The text in this cell is red if:</t>
        </r>
        <r>
          <rPr>
            <sz val="9"/>
            <color rgb="FF000000"/>
            <rFont val="Tahoma"/>
            <family val="2"/>
          </rPr>
          <t xml:space="preserve">
</t>
        </r>
        <r>
          <rPr>
            <sz val="9"/>
            <color rgb="FF000000"/>
            <rFont val="Tahoma"/>
            <family val="2"/>
          </rPr>
          <t xml:space="preserve">-The input voltage is above </t>
        </r>
        <r>
          <rPr>
            <b/>
            <sz val="9"/>
            <color rgb="FFFF0000"/>
            <rFont val="Tahoma"/>
            <family val="2"/>
          </rPr>
          <t>42V (LM25145), 75V (LM5145) or 100V (LM5146)</t>
        </r>
        <r>
          <rPr>
            <sz val="9"/>
            <color rgb="FF000000"/>
            <rFont val="Tahoma"/>
            <family val="2"/>
          </rPr>
          <t xml:space="preserve">
</t>
        </r>
        <r>
          <rPr>
            <sz val="9"/>
            <color rgb="FF000000"/>
            <rFont val="Tahoma"/>
            <family val="2"/>
          </rPr>
          <t xml:space="preserve">-The input voltage is below </t>
        </r>
        <r>
          <rPr>
            <b/>
            <sz val="9"/>
            <color rgb="FFFF0000"/>
            <rFont val="Tahoma"/>
            <family val="2"/>
          </rPr>
          <t>5.5V (LM5146) or 6V (LM25145, LM5145)</t>
        </r>
      </text>
    </comment>
    <comment ref="E8" authorId="0" shapeId="0" xr:uid="{00000000-0006-0000-0000-000005000000}">
      <text>
        <r>
          <rPr>
            <b/>
            <u/>
            <sz val="9"/>
            <color rgb="FF000000"/>
            <rFont val="Tahoma"/>
            <family val="2"/>
          </rPr>
          <t>Maximum Input Voltage</t>
        </r>
        <r>
          <rPr>
            <b/>
            <sz val="9"/>
            <color rgb="FF000000"/>
            <rFont val="Tahoma"/>
            <family val="2"/>
          </rPr>
          <t>:</t>
        </r>
        <r>
          <rPr>
            <sz val="9"/>
            <color rgb="FF000000"/>
            <rFont val="Tahoma"/>
            <family val="2"/>
          </rPr>
          <t xml:space="preserve">
</t>
        </r>
        <r>
          <rPr>
            <sz val="9"/>
            <color rgb="FF000000"/>
            <rFont val="Tahoma"/>
            <family val="2"/>
          </rPr>
          <t xml:space="preserve">Enter the nominal input voltage.
</t>
        </r>
        <r>
          <rPr>
            <sz val="9"/>
            <color rgb="FF000000"/>
            <rFont val="Tahoma"/>
            <family val="2"/>
          </rPr>
          <t xml:space="preserve">
</t>
        </r>
        <r>
          <rPr>
            <b/>
            <sz val="9"/>
            <color rgb="FF000000"/>
            <rFont val="Tahoma"/>
            <family val="2"/>
          </rPr>
          <t>The text in this cell is red if:</t>
        </r>
        <r>
          <rPr>
            <sz val="9"/>
            <color rgb="FF000000"/>
            <rFont val="Tahoma"/>
            <family val="2"/>
          </rPr>
          <t xml:space="preserve">
</t>
        </r>
        <r>
          <rPr>
            <sz val="9"/>
            <color rgb="FF000000"/>
            <rFont val="Tahoma"/>
            <family val="2"/>
          </rPr>
          <t xml:space="preserve">-The input voltage is above </t>
        </r>
        <r>
          <rPr>
            <b/>
            <sz val="9"/>
            <color rgb="FFFF0000"/>
            <rFont val="Tahoma"/>
            <family val="2"/>
          </rPr>
          <t>42V (LM@5145), 75V (LM5145) or 100V (LM5146)</t>
        </r>
        <r>
          <rPr>
            <sz val="9"/>
            <color rgb="FF000000"/>
            <rFont val="Tahoma"/>
            <family val="2"/>
          </rPr>
          <t xml:space="preserve">
</t>
        </r>
        <r>
          <rPr>
            <sz val="9"/>
            <color rgb="FF000000"/>
            <rFont val="Tahoma"/>
            <family val="2"/>
          </rPr>
          <t xml:space="preserve">-The input voltage is below </t>
        </r>
        <r>
          <rPr>
            <b/>
            <sz val="9"/>
            <color rgb="FFFF0000"/>
            <rFont val="Tahoma"/>
            <family val="2"/>
          </rPr>
          <t xml:space="preserve">5.5V (LM5146) or 6V (LM25145, LM5145)
</t>
        </r>
        <r>
          <rPr>
            <sz val="9"/>
            <color rgb="FF000000"/>
            <rFont val="Tahoma"/>
            <family val="2"/>
          </rPr>
          <t xml:space="preserve">-The minimum PWM on-time of </t>
        </r>
        <r>
          <rPr>
            <b/>
            <sz val="9"/>
            <color rgb="FFFF0000"/>
            <rFont val="Tahoma"/>
            <family val="2"/>
          </rPr>
          <t>40ns</t>
        </r>
        <r>
          <rPr>
            <sz val="9"/>
            <color rgb="FF000000"/>
            <rFont val="Tahoma"/>
            <family val="2"/>
          </rPr>
          <t xml:space="preserve"> is reached</t>
        </r>
      </text>
    </comment>
    <comment ref="E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
        </r>
        <r>
          <rPr>
            <sz val="9"/>
            <color indexed="81"/>
            <rFont val="Tahoma"/>
            <family val="2"/>
          </rPr>
          <t>The text in this cell is red if:</t>
        </r>
        <r>
          <rPr>
            <b/>
            <sz val="9"/>
            <color indexed="81"/>
            <rFont val="Tahoma"/>
            <family val="2"/>
          </rPr>
          <t xml:space="preserve">
</t>
        </r>
        <r>
          <rPr>
            <b/>
            <sz val="9"/>
            <color indexed="10"/>
            <rFont val="Tahoma"/>
            <family val="2"/>
          </rPr>
          <t>-The output voltage is above the nominal input voltage 
-The output voltage is below 0.8V
-The output voltage is above 42V (LM25145) and 60V (LM5145, LM5146)</t>
        </r>
      </text>
    </comment>
    <comment ref="E11" authorId="0" shapeId="0" xr:uid="{00000000-0006-0000-0000-000007000000}">
      <text>
        <r>
          <rPr>
            <b/>
            <u/>
            <sz val="9"/>
            <color rgb="FF000000"/>
            <rFont val="Tahoma"/>
            <family val="2"/>
          </rPr>
          <t>Operating Frequency</t>
        </r>
        <r>
          <rPr>
            <b/>
            <sz val="9"/>
            <color rgb="FF000000"/>
            <rFont val="Tahoma"/>
            <family val="2"/>
          </rPr>
          <t xml:space="preserve"> (set by R</t>
        </r>
        <r>
          <rPr>
            <b/>
            <vertAlign val="subscript"/>
            <sz val="9"/>
            <color rgb="FF000000"/>
            <rFont val="Tahoma"/>
            <family val="2"/>
          </rPr>
          <t>FADJ</t>
        </r>
        <r>
          <rPr>
            <b/>
            <sz val="9"/>
            <color rgb="FF000000"/>
            <rFont val="Tahoma"/>
            <family val="2"/>
          </rPr>
          <t>):</t>
        </r>
        <r>
          <rPr>
            <sz val="9"/>
            <color rgb="FF000000"/>
            <rFont val="Tahoma"/>
            <family val="2"/>
          </rPr>
          <t xml:space="preserve">
</t>
        </r>
        <r>
          <rPr>
            <sz val="9"/>
            <color rgb="FF000000"/>
            <rFont val="Tahoma"/>
            <family val="2"/>
          </rPr>
          <t>This cell defines the free running frequency set by the R</t>
        </r>
        <r>
          <rPr>
            <vertAlign val="subscript"/>
            <sz val="9"/>
            <color rgb="FF000000"/>
            <rFont val="Tahoma"/>
            <family val="2"/>
          </rPr>
          <t>RT</t>
        </r>
        <r>
          <rPr>
            <sz val="9"/>
            <color rgb="FF000000"/>
            <rFont val="Tahoma"/>
            <family val="2"/>
          </rPr>
          <t xml:space="preserve"> resistor. 
</t>
        </r>
        <r>
          <rPr>
            <sz val="9"/>
            <color rgb="FF000000"/>
            <rFont val="Tahoma"/>
            <family val="2"/>
          </rPr>
          <t xml:space="preserve">
</t>
        </r>
        <r>
          <rPr>
            <b/>
            <sz val="9"/>
            <color rgb="FF000000"/>
            <rFont val="Tahoma"/>
            <family val="2"/>
          </rPr>
          <t xml:space="preserve">The text in this cell is blue if:
</t>
        </r>
        <r>
          <rPr>
            <b/>
            <sz val="9"/>
            <color rgb="FF0000FF"/>
            <rFont val="Tahoma"/>
            <family val="2"/>
          </rPr>
          <t>-The SYNC frequency is not with -20% to +50% of the free-running frequency set by R</t>
        </r>
        <r>
          <rPr>
            <b/>
            <vertAlign val="subscript"/>
            <sz val="9"/>
            <color rgb="FF0000FF"/>
            <rFont val="Tahoma"/>
            <family val="2"/>
          </rPr>
          <t>RT</t>
        </r>
        <r>
          <rPr>
            <b/>
            <sz val="9"/>
            <color rgb="FF0000FF"/>
            <rFont val="Tahoma"/>
            <family val="2"/>
          </rPr>
          <t>.</t>
        </r>
        <r>
          <rPr>
            <sz val="9"/>
            <color rgb="FF000000"/>
            <rFont val="Tahoma"/>
            <family val="2"/>
          </rPr>
          <t xml:space="preserve">
</t>
        </r>
        <r>
          <rPr>
            <sz val="9"/>
            <color rgb="FF000000"/>
            <rFont val="Tahoma"/>
            <family val="2"/>
          </rPr>
          <t xml:space="preserve">
</t>
        </r>
        <r>
          <rPr>
            <b/>
            <sz val="9"/>
            <color rgb="FF000000"/>
            <rFont val="Tahoma"/>
            <family val="2"/>
          </rPr>
          <t xml:space="preserve">The text in this cell is red if:
</t>
        </r>
        <r>
          <rPr>
            <b/>
            <sz val="9"/>
            <color rgb="FFFF0000"/>
            <rFont val="Tahoma"/>
            <family val="2"/>
          </rPr>
          <t xml:space="preserve">-The frequency is below 100 kHz
</t>
        </r>
        <r>
          <rPr>
            <b/>
            <sz val="9"/>
            <color rgb="FFFF0000"/>
            <rFont val="Tahoma"/>
            <family val="2"/>
          </rPr>
          <t>-The frequency is above 1 MHz</t>
        </r>
        <r>
          <rPr>
            <sz val="11"/>
            <color rgb="FF000000"/>
            <rFont val="Tahoma"/>
            <family val="2"/>
          </rPr>
          <t xml:space="preserve">
</t>
        </r>
      </text>
    </comment>
    <comment ref="E12" authorId="0" shapeId="0" xr:uid="{00000000-0006-0000-0000-000008000000}">
      <text>
        <r>
          <rPr>
            <b/>
            <u/>
            <sz val="9"/>
            <color indexed="81"/>
            <rFont val="Tahoma"/>
            <family val="2"/>
          </rPr>
          <t>Operating SYNC Frequency</t>
        </r>
        <r>
          <rPr>
            <b/>
            <sz val="9"/>
            <color indexed="81"/>
            <rFont val="Tahoma"/>
            <family val="2"/>
          </rPr>
          <t xml:space="preserve">:
</t>
        </r>
        <r>
          <rPr>
            <sz val="9"/>
            <color indexed="81"/>
            <rFont val="Tahoma"/>
            <family val="2"/>
          </rPr>
          <t>This frequency sets the switching frequency the LM5146 should synchronize to. If SYNC is not used, the SYNCIN pin should be grounded for DCM or tied high (to VCC) for CCM, and the free-running frequency should be inserted here.</t>
        </r>
        <r>
          <rPr>
            <b/>
            <sz val="9"/>
            <color indexed="81"/>
            <rFont val="Tahoma"/>
            <family val="2"/>
          </rPr>
          <t xml:space="preserve">
The text in this cell is blue if 
</t>
        </r>
        <r>
          <rPr>
            <b/>
            <sz val="9"/>
            <color indexed="39"/>
            <rFont val="Tahoma"/>
            <family val="2"/>
          </rPr>
          <t>-The SYNC frequency is greater than 150% or less than 80% of the frequency set by R</t>
        </r>
        <r>
          <rPr>
            <b/>
            <vertAlign val="subscript"/>
            <sz val="9"/>
            <color indexed="39"/>
            <rFont val="Tahoma"/>
            <family val="2"/>
          </rPr>
          <t>RT</t>
        </r>
        <r>
          <rPr>
            <b/>
            <sz val="9"/>
            <color indexed="39"/>
            <rFont val="Tahoma"/>
            <family val="2"/>
          </rPr>
          <t>.
If the SYNC frequency is outside the applicable range, Fsw defaults in this tool to the free-running frequency value.</t>
        </r>
        <r>
          <rPr>
            <b/>
            <sz val="9"/>
            <color indexed="81"/>
            <rFont val="Tahoma"/>
            <family val="2"/>
          </rPr>
          <t xml:space="preserve">
The text in this cell is red if:
</t>
        </r>
        <r>
          <rPr>
            <b/>
            <sz val="9"/>
            <color indexed="10"/>
            <rFont val="Tahoma"/>
            <family val="2"/>
          </rPr>
          <t>- The frequency is below 100 kHz;
- The frequency is above 1 MHz;
- The frequency is not within -20% to +50% of the programmed frequency (set by the R</t>
        </r>
        <r>
          <rPr>
            <b/>
            <vertAlign val="subscript"/>
            <sz val="9"/>
            <color indexed="10"/>
            <rFont val="Tahoma"/>
            <family val="2"/>
          </rPr>
          <t>RT</t>
        </r>
        <r>
          <rPr>
            <b/>
            <sz val="9"/>
            <color indexed="10"/>
            <rFont val="Tahoma"/>
            <family val="2"/>
          </rPr>
          <t xml:space="preserve"> resistor).</t>
        </r>
      </text>
    </comment>
    <comment ref="E17" authorId="0" shapeId="0" xr:uid="{00000000-0006-0000-0000-000009000000}">
      <text>
        <r>
          <rPr>
            <b/>
            <sz val="9"/>
            <color rgb="FF000000"/>
            <rFont val="Tahoma"/>
            <family val="2"/>
          </rPr>
          <t>L</t>
        </r>
        <r>
          <rPr>
            <b/>
            <vertAlign val="subscript"/>
            <sz val="9"/>
            <color rgb="FF000000"/>
            <rFont val="Tahoma"/>
            <family val="2"/>
          </rPr>
          <t>F</t>
        </r>
        <r>
          <rPr>
            <b/>
            <sz val="9"/>
            <color rgb="FF000000"/>
            <rFont val="Tahoma"/>
            <family val="2"/>
          </rPr>
          <t xml:space="preserve">:
</t>
        </r>
        <r>
          <rPr>
            <sz val="9"/>
            <color rgb="FF000000"/>
            <rFont val="Tahoma"/>
            <family val="2"/>
          </rPr>
          <t>Enter the buck filter inductance here. Target inductor (peak-to-peak) ripple currrent is 25-45% of the DC full load current at nominal input voltage.</t>
        </r>
      </text>
    </comment>
    <comment ref="E18" authorId="0" shapeId="0" xr:uid="{00000000-0006-0000-0000-00000A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21" authorId="0" shapeId="0" xr:uid="{E16B2DB5-2E88-40B3-9726-C84913B304F3}">
      <text>
        <r>
          <rPr>
            <b/>
            <u/>
            <sz val="9"/>
            <color indexed="81"/>
            <rFont val="Tahoma"/>
            <family val="2"/>
          </rPr>
          <t>Core Loss</t>
        </r>
        <r>
          <rPr>
            <b/>
            <sz val="9"/>
            <color indexed="81"/>
            <rFont val="Tahoma"/>
            <family val="2"/>
          </rPr>
          <t xml:space="preserve">:
</t>
        </r>
        <r>
          <rPr>
            <sz val="9"/>
            <color indexed="81"/>
            <rFont val="Tahoma"/>
            <family val="2"/>
          </rPr>
          <t>Enter the estimated inductor AC loss at nominal input voltage.</t>
        </r>
      </text>
    </comment>
    <comment ref="E26" authorId="0" shapeId="0" xr:uid="{00000000-0006-0000-0000-00000B000000}">
      <text>
        <r>
          <rPr>
            <b/>
            <sz val="9"/>
            <color indexed="81"/>
            <rFont val="Tahoma"/>
            <family val="2"/>
          </rPr>
          <t>R</t>
        </r>
        <r>
          <rPr>
            <b/>
            <vertAlign val="subscript"/>
            <sz val="9"/>
            <color indexed="81"/>
            <rFont val="Tahoma"/>
            <family val="2"/>
          </rPr>
          <t>ILIM</t>
        </r>
        <r>
          <rPr>
            <b/>
            <sz val="9"/>
            <color indexed="81"/>
            <rFont val="Tahoma"/>
            <family val="2"/>
          </rPr>
          <t>:</t>
        </r>
        <r>
          <rPr>
            <sz val="9"/>
            <color indexed="81"/>
            <rFont val="Tahoma"/>
            <family val="2"/>
          </rPr>
          <t xml:space="preserve">
This resistor is used to set the overcurrent protection. As such, the calculation takes the required current limit setpoint, the inductor ripple current amplitude and the MOSFET RDS(on) or shunt resistance to calculate </t>
        </r>
        <r>
          <rPr>
            <b/>
            <sz val="9"/>
            <color indexed="81"/>
            <rFont val="Tahoma"/>
            <family val="2"/>
          </rPr>
          <t>R</t>
        </r>
        <r>
          <rPr>
            <b/>
            <vertAlign val="subscript"/>
            <sz val="9"/>
            <color indexed="81"/>
            <rFont val="Tahoma"/>
            <family val="2"/>
          </rPr>
          <t>ILIM</t>
        </r>
        <r>
          <rPr>
            <sz val="9"/>
            <color indexed="81"/>
            <rFont val="Tahoma"/>
            <family val="2"/>
          </rPr>
          <t>.</t>
        </r>
      </text>
    </comment>
    <comment ref="E31" authorId="0" shapeId="0" xr:uid="{00000000-0006-0000-0000-00000C000000}">
      <text>
        <r>
          <rPr>
            <b/>
            <u/>
            <sz val="9"/>
            <color indexed="81"/>
            <rFont val="Tahoma"/>
            <family val="2"/>
          </rPr>
          <t>Output Voltage Ripple</t>
        </r>
        <r>
          <rPr>
            <b/>
            <sz val="9"/>
            <color indexed="81"/>
            <rFont val="Tahoma"/>
            <family val="2"/>
          </rPr>
          <t xml:space="preserve">:
</t>
        </r>
        <r>
          <rPr>
            <sz val="9"/>
            <color indexed="81"/>
            <rFont val="Tahoma"/>
            <family val="2"/>
          </rPr>
          <t>Enter the desired maximum peak-to-peak output voltage ripple here. This will set the ideal output capacitance value.</t>
        </r>
        <r>
          <rPr>
            <b/>
            <sz val="9"/>
            <color indexed="81"/>
            <rFont val="Tahoma"/>
            <family val="2"/>
          </rPr>
          <t xml:space="preserve">
The text in this cell is red if:
</t>
        </r>
        <r>
          <rPr>
            <b/>
            <sz val="9"/>
            <color indexed="10"/>
            <rFont val="Tahoma"/>
            <family val="2"/>
          </rPr>
          <t>-The output voltage ripple is zero.</t>
        </r>
      </text>
    </comment>
    <comment ref="E33" authorId="0" shapeId="0" xr:uid="{00000000-0006-0000-0000-00000D000000}">
      <text>
        <r>
          <rPr>
            <b/>
            <u/>
            <sz val="9"/>
            <color rgb="FF000000"/>
            <rFont val="Tahoma"/>
            <family val="2"/>
          </rPr>
          <t>Output Capacitance</t>
        </r>
        <r>
          <rPr>
            <b/>
            <sz val="9"/>
            <color rgb="FF000000"/>
            <rFont val="Tahoma"/>
            <family val="2"/>
          </rPr>
          <t>:</t>
        </r>
        <r>
          <rPr>
            <sz val="9"/>
            <color rgb="FF000000"/>
            <rFont val="Tahoma"/>
            <family val="2"/>
          </rPr>
          <t xml:space="preserve">
</t>
        </r>
        <r>
          <rPr>
            <sz val="9"/>
            <color rgb="FF000000"/>
            <rFont val="Tahoma"/>
            <family val="2"/>
          </rPr>
          <t xml:space="preserve">Enter the output capacitance here based on the minimum calculated result. Make sure that the nominal capacitance is appropriately </t>
        </r>
        <r>
          <rPr>
            <b/>
            <sz val="11"/>
            <color rgb="FF000000"/>
            <rFont val="Tahoma"/>
            <family val="2"/>
          </rPr>
          <t>derated</t>
        </r>
        <r>
          <rPr>
            <sz val="9"/>
            <color rgb="FF000000"/>
            <rFont val="Tahoma"/>
            <family val="2"/>
          </rPr>
          <t xml:space="preserve"> for applied voltage, particularly with </t>
        </r>
        <r>
          <rPr>
            <sz val="9"/>
            <color rgb="FF0000FF"/>
            <rFont val="Tahoma"/>
            <family val="2"/>
          </rPr>
          <t>ceramics</t>
        </r>
        <r>
          <rPr>
            <sz val="9"/>
            <color rgb="FF000000"/>
            <rFont val="Tahoma"/>
            <family val="2"/>
          </rPr>
          <t xml:space="preserve">.
</t>
        </r>
        <r>
          <rPr>
            <sz val="9"/>
            <color rgb="FF000000"/>
            <rFont val="Tahoma"/>
            <family val="2"/>
          </rPr>
          <t xml:space="preserve">
</t>
        </r>
        <r>
          <rPr>
            <b/>
            <sz val="9"/>
            <color rgb="FF000000"/>
            <rFont val="Tahoma"/>
            <family val="2"/>
          </rPr>
          <t>The text in this cell is flagged red if:</t>
        </r>
        <r>
          <rPr>
            <sz val="9"/>
            <color rgb="FF000000"/>
            <rFont val="Tahoma"/>
            <family val="2"/>
          </rPr>
          <t xml:space="preserve">
</t>
        </r>
        <r>
          <rPr>
            <b/>
            <sz val="9"/>
            <color rgb="FFFF0000"/>
            <rFont val="Tahoma"/>
            <family val="2"/>
          </rPr>
          <t>-The chosen output capacitor is smaller than the minimum ideal capacitance.</t>
        </r>
      </text>
    </comment>
    <comment ref="E35" authorId="0" shapeId="0" xr:uid="{00000000-0006-0000-0000-00000E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E40" authorId="0" shapeId="0" xr:uid="{00000000-0006-0000-0000-00000F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this 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E42" authorId="0" shapeId="0" xr:uid="{00000000-0006-0000-0000-000010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this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E44" authorId="0" shapeId="0" xr:uid="{00000000-0006-0000-0000-000011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E49" authorId="0" shapeId="0" xr:uid="{00000000-0006-0000-0000-000012000000}">
      <text>
        <r>
          <rPr>
            <b/>
            <u/>
            <sz val="8"/>
            <color rgb="FF000000"/>
            <rFont val="Tahoma"/>
            <family val="2"/>
          </rPr>
          <t>Soft-Start Time</t>
        </r>
        <r>
          <rPr>
            <b/>
            <sz val="8"/>
            <color rgb="FF000000"/>
            <rFont val="Tahoma"/>
            <family val="2"/>
          </rPr>
          <t xml:space="preserve">:
</t>
        </r>
        <r>
          <rPr>
            <sz val="8"/>
            <color rgb="FF000000"/>
            <rFont val="Tahoma"/>
            <family val="2"/>
          </rPr>
          <t xml:space="preserve">Enter the desired soft-start time here. </t>
        </r>
      </text>
    </comment>
    <comment ref="E51" authorId="0" shapeId="0" xr:uid="{00000000-0006-0000-0000-000013000000}">
      <text>
        <r>
          <rPr>
            <b/>
            <u/>
            <sz val="9"/>
            <color rgb="FF000000"/>
            <rFont val="Tahoma"/>
            <family val="2"/>
          </rPr>
          <t>Nominal UVLO Turn-On Input Voltage</t>
        </r>
        <r>
          <rPr>
            <b/>
            <sz val="9"/>
            <color rgb="FF000000"/>
            <rFont val="Tahoma"/>
            <family val="2"/>
          </rPr>
          <t xml:space="preserve">:
</t>
        </r>
        <r>
          <rPr>
            <sz val="9"/>
            <color rgb="FF000000"/>
            <rFont val="Tahoma"/>
            <family val="2"/>
          </rPr>
          <t xml:space="preserve">Enter the nominal input voltage at turn on.
</t>
        </r>
        <r>
          <rPr>
            <sz val="9"/>
            <color rgb="FF000000"/>
            <rFont val="Tahoma"/>
            <family val="2"/>
          </rPr>
          <t xml:space="preserve">The LM5146-Q1 input operating voltage range is 5.5V to 95V.
</t>
        </r>
        <r>
          <rPr>
            <sz val="9"/>
            <color rgb="FF000000"/>
            <rFont val="Tahoma"/>
            <family val="2"/>
          </rPr>
          <t xml:space="preserve">
</t>
        </r>
        <r>
          <rPr>
            <b/>
            <sz val="9"/>
            <color rgb="FF000000"/>
            <rFont val="Tahoma"/>
            <family val="2"/>
          </rPr>
          <t>The text in this cell is red if:</t>
        </r>
        <r>
          <rPr>
            <sz val="9"/>
            <color rgb="FF000000"/>
            <rFont val="Tahoma"/>
            <family val="2"/>
          </rPr>
          <t xml:space="preserve">
</t>
        </r>
        <r>
          <rPr>
            <sz val="9"/>
            <color rgb="FF000000"/>
            <rFont val="Tahoma"/>
            <family val="2"/>
          </rPr>
          <t xml:space="preserve">-The input voltage is above </t>
        </r>
        <r>
          <rPr>
            <b/>
            <sz val="9"/>
            <color rgb="FFFF0000"/>
            <rFont val="Tahoma"/>
            <family val="2"/>
          </rPr>
          <t>95V</t>
        </r>
        <r>
          <rPr>
            <sz val="9"/>
            <color rgb="FF000000"/>
            <rFont val="Tahoma"/>
            <family val="2"/>
          </rPr>
          <t xml:space="preserve">
</t>
        </r>
        <r>
          <rPr>
            <sz val="9"/>
            <color rgb="FF000000"/>
            <rFont val="Tahoma"/>
            <family val="2"/>
          </rPr>
          <t xml:space="preserve">-The input voltage is below </t>
        </r>
        <r>
          <rPr>
            <b/>
            <sz val="9"/>
            <color rgb="FFFF0000"/>
            <rFont val="Tahoma"/>
            <family val="2"/>
          </rPr>
          <t>5.5V</t>
        </r>
      </text>
    </comment>
    <comment ref="E52" authorId="0" shapeId="0" xr:uid="{00000000-0006-0000-0000-000014000000}">
      <text>
        <r>
          <rPr>
            <b/>
            <u/>
            <sz val="9"/>
            <color rgb="FF000000"/>
            <rFont val="Tahoma"/>
            <family val="2"/>
          </rPr>
          <t>Nominal UVLO Turn-Off Input Voltage</t>
        </r>
        <r>
          <rPr>
            <b/>
            <sz val="9"/>
            <color rgb="FF000000"/>
            <rFont val="Tahoma"/>
            <family val="2"/>
          </rPr>
          <t>:</t>
        </r>
        <r>
          <rPr>
            <sz val="9"/>
            <color rgb="FF000000"/>
            <rFont val="Tahoma"/>
            <family val="2"/>
          </rPr>
          <t xml:space="preserve">
</t>
        </r>
        <r>
          <rPr>
            <sz val="9"/>
            <color rgb="FF000000"/>
            <rFont val="Tahoma"/>
            <family val="2"/>
          </rPr>
          <t xml:space="preserve">Enter the nominal input voltage at turn off.
</t>
        </r>
        <r>
          <rPr>
            <sz val="9"/>
            <color rgb="FF000000"/>
            <rFont val="Tahoma"/>
            <family val="2"/>
          </rPr>
          <t xml:space="preserve">The LM5146-Q1 input operating voltage range is 5.5V to 95V.
</t>
        </r>
        <r>
          <rPr>
            <b/>
            <sz val="9"/>
            <color rgb="FF000000"/>
            <rFont val="Tahoma"/>
            <family val="2"/>
          </rPr>
          <t xml:space="preserve">
</t>
        </r>
        <r>
          <rPr>
            <b/>
            <sz val="9"/>
            <color rgb="FF000000"/>
            <rFont val="Tahoma"/>
            <family val="2"/>
          </rPr>
          <t>The text in this cell is red if:</t>
        </r>
        <r>
          <rPr>
            <sz val="9"/>
            <color rgb="FF000000"/>
            <rFont val="Tahoma"/>
            <family val="2"/>
          </rPr>
          <t xml:space="preserve">
</t>
        </r>
        <r>
          <rPr>
            <sz val="9"/>
            <color rgb="FF000000"/>
            <rFont val="Tahoma"/>
            <family val="2"/>
          </rPr>
          <t xml:space="preserve">-The input voltage is above </t>
        </r>
        <r>
          <rPr>
            <b/>
            <sz val="9"/>
            <color rgb="FFFF0000"/>
            <rFont val="Tahoma"/>
            <family val="2"/>
          </rPr>
          <t>90V</t>
        </r>
        <r>
          <rPr>
            <sz val="9"/>
            <color rgb="FF000000"/>
            <rFont val="Tahoma"/>
            <family val="2"/>
          </rPr>
          <t xml:space="preserve">
</t>
        </r>
        <r>
          <rPr>
            <sz val="9"/>
            <color rgb="FF000000"/>
            <rFont val="Tahoma"/>
            <family val="2"/>
          </rPr>
          <t xml:space="preserve">-The input voltage is below </t>
        </r>
        <r>
          <rPr>
            <b/>
            <sz val="9"/>
            <color rgb="FFFF0000"/>
            <rFont val="Tahoma"/>
            <family val="2"/>
          </rPr>
          <t>5.5V</t>
        </r>
      </text>
    </comment>
    <comment ref="F61" authorId="0" shapeId="0" xr:uid="{00000000-0006-0000-0000-000015000000}">
      <text>
        <r>
          <rPr>
            <b/>
            <u/>
            <sz val="9"/>
            <color indexed="81"/>
            <rFont val="Tahoma"/>
            <family val="2"/>
          </rPr>
          <t>Crossover Frequency</t>
        </r>
        <r>
          <rPr>
            <b/>
            <sz val="9"/>
            <color indexed="81"/>
            <rFont val="Tahoma"/>
            <family val="2"/>
          </rPr>
          <t>:</t>
        </r>
        <r>
          <rPr>
            <sz val="9"/>
            <color indexed="81"/>
            <rFont val="Tahoma"/>
            <family val="2"/>
          </rPr>
          <t xml:space="preserve">
Enter the desired open loop crossover frequency (usually between 10% and 20% of switching frequency). The LM5146 design tool determines feedback compensation components based on this target performance metric.</t>
        </r>
      </text>
    </comment>
    <comment ref="E63" authorId="0" shapeId="0" xr:uid="{00000000-0006-0000-0000-000016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20kΩ.</t>
        </r>
      </text>
    </comment>
    <comment ref="D67" authorId="0" shapeId="0" xr:uid="{00000000-0006-0000-0000-000017000000}">
      <text>
        <r>
          <rPr>
            <b/>
            <sz val="9"/>
            <color indexed="81"/>
            <rFont val="Tahoma"/>
            <family val="2"/>
          </rPr>
          <t>F</t>
        </r>
        <r>
          <rPr>
            <b/>
            <vertAlign val="subscript"/>
            <sz val="9"/>
            <color indexed="81"/>
            <rFont val="Tahoma"/>
            <family val="2"/>
          </rPr>
          <t>Z1</t>
        </r>
        <r>
          <rPr>
            <b/>
            <sz val="9"/>
            <color indexed="81"/>
            <rFont val="Tahoma"/>
            <family val="2"/>
          </rPr>
          <t>:
F</t>
        </r>
        <r>
          <rPr>
            <b/>
            <vertAlign val="subscript"/>
            <sz val="9"/>
            <color indexed="81"/>
            <rFont val="Tahoma"/>
            <family val="2"/>
          </rPr>
          <t>Z1</t>
        </r>
        <r>
          <rPr>
            <sz val="9"/>
            <color indexed="81"/>
            <rFont val="Tahoma"/>
            <family val="2"/>
          </rPr>
          <t xml:space="preserve"> is the first zero of the compensator. By default, </t>
        </r>
        <r>
          <rPr>
            <b/>
            <sz val="9"/>
            <color indexed="81"/>
            <rFont val="Tahoma"/>
            <family val="2"/>
          </rPr>
          <t>F</t>
        </r>
        <r>
          <rPr>
            <b/>
            <vertAlign val="subscript"/>
            <sz val="9"/>
            <color indexed="81"/>
            <rFont val="Tahoma"/>
            <family val="2"/>
          </rPr>
          <t>Z1</t>
        </r>
        <r>
          <rPr>
            <sz val="9"/>
            <color indexed="81"/>
            <rFont val="Tahoma"/>
            <family val="2"/>
          </rPr>
          <t xml:space="preserve"> is located near the complex double pole (F</t>
        </r>
        <r>
          <rPr>
            <vertAlign val="subscript"/>
            <sz val="9"/>
            <color indexed="81"/>
            <rFont val="Tahoma"/>
            <family val="2"/>
          </rPr>
          <t>LC</t>
        </r>
        <r>
          <rPr>
            <sz val="9"/>
            <color indexed="81"/>
            <rFont val="Tahoma"/>
            <family val="2"/>
          </rPr>
          <t>) associated with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Z1</t>
        </r>
        <r>
          <rPr>
            <sz val="9"/>
            <color indexed="81"/>
            <rFont val="Tahoma"/>
            <family val="2"/>
          </rPr>
          <t xml:space="preserve"> cell.</t>
        </r>
      </text>
    </comment>
    <comment ref="D68" authorId="0" shapeId="0" xr:uid="{00000000-0006-0000-0000-000018000000}">
      <text>
        <r>
          <rPr>
            <b/>
            <sz val="9"/>
            <color indexed="81"/>
            <rFont val="Tahoma"/>
            <family val="2"/>
          </rPr>
          <t>F</t>
        </r>
        <r>
          <rPr>
            <b/>
            <vertAlign val="subscript"/>
            <sz val="9"/>
            <color indexed="81"/>
            <rFont val="Tahoma"/>
            <family val="2"/>
          </rPr>
          <t>Z2</t>
        </r>
        <r>
          <rPr>
            <b/>
            <sz val="9"/>
            <color indexed="81"/>
            <rFont val="Tahoma"/>
            <family val="2"/>
          </rPr>
          <t>:
F</t>
        </r>
        <r>
          <rPr>
            <b/>
            <vertAlign val="subscript"/>
            <sz val="9"/>
            <color indexed="81"/>
            <rFont val="Tahoma"/>
            <family val="2"/>
          </rPr>
          <t>Z2</t>
        </r>
        <r>
          <rPr>
            <sz val="9"/>
            <color indexed="81"/>
            <rFont val="Tahoma"/>
            <family val="2"/>
          </rPr>
          <t xml:space="preserve"> is the second zero of the compensator. By default, </t>
        </r>
        <r>
          <rPr>
            <b/>
            <sz val="9"/>
            <color indexed="81"/>
            <rFont val="Tahoma"/>
            <family val="2"/>
          </rPr>
          <t>F</t>
        </r>
        <r>
          <rPr>
            <b/>
            <vertAlign val="subscript"/>
            <sz val="9"/>
            <color indexed="81"/>
            <rFont val="Tahoma"/>
            <family val="2"/>
          </rPr>
          <t>Z2</t>
        </r>
        <r>
          <rPr>
            <sz val="9"/>
            <color indexed="81"/>
            <rFont val="Tahoma"/>
            <family val="2"/>
          </rPr>
          <t xml:space="preserve">  is located near the LC resonant frequency (F</t>
        </r>
        <r>
          <rPr>
            <vertAlign val="subscript"/>
            <sz val="9"/>
            <color indexed="81"/>
            <rFont val="Tahoma"/>
            <family val="2"/>
          </rPr>
          <t>LC</t>
        </r>
        <r>
          <rPr>
            <sz val="9"/>
            <color indexed="81"/>
            <rFont val="Tahoma"/>
            <family val="2"/>
          </rPr>
          <t>) caused by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Z2</t>
        </r>
        <r>
          <rPr>
            <sz val="9"/>
            <color indexed="81"/>
            <rFont val="Tahoma"/>
            <family val="2"/>
          </rPr>
          <t xml:space="preserve"> cell.</t>
        </r>
      </text>
    </comment>
    <comment ref="D69" authorId="0" shapeId="0" xr:uid="{00000000-0006-0000-0000-000019000000}">
      <text>
        <r>
          <rPr>
            <b/>
            <sz val="9"/>
            <color indexed="81"/>
            <rFont val="Tahoma"/>
            <family val="2"/>
          </rPr>
          <t>F</t>
        </r>
        <r>
          <rPr>
            <b/>
            <vertAlign val="subscript"/>
            <sz val="9"/>
            <color indexed="81"/>
            <rFont val="Tahoma"/>
            <family val="2"/>
          </rPr>
          <t>P1</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P1</t>
        </r>
        <r>
          <rPr>
            <sz val="9"/>
            <color indexed="81"/>
            <rFont val="Tahoma"/>
            <family val="2"/>
          </rPr>
          <t xml:space="preserve"> is the first pole of the compensator. By default, </t>
        </r>
        <r>
          <rPr>
            <b/>
            <sz val="9"/>
            <color indexed="81"/>
            <rFont val="Tahoma"/>
            <family val="2"/>
          </rPr>
          <t>F</t>
        </r>
        <r>
          <rPr>
            <b/>
            <vertAlign val="subscript"/>
            <sz val="9"/>
            <color indexed="81"/>
            <rFont val="Tahoma"/>
            <family val="2"/>
          </rPr>
          <t>P1</t>
        </r>
        <r>
          <rPr>
            <sz val="9"/>
            <color indexed="81"/>
            <rFont val="Tahoma"/>
            <family val="2"/>
          </rPr>
          <t xml:space="preserve"> is located at the zero (F</t>
        </r>
        <r>
          <rPr>
            <vertAlign val="subscript"/>
            <sz val="9"/>
            <color indexed="81"/>
            <rFont val="Tahoma"/>
            <family val="2"/>
          </rPr>
          <t>ESR</t>
        </r>
        <r>
          <rPr>
            <sz val="9"/>
            <color indexed="81"/>
            <rFont val="Tahoma"/>
            <family val="2"/>
          </rPr>
          <t>) caused by the output capacitance (C</t>
        </r>
        <r>
          <rPr>
            <vertAlign val="subscript"/>
            <sz val="9"/>
            <color indexed="81"/>
            <rFont val="Tahoma"/>
            <family val="2"/>
          </rPr>
          <t>OUT</t>
        </r>
        <r>
          <rPr>
            <sz val="9"/>
            <color indexed="81"/>
            <rFont val="Tahoma"/>
            <family val="2"/>
          </rPr>
          <t xml:space="preserve">) and its associated ESR. </t>
        </r>
        <r>
          <rPr>
            <b/>
            <sz val="9"/>
            <color indexed="81"/>
            <rFont val="Tahoma"/>
            <family val="2"/>
          </rPr>
          <t>F</t>
        </r>
        <r>
          <rPr>
            <b/>
            <vertAlign val="subscript"/>
            <sz val="9"/>
            <color indexed="81"/>
            <rFont val="Tahoma"/>
            <family val="2"/>
          </rPr>
          <t>P1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P1</t>
        </r>
        <r>
          <rPr>
            <sz val="9"/>
            <color indexed="81"/>
            <rFont val="Tahoma"/>
            <family val="2"/>
          </rPr>
          <t xml:space="preserve"> cell.</t>
        </r>
      </text>
    </comment>
    <comment ref="D70" authorId="0" shapeId="0" xr:uid="{00000000-0006-0000-0000-00001A000000}">
      <text>
        <r>
          <rPr>
            <b/>
            <sz val="9"/>
            <color indexed="81"/>
            <rFont val="Tahoma"/>
            <family val="2"/>
          </rPr>
          <t>F</t>
        </r>
        <r>
          <rPr>
            <b/>
            <vertAlign val="subscript"/>
            <sz val="9"/>
            <color indexed="81"/>
            <rFont val="Tahoma"/>
            <family val="2"/>
          </rPr>
          <t>P2</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P2</t>
        </r>
        <r>
          <rPr>
            <sz val="9"/>
            <color indexed="81"/>
            <rFont val="Tahoma"/>
            <family val="2"/>
          </rPr>
          <t xml:space="preserve"> is the second pole of the compensator. By default, </t>
        </r>
        <r>
          <rPr>
            <b/>
            <sz val="9"/>
            <color indexed="81"/>
            <rFont val="Tahoma"/>
            <family val="2"/>
          </rPr>
          <t>F</t>
        </r>
        <r>
          <rPr>
            <b/>
            <vertAlign val="subscript"/>
            <sz val="9"/>
            <color indexed="81"/>
            <rFont val="Tahoma"/>
            <family val="2"/>
          </rPr>
          <t>P2</t>
        </r>
        <r>
          <rPr>
            <sz val="9"/>
            <color indexed="81"/>
            <rFont val="Tahoma"/>
            <family val="2"/>
          </rPr>
          <t xml:space="preserve"> is located at F</t>
        </r>
        <r>
          <rPr>
            <vertAlign val="subscript"/>
            <sz val="9"/>
            <color indexed="81"/>
            <rFont val="Tahoma"/>
            <family val="2"/>
          </rPr>
          <t>SW</t>
        </r>
        <r>
          <rPr>
            <sz val="9"/>
            <color indexed="81"/>
            <rFont val="Tahoma"/>
            <family val="2"/>
          </rPr>
          <t xml:space="preserve">/2. </t>
        </r>
        <r>
          <rPr>
            <b/>
            <sz val="9"/>
            <color indexed="81"/>
            <rFont val="Tahoma"/>
            <family val="2"/>
          </rPr>
          <t>F</t>
        </r>
        <r>
          <rPr>
            <b/>
            <vertAlign val="subscript"/>
            <sz val="9"/>
            <color indexed="81"/>
            <rFont val="Tahoma"/>
            <family val="2"/>
          </rPr>
          <t>P2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P2</t>
        </r>
        <r>
          <rPr>
            <sz val="9"/>
            <color indexed="81"/>
            <rFont val="Tahoma"/>
            <family val="2"/>
          </rPr>
          <t xml:space="preserve"> cell.</t>
        </r>
      </text>
    </comment>
    <comment ref="E85" authorId="1" shapeId="0" xr:uid="{00000000-0006-0000-0000-00001B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(V</t>
        </r>
        <r>
          <rPr>
            <vertAlign val="subscript"/>
            <sz val="10"/>
            <color indexed="81"/>
            <rFont val="Tahoma"/>
            <family val="2"/>
          </rPr>
          <t>GS</t>
        </r>
        <r>
          <rPr>
            <sz val="10"/>
            <color indexed="81"/>
            <rFont val="Tahoma"/>
            <family val="2"/>
          </rPr>
          <t xml:space="preserve"> = 7.5V).
High current designs (&gt;10A) will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6" authorId="1" shapeId="0" xr:uid="{00000000-0006-0000-0000-00001C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t>
        </r>
      </text>
    </comment>
    <comment ref="E87" authorId="1" shapeId="0" xr:uid="{00000000-0006-0000-0000-00001D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will affect the turn-on and-off transition times. Slow transition times will result in a decrease in efficiency, especially at higher input voltages.</t>
        </r>
      </text>
    </comment>
    <comment ref="E88" authorId="1" shapeId="0" xr:uid="{00000000-0006-0000-0000-00001E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89" authorId="1" shapeId="0" xr:uid="{00000000-0006-0000-0000-00001F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capacitance of the high-side MOSFET at the relevant input voltage here. </t>
        </r>
      </text>
    </comment>
    <comment ref="E90" authorId="1" shapeId="0" xr:uid="{00000000-0006-0000-0000-000020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91" authorId="1" shapeId="0" xr:uid="{00000000-0006-0000-0000-000021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92" authorId="1" shapeId="0" xr:uid="{00000000-0006-0000-0000-000022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3" authorId="1" shapeId="0" xr:uid="{00000000-0006-0000-0000-000023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94" authorId="1" shapeId="0" xr:uid="{00000000-0006-0000-0000-00002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97" authorId="1" shapeId="0" xr:uid="{00000000-0006-0000-0000-000025000000}">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low-side MOSFET here (V</t>
        </r>
        <r>
          <rPr>
            <vertAlign val="subscript"/>
            <sz val="10"/>
            <color indexed="81"/>
            <rFont val="Tahoma"/>
            <family val="2"/>
          </rPr>
          <t>GS</t>
        </r>
        <r>
          <rPr>
            <sz val="10"/>
            <color indexed="81"/>
            <rFont val="Tahoma"/>
            <family val="2"/>
          </rPr>
          <t xml:space="preserve"> = 7.5V).
High current designs (&gt;10A)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E98" authorId="1" shapeId="0" xr:uid="{00000000-0006-0000-0000-000026000000}">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low-side MOSFET here.</t>
        </r>
      </text>
    </comment>
    <comment ref="E99" authorId="1" shapeId="0" xr:uid="{00000000-0006-0000-0000-000027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charge of the low-side MOSFET at the relevant input voltage here. </t>
        </r>
      </text>
    </comment>
    <comment ref="E100" authorId="1" shapeId="0" xr:uid="{00000000-0006-0000-0000-000028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MOSFET's output capacitance at the relevant input voltage here. </t>
        </r>
      </text>
    </comment>
    <comment ref="E101" authorId="1" shapeId="0" xr:uid="{00000000-0006-0000-0000-000029000000}">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low-side MOSFET body diode can contribute substantial power loss related to (1) body diode conduction drop during the deadtime, and (2) diode reverse recovery current.</t>
        </r>
      </text>
    </comment>
    <comment ref="E102" authorId="1" shapeId="0" xr:uid="{00000000-0006-0000-0000-00002A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103" authorId="1" shapeId="0" xr:uid="{00000000-0006-0000-0000-00002B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107" authorId="2" shapeId="0" xr:uid="{70B3F286-F84F-461D-9F74-21CCF1BCDAF1}">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08" authorId="2" shapeId="0" xr:uid="{710413E0-2AA9-48A8-934E-8C0025083D74}">
      <text>
        <r>
          <rPr>
            <b/>
            <sz val="9"/>
            <color indexed="81"/>
            <rFont val="Tahoma"/>
            <family val="2"/>
          </rPr>
          <t>IC Junction Temperature Rise:</t>
        </r>
        <r>
          <rPr>
            <sz val="9"/>
            <color indexed="81"/>
            <rFont val="Tahoma"/>
            <family val="2"/>
          </rPr>
          <t xml:space="preserve">
IC junction temperature based on power loss estimate.</t>
        </r>
      </text>
    </comment>
  </commentList>
</comments>
</file>

<file path=xl/sharedStrings.xml><?xml version="1.0" encoding="utf-8"?>
<sst xmlns="http://schemas.openxmlformats.org/spreadsheetml/2006/main" count="1372" uniqueCount="772">
  <si>
    <t xml:space="preserve">                          LM(2)5145/46-Q1 DC-DC Controller Design Tool</t>
  </si>
  <si>
    <t>About</t>
  </si>
  <si>
    <t>xx</t>
  </si>
  <si>
    <t>= Input Box</t>
  </si>
  <si>
    <t>TERMS OF USE</t>
  </si>
  <si>
    <t xml:space="preserve">                </t>
  </si>
  <si>
    <t>Step 1: Operating Specifications</t>
  </si>
  <si>
    <r>
      <t>Input Voltage ‒ Min, V</t>
    </r>
    <r>
      <rPr>
        <b/>
        <vertAlign val="subscript"/>
        <sz val="10"/>
        <color theme="1"/>
        <rFont val="Arial"/>
        <family val="2"/>
      </rPr>
      <t>IN(min)</t>
    </r>
    <r>
      <rPr>
        <b/>
        <sz val="10"/>
        <color theme="1"/>
        <rFont val="Arial"/>
        <family val="2"/>
      </rPr>
      <t xml:space="preserve"> </t>
    </r>
  </si>
  <si>
    <t>V</t>
  </si>
  <si>
    <r>
      <t>Input Voltage ‒ Nom, V</t>
    </r>
    <r>
      <rPr>
        <b/>
        <vertAlign val="subscript"/>
        <sz val="10"/>
        <color theme="1"/>
        <rFont val="Arial"/>
        <family val="2"/>
      </rPr>
      <t>IN(nom)</t>
    </r>
    <r>
      <rPr>
        <b/>
        <sz val="10"/>
        <color theme="1"/>
        <rFont val="Arial"/>
        <family val="2"/>
      </rPr>
      <t xml:space="preserve"> </t>
    </r>
  </si>
  <si>
    <r>
      <t>Input Voltage ‒ Max, V</t>
    </r>
    <r>
      <rPr>
        <b/>
        <vertAlign val="subscript"/>
        <sz val="10"/>
        <color theme="1"/>
        <rFont val="Arial"/>
        <family val="2"/>
      </rPr>
      <t>IN(max)</t>
    </r>
    <r>
      <rPr>
        <b/>
        <sz val="10"/>
        <color theme="1"/>
        <rFont val="Arial"/>
        <family val="2"/>
      </rPr>
      <t xml:space="preserve"> </t>
    </r>
  </si>
  <si>
    <r>
      <t>Output Voltage, V</t>
    </r>
    <r>
      <rPr>
        <b/>
        <vertAlign val="subscript"/>
        <sz val="10"/>
        <color theme="1"/>
        <rFont val="Arial"/>
        <family val="2"/>
      </rPr>
      <t>OUT</t>
    </r>
    <r>
      <rPr>
        <b/>
        <sz val="10"/>
        <color theme="1"/>
        <rFont val="Arial"/>
        <family val="2"/>
      </rPr>
      <t xml:space="preserve"> </t>
    </r>
  </si>
  <si>
    <r>
      <t>Maximum Output Current, I</t>
    </r>
    <r>
      <rPr>
        <b/>
        <vertAlign val="subscript"/>
        <sz val="10"/>
        <color theme="1"/>
        <rFont val="Arial"/>
        <family val="2"/>
      </rPr>
      <t>OUT</t>
    </r>
    <r>
      <rPr>
        <b/>
        <sz val="10"/>
        <color theme="1"/>
        <rFont val="Arial"/>
        <family val="2"/>
      </rPr>
      <t xml:space="preserve"> </t>
    </r>
  </si>
  <si>
    <t>A</t>
  </si>
  <si>
    <r>
      <t>Free-running Switching Frequency, F</t>
    </r>
    <r>
      <rPr>
        <b/>
        <vertAlign val="subscript"/>
        <sz val="10"/>
        <color theme="1"/>
        <rFont val="Arial"/>
        <family val="2"/>
      </rPr>
      <t>SW</t>
    </r>
  </si>
  <si>
    <t>kHz</t>
  </si>
  <si>
    <r>
      <t>SYNC Frequency (if used), F</t>
    </r>
    <r>
      <rPr>
        <b/>
        <vertAlign val="subscript"/>
        <sz val="10"/>
        <color theme="1"/>
        <rFont val="Arial"/>
        <family val="2"/>
      </rPr>
      <t>SW-SYNC</t>
    </r>
  </si>
  <si>
    <r>
      <t>Frequency Set Resistor, R</t>
    </r>
    <r>
      <rPr>
        <vertAlign val="subscript"/>
        <sz val="10"/>
        <rFont val="Arial"/>
        <family val="2"/>
      </rPr>
      <t>RT</t>
    </r>
    <r>
      <rPr>
        <sz val="10"/>
        <rFont val="Arial"/>
        <family val="2"/>
      </rPr>
      <t xml:space="preserve"> </t>
    </r>
  </si>
  <si>
    <t>kΩ</t>
  </si>
  <si>
    <t>Step 2: Filter Inductor</t>
  </si>
  <si>
    <t xml:space="preserve">Recommended Filter Inductance </t>
  </si>
  <si>
    <t>µH</t>
  </si>
  <si>
    <r>
      <t>Inductance, L</t>
    </r>
    <r>
      <rPr>
        <b/>
        <vertAlign val="subscript"/>
        <sz val="10"/>
        <color theme="1"/>
        <rFont val="Arial"/>
        <family val="2"/>
      </rPr>
      <t>O</t>
    </r>
    <r>
      <rPr>
        <b/>
        <sz val="10"/>
        <color theme="1"/>
        <rFont val="Arial"/>
        <family val="2"/>
      </rPr>
      <t xml:space="preserve"> </t>
    </r>
  </si>
  <si>
    <t xml:space="preserve">Inductor DCR </t>
  </si>
  <si>
    <t>mΩ</t>
  </si>
  <si>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t>
    </r>
  </si>
  <si>
    <r>
      <t>A</t>
    </r>
    <r>
      <rPr>
        <vertAlign val="subscript"/>
        <sz val="10"/>
        <rFont val="Arial"/>
        <family val="2"/>
      </rPr>
      <t>PK-PK</t>
    </r>
  </si>
  <si>
    <r>
      <t>Inductor Ripple Current as a % of Max I</t>
    </r>
    <r>
      <rPr>
        <vertAlign val="subscript"/>
        <sz val="10"/>
        <rFont val="Arial"/>
        <family val="2"/>
      </rPr>
      <t>OUT</t>
    </r>
    <r>
      <rPr>
        <sz val="10"/>
        <rFont val="Arial"/>
        <family val="2"/>
      </rPr>
      <t xml:space="preserve"> </t>
    </r>
  </si>
  <si>
    <t>%</t>
  </si>
  <si>
    <r>
      <t>Estimate Core Loss at V</t>
    </r>
    <r>
      <rPr>
        <b/>
        <vertAlign val="subscript"/>
        <sz val="10"/>
        <rFont val="Arial"/>
        <family val="2"/>
      </rPr>
      <t>IN(nom)</t>
    </r>
  </si>
  <si>
    <t>W</t>
  </si>
  <si>
    <r>
      <t>Step 3: R</t>
    </r>
    <r>
      <rPr>
        <b/>
        <vertAlign val="subscript"/>
        <sz val="12"/>
        <color indexed="12"/>
        <rFont val="Arial"/>
        <family val="2"/>
      </rPr>
      <t>DS(on)</t>
    </r>
    <r>
      <rPr>
        <b/>
        <sz val="12"/>
        <color indexed="12"/>
        <rFont val="Arial"/>
        <family val="2"/>
      </rPr>
      <t xml:space="preserve"> or Shunt-Based Current Limit</t>
    </r>
  </si>
  <si>
    <r>
      <t>Shunt, R</t>
    </r>
    <r>
      <rPr>
        <b/>
        <vertAlign val="subscript"/>
        <sz val="10"/>
        <color theme="1"/>
        <rFont val="Arial"/>
        <family val="2"/>
      </rPr>
      <t>S</t>
    </r>
  </si>
  <si>
    <t>\</t>
  </si>
  <si>
    <t xml:space="preserve">Required Current Limit Setpoint </t>
  </si>
  <si>
    <r>
      <t>Current Limit Set Resistor, R</t>
    </r>
    <r>
      <rPr>
        <vertAlign val="subscript"/>
        <sz val="10"/>
        <rFont val="Arial"/>
        <family val="2"/>
      </rPr>
      <t>ILIM</t>
    </r>
    <r>
      <rPr>
        <sz val="10"/>
        <rFont val="Arial"/>
        <family val="2"/>
      </rPr>
      <t xml:space="preserve"> </t>
    </r>
  </si>
  <si>
    <t>Ω</t>
  </si>
  <si>
    <r>
      <t>Min Inductor Sat Current, I</t>
    </r>
    <r>
      <rPr>
        <vertAlign val="subscript"/>
        <sz val="10"/>
        <rFont val="Arial"/>
        <family val="2"/>
      </rPr>
      <t>L(SAT)</t>
    </r>
  </si>
  <si>
    <r>
      <t>Power Loss in R</t>
    </r>
    <r>
      <rPr>
        <vertAlign val="subscript"/>
        <sz val="10"/>
        <color theme="1"/>
        <rFont val="Arial"/>
        <family val="2"/>
      </rPr>
      <t>S</t>
    </r>
    <r>
      <rPr>
        <sz val="10"/>
        <color theme="1"/>
        <rFont val="Arial"/>
        <family val="2"/>
      </rPr>
      <t xml:space="preserve"> at Full Load, Max V</t>
    </r>
    <r>
      <rPr>
        <vertAlign val="subscript"/>
        <sz val="10"/>
        <color theme="1"/>
        <rFont val="Arial"/>
        <family val="2"/>
      </rPr>
      <t>IN</t>
    </r>
  </si>
  <si>
    <t>Step 4: Output Capacitance</t>
  </si>
  <si>
    <t xml:space="preserve">Output Voltage Ripple Specification </t>
  </si>
  <si>
    <r>
      <t>mV</t>
    </r>
    <r>
      <rPr>
        <b/>
        <vertAlign val="subscript"/>
        <sz val="10"/>
        <rFont val="Arial"/>
        <family val="2"/>
      </rPr>
      <t>PK-PK</t>
    </r>
  </si>
  <si>
    <t xml:space="preserve">Minimum Ideal Output Capacitance </t>
  </si>
  <si>
    <t>µF</t>
  </si>
  <si>
    <r>
      <t>Total Output Capacitance (Derated), C</t>
    </r>
    <r>
      <rPr>
        <b/>
        <vertAlign val="subscript"/>
        <sz val="10"/>
        <rFont val="Arial"/>
        <family val="2"/>
      </rPr>
      <t>OUT</t>
    </r>
    <r>
      <rPr>
        <b/>
        <sz val="10"/>
        <rFont val="Arial"/>
        <family val="2"/>
      </rPr>
      <t xml:space="preserve"> </t>
    </r>
  </si>
  <si>
    <t xml:space="preserve">Maximum Permitted ESR </t>
  </si>
  <si>
    <t xml:space="preserve">Output Capacitor ESR </t>
  </si>
  <si>
    <t xml:space="preserve">Resulting Output Voltage Ripple </t>
  </si>
  <si>
    <r>
      <t>mV</t>
    </r>
    <r>
      <rPr>
        <vertAlign val="subscript"/>
        <sz val="10"/>
        <rFont val="Arial"/>
        <family val="2"/>
      </rPr>
      <t>PK-PK</t>
    </r>
  </si>
  <si>
    <t xml:space="preserve">Output Capacitor Ripple Current </t>
  </si>
  <si>
    <r>
      <t>A</t>
    </r>
    <r>
      <rPr>
        <vertAlign val="subscript"/>
        <sz val="10"/>
        <rFont val="Arial"/>
        <family val="2"/>
      </rPr>
      <t>RMS</t>
    </r>
  </si>
  <si>
    <t>Step 5: Input Capacitance</t>
  </si>
  <si>
    <t xml:space="preserve">Input Voltage Ripple Specification </t>
  </si>
  <si>
    <t xml:space="preserve">Minimum Ideal Input Capacitance </t>
  </si>
  <si>
    <r>
      <t>Total Input Capacitance (Derated), C</t>
    </r>
    <r>
      <rPr>
        <b/>
        <vertAlign val="subscript"/>
        <sz val="10"/>
        <color theme="1"/>
        <rFont val="Arial"/>
        <family val="2"/>
      </rPr>
      <t>IN</t>
    </r>
    <r>
      <rPr>
        <b/>
        <sz val="10"/>
        <color theme="1"/>
        <rFont val="Arial"/>
        <family val="2"/>
      </rPr>
      <t xml:space="preserve"> </t>
    </r>
  </si>
  <si>
    <t xml:space="preserve"> </t>
  </si>
  <si>
    <t xml:space="preserve">Input Capacitor ESR </t>
  </si>
  <si>
    <t xml:space="preserve">Resulting Input Voltage Ripple </t>
  </si>
  <si>
    <t xml:space="preserve">Input Capacitor Ripple Current </t>
  </si>
  <si>
    <t>Step 6: Soft-start, UVLO</t>
  </si>
  <si>
    <r>
      <t>Soft-Start Time, t</t>
    </r>
    <r>
      <rPr>
        <b/>
        <vertAlign val="subscript"/>
        <sz val="10"/>
        <color theme="1"/>
        <rFont val="Arial"/>
        <family val="2"/>
      </rPr>
      <t>SS</t>
    </r>
    <r>
      <rPr>
        <b/>
        <sz val="10"/>
        <color theme="1"/>
        <rFont val="Arial"/>
        <family val="2"/>
      </rPr>
      <t xml:space="preserve"> </t>
    </r>
  </si>
  <si>
    <t>ms</t>
  </si>
  <si>
    <r>
      <t>Soft-Start Capacitance, C</t>
    </r>
    <r>
      <rPr>
        <vertAlign val="subscript"/>
        <sz val="10"/>
        <rFont val="Arial"/>
        <family val="2"/>
      </rPr>
      <t>SS</t>
    </r>
    <r>
      <rPr>
        <sz val="10"/>
        <rFont val="Arial"/>
        <family val="2"/>
      </rPr>
      <t xml:space="preserve"> </t>
    </r>
  </si>
  <si>
    <t>nF</t>
  </si>
  <si>
    <t>Input Voltage UVLO Turn-On</t>
  </si>
  <si>
    <t>Input Voltage UVLO Turn-Off</t>
  </si>
  <si>
    <r>
      <t>UVLO Upper Resistor, R</t>
    </r>
    <r>
      <rPr>
        <vertAlign val="subscript"/>
        <sz val="10"/>
        <rFont val="Arial"/>
        <family val="2"/>
      </rPr>
      <t>UV1</t>
    </r>
  </si>
  <si>
    <r>
      <t>UVLO Lower Resistor, R</t>
    </r>
    <r>
      <rPr>
        <vertAlign val="subscript"/>
        <sz val="10"/>
        <rFont val="Arial"/>
        <family val="2"/>
      </rPr>
      <t>UV2</t>
    </r>
  </si>
  <si>
    <t xml:space="preserve"> If the SYNC feature is not required, connect SYNCIN to GND</t>
  </si>
  <si>
    <t xml:space="preserve"> or VCC for diode emulation or FPWM modes, respectively</t>
  </si>
  <si>
    <t>Step 7: Compensation Design</t>
  </si>
  <si>
    <t xml:space="preserve">LC Complex Pole Frequency </t>
  </si>
  <si>
    <t xml:space="preserve">ESR Zero Frequency </t>
  </si>
  <si>
    <t xml:space="preserve">Desired Crossover Frequency </t>
  </si>
  <si>
    <t xml:space="preserve">     kHz</t>
  </si>
  <si>
    <t xml:space="preserve">Appropriate Midband Gain </t>
  </si>
  <si>
    <t>V/V</t>
  </si>
  <si>
    <r>
      <t>Upper Feedback Resistor, R</t>
    </r>
    <r>
      <rPr>
        <b/>
        <vertAlign val="subscript"/>
        <sz val="10"/>
        <rFont val="Arial"/>
        <family val="2"/>
      </rPr>
      <t xml:space="preserve">FB1 </t>
    </r>
  </si>
  <si>
    <r>
      <t>Lower Feedback Resistor, R</t>
    </r>
    <r>
      <rPr>
        <vertAlign val="subscript"/>
        <sz val="10"/>
        <rFont val="Arial"/>
        <family val="2"/>
      </rPr>
      <t>FB2</t>
    </r>
    <r>
      <rPr>
        <sz val="10"/>
        <rFont val="Arial"/>
        <family val="2"/>
      </rPr>
      <t xml:space="preserve"> </t>
    </r>
  </si>
  <si>
    <r>
      <t>Actual Output Voltage, V</t>
    </r>
    <r>
      <rPr>
        <vertAlign val="subscript"/>
        <sz val="10"/>
        <color theme="1"/>
        <rFont val="Arial"/>
        <family val="2"/>
      </rPr>
      <t>OUT</t>
    </r>
    <r>
      <rPr>
        <sz val="10"/>
        <color theme="1"/>
        <rFont val="Arial"/>
        <family val="2"/>
      </rPr>
      <t xml:space="preserve"> </t>
    </r>
  </si>
  <si>
    <t xml:space="preserve"> Pole &amp; Zero Placement</t>
  </si>
  <si>
    <r>
      <t>F</t>
    </r>
    <r>
      <rPr>
        <b/>
        <vertAlign val="subscript"/>
        <sz val="10"/>
        <rFont val="Arial"/>
        <family val="2"/>
      </rPr>
      <t xml:space="preserve">Z1  </t>
    </r>
  </si>
  <si>
    <r>
      <t>F</t>
    </r>
    <r>
      <rPr>
        <b/>
        <vertAlign val="subscript"/>
        <sz val="10"/>
        <rFont val="Arial"/>
        <family val="2"/>
      </rPr>
      <t xml:space="preserve">Z2  </t>
    </r>
  </si>
  <si>
    <r>
      <t>F</t>
    </r>
    <r>
      <rPr>
        <b/>
        <vertAlign val="subscript"/>
        <sz val="10"/>
        <rFont val="Arial"/>
        <family val="2"/>
      </rPr>
      <t>P1</t>
    </r>
    <r>
      <rPr>
        <b/>
        <sz val="10"/>
        <rFont val="Arial"/>
        <family val="2"/>
      </rPr>
      <t xml:space="preserve">  </t>
    </r>
  </si>
  <si>
    <r>
      <t>F</t>
    </r>
    <r>
      <rPr>
        <b/>
        <vertAlign val="subscript"/>
        <sz val="10"/>
        <rFont val="Arial"/>
        <family val="2"/>
      </rPr>
      <t>P2</t>
    </r>
    <r>
      <rPr>
        <b/>
        <sz val="10"/>
        <rFont val="Arial"/>
        <family val="2"/>
      </rPr>
      <t xml:space="preserve">  </t>
    </r>
  </si>
  <si>
    <t>Compensation Components</t>
  </si>
  <si>
    <t>Calculated /</t>
  </si>
  <si>
    <t>Std Values</t>
  </si>
  <si>
    <t>Actual P/Z Frequencies</t>
  </si>
  <si>
    <r>
      <t>R</t>
    </r>
    <r>
      <rPr>
        <b/>
        <vertAlign val="subscript"/>
        <sz val="10"/>
        <rFont val="Arial"/>
        <family val="2"/>
      </rPr>
      <t>C1</t>
    </r>
  </si>
  <si>
    <r>
      <t>kHz (F</t>
    </r>
    <r>
      <rPr>
        <b/>
        <vertAlign val="subscript"/>
        <sz val="10"/>
        <rFont val="Arial"/>
        <family val="2"/>
      </rPr>
      <t>Z1</t>
    </r>
    <r>
      <rPr>
        <b/>
        <sz val="10"/>
        <rFont val="Arial"/>
        <family val="2"/>
      </rPr>
      <t>)</t>
    </r>
  </si>
  <si>
    <r>
      <t>C</t>
    </r>
    <r>
      <rPr>
        <b/>
        <vertAlign val="subscript"/>
        <sz val="10"/>
        <rFont val="Arial"/>
        <family val="2"/>
      </rPr>
      <t>C1</t>
    </r>
  </si>
  <si>
    <t>pF</t>
  </si>
  <si>
    <r>
      <t>kHz (F</t>
    </r>
    <r>
      <rPr>
        <b/>
        <vertAlign val="subscript"/>
        <sz val="10"/>
        <rFont val="Arial"/>
        <family val="2"/>
      </rPr>
      <t>Z2</t>
    </r>
    <r>
      <rPr>
        <b/>
        <sz val="10"/>
        <rFont val="Arial"/>
        <family val="2"/>
      </rPr>
      <t>)</t>
    </r>
  </si>
  <si>
    <r>
      <t>C</t>
    </r>
    <r>
      <rPr>
        <b/>
        <vertAlign val="subscript"/>
        <sz val="10"/>
        <rFont val="Arial"/>
        <family val="2"/>
      </rPr>
      <t>C2</t>
    </r>
  </si>
  <si>
    <r>
      <t>kHz (F</t>
    </r>
    <r>
      <rPr>
        <b/>
        <vertAlign val="subscript"/>
        <sz val="10"/>
        <rFont val="Arial"/>
        <family val="2"/>
      </rPr>
      <t>P1</t>
    </r>
    <r>
      <rPr>
        <b/>
        <sz val="10"/>
        <rFont val="Arial"/>
        <family val="2"/>
      </rPr>
      <t>)</t>
    </r>
  </si>
  <si>
    <r>
      <t>R</t>
    </r>
    <r>
      <rPr>
        <b/>
        <vertAlign val="subscript"/>
        <sz val="10"/>
        <rFont val="Arial"/>
        <family val="2"/>
      </rPr>
      <t>C2</t>
    </r>
  </si>
  <si>
    <r>
      <t>kHz (F</t>
    </r>
    <r>
      <rPr>
        <b/>
        <vertAlign val="subscript"/>
        <sz val="10"/>
        <rFont val="Arial"/>
        <family val="2"/>
      </rPr>
      <t>P2</t>
    </r>
    <r>
      <rPr>
        <b/>
        <sz val="10"/>
        <rFont val="Arial"/>
        <family val="2"/>
      </rPr>
      <t>)</t>
    </r>
  </si>
  <si>
    <r>
      <t>C</t>
    </r>
    <r>
      <rPr>
        <b/>
        <vertAlign val="subscript"/>
        <sz val="10"/>
        <rFont val="Arial"/>
        <family val="2"/>
      </rPr>
      <t>C3</t>
    </r>
  </si>
  <si>
    <t>Efficiency / Power Loss Analyzer</t>
  </si>
  <si>
    <t>Step 8: Efficiency</t>
  </si>
  <si>
    <r>
      <t>High-Side MOSFET (Q</t>
    </r>
    <r>
      <rPr>
        <b/>
        <vertAlign val="subscript"/>
        <sz val="10"/>
        <color rgb="FF0000FF"/>
        <rFont val="Arial"/>
        <family val="2"/>
      </rPr>
      <t>1</t>
    </r>
    <r>
      <rPr>
        <b/>
        <sz val="10"/>
        <color rgb="FF0000FF"/>
        <rFont val="Arial"/>
        <family val="2"/>
      </rPr>
      <t>) Specifications</t>
    </r>
  </si>
  <si>
    <t>CSD19538Q3A</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</si>
  <si>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</si>
  <si>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</si>
  <si>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t>nC</t>
  </si>
  <si>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</si>
  <si>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</si>
  <si>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Output Capacitance, C</t>
    </r>
    <r>
      <rPr>
        <b/>
        <vertAlign val="subscript"/>
        <sz val="10"/>
        <rFont val="Arial"/>
        <family val="2"/>
      </rPr>
      <t>OSS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</si>
  <si>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</si>
  <si>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</si>
  <si>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t>S</t>
  </si>
  <si>
    <r>
      <t>Gate-Source Plateau Voltage, V</t>
    </r>
    <r>
      <rPr>
        <b/>
        <vertAlign val="subscript"/>
        <sz val="10"/>
        <rFont val="Arial"/>
        <family val="2"/>
      </rPr>
      <t>GS(MP)</t>
    </r>
    <r>
      <rPr>
        <b/>
        <sz val="10"/>
        <rFont val="Arial"/>
        <family val="2"/>
      </rPr>
      <t xml:space="preserve"> </t>
    </r>
  </si>
  <si>
    <r>
      <t>Body Diode Forward Voltage, V</t>
    </r>
    <r>
      <rPr>
        <b/>
        <vertAlign val="subscript"/>
        <sz val="10"/>
        <rFont val="Arial"/>
        <family val="2"/>
      </rPr>
      <t>BD1</t>
    </r>
    <r>
      <rPr>
        <b/>
        <sz val="10"/>
        <rFont val="Arial"/>
        <family val="2"/>
      </rPr>
      <t xml:space="preserve"> </t>
    </r>
  </si>
  <si>
    <r>
      <t>Thermal Resistance, θ</t>
    </r>
    <r>
      <rPr>
        <b/>
        <vertAlign val="subscript"/>
        <sz val="10"/>
        <rFont val="Arial"/>
        <family val="2"/>
      </rPr>
      <t>JA</t>
    </r>
    <r>
      <rPr>
        <b/>
        <sz val="10"/>
        <rFont val="Arial"/>
        <family val="2"/>
      </rPr>
      <t xml:space="preserve"> </t>
    </r>
  </si>
  <si>
    <t>°C/W</t>
  </si>
  <si>
    <r>
      <t>Low-Side MOSFET (Q</t>
    </r>
    <r>
      <rPr>
        <b/>
        <vertAlign val="subscript"/>
        <sz val="10"/>
        <color rgb="FF0000FF"/>
        <rFont val="Arial"/>
        <family val="2"/>
      </rPr>
      <t>2</t>
    </r>
    <r>
      <rPr>
        <b/>
        <sz val="10"/>
        <color rgb="FF0000FF"/>
        <rFont val="Arial"/>
        <family val="2"/>
      </rPr>
      <t>) Specifications</t>
    </r>
  </si>
  <si>
    <t>NVMFS6B14NL</t>
  </si>
  <si>
    <r>
      <t>Output Charge, Q</t>
    </r>
    <r>
      <rPr>
        <b/>
        <vertAlign val="subscript"/>
        <sz val="10"/>
        <rFont val="Arial"/>
        <family val="2"/>
      </rPr>
      <t>OSS</t>
    </r>
    <r>
      <rPr>
        <b/>
        <sz val="10"/>
        <rFont val="Arial"/>
        <family val="2"/>
      </rPr>
      <t xml:space="preserve"> </t>
    </r>
  </si>
  <si>
    <r>
      <t>Body Diode Forward Voltage, V</t>
    </r>
    <r>
      <rPr>
        <b/>
        <vertAlign val="subscript"/>
        <sz val="10"/>
        <rFont val="Arial"/>
        <family val="2"/>
      </rPr>
      <t>BD2</t>
    </r>
    <r>
      <rPr>
        <b/>
        <sz val="10"/>
        <rFont val="Arial"/>
        <family val="2"/>
      </rPr>
      <t xml:space="preserve"> </t>
    </r>
  </si>
  <si>
    <r>
      <t>Body Diode Recovery Charge, Q</t>
    </r>
    <r>
      <rPr>
        <b/>
        <vertAlign val="subscript"/>
        <sz val="10"/>
        <rFont val="Arial"/>
        <family val="2"/>
      </rPr>
      <t>RR</t>
    </r>
    <r>
      <rPr>
        <b/>
        <sz val="10"/>
        <rFont val="Arial"/>
        <family val="2"/>
      </rPr>
      <t xml:space="preserve"> </t>
    </r>
  </si>
  <si>
    <t>Step 9: IC Power Loss</t>
  </si>
  <si>
    <t>IC Power Dissipation</t>
  </si>
  <si>
    <t>IC Junction Temperature Rise (est)</t>
  </si>
  <si>
    <t>°C</t>
  </si>
  <si>
    <t>** Tie SYNCIN to VCC and GND for CCM and DCM operation, respectively **</t>
  </si>
  <si>
    <r>
      <t>Wide V</t>
    </r>
    <r>
      <rPr>
        <b/>
        <vertAlign val="subscript"/>
        <sz val="16"/>
        <rFont val="Arial"/>
        <family val="2"/>
      </rPr>
      <t>IN</t>
    </r>
    <r>
      <rPr>
        <b/>
        <sz val="16"/>
        <rFont val="Arial"/>
        <family val="2"/>
      </rPr>
      <t>, High Efficiency Synchronous Buck Regulator BOM</t>
    </r>
  </si>
  <si>
    <t>Count</t>
  </si>
  <si>
    <t>Ref Des</t>
  </si>
  <si>
    <t>Value</t>
  </si>
  <si>
    <t>Description</t>
  </si>
  <si>
    <t>Size</t>
  </si>
  <si>
    <t>Part Number</t>
  </si>
  <si>
    <t>MFR</t>
  </si>
  <si>
    <t>Footprint (mm)</t>
  </si>
  <si>
    <r>
      <t>Area (mm</t>
    </r>
    <r>
      <rPr>
        <b/>
        <vertAlign val="superscript"/>
        <sz val="10"/>
        <color theme="0"/>
        <rFont val="Arial"/>
        <family val="2"/>
      </rPr>
      <t>2</t>
    </r>
    <r>
      <rPr>
        <b/>
        <sz val="10"/>
        <color theme="0"/>
        <rFont val="Arial"/>
        <family val="2"/>
      </rPr>
      <t>)</t>
    </r>
  </si>
  <si>
    <r>
      <t>C</t>
    </r>
    <r>
      <rPr>
        <vertAlign val="subscript"/>
        <sz val="10"/>
        <rFont val="Arial"/>
        <family val="2"/>
      </rPr>
      <t>BOOT</t>
    </r>
  </si>
  <si>
    <t>Std</t>
  </si>
  <si>
    <r>
      <t>C</t>
    </r>
    <r>
      <rPr>
        <vertAlign val="subscript"/>
        <sz val="10"/>
        <rFont val="Arial"/>
        <family val="2"/>
      </rPr>
      <t>C1</t>
    </r>
  </si>
  <si>
    <r>
      <t>C</t>
    </r>
    <r>
      <rPr>
        <vertAlign val="subscript"/>
        <sz val="10"/>
        <rFont val="Arial"/>
        <family val="2"/>
      </rPr>
      <t>C2</t>
    </r>
  </si>
  <si>
    <r>
      <t>C</t>
    </r>
    <r>
      <rPr>
        <vertAlign val="subscript"/>
        <sz val="10"/>
        <rFont val="Arial"/>
        <family val="2"/>
      </rPr>
      <t>C3</t>
    </r>
  </si>
  <si>
    <r>
      <t>C</t>
    </r>
    <r>
      <rPr>
        <vertAlign val="subscript"/>
        <sz val="10"/>
        <rFont val="Arial"/>
        <family val="2"/>
      </rPr>
      <t>S</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</si>
  <si>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</si>
  <si>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</si>
  <si>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</si>
  <si>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VCC</t>
    </r>
  </si>
  <si>
    <r>
      <t>C</t>
    </r>
    <r>
      <rPr>
        <vertAlign val="subscript"/>
        <sz val="10"/>
        <rFont val="Arial"/>
        <family val="2"/>
      </rPr>
      <t>VIN</t>
    </r>
  </si>
  <si>
    <r>
      <t>L</t>
    </r>
    <r>
      <rPr>
        <vertAlign val="subscript"/>
        <sz val="10"/>
        <rFont val="Arial"/>
        <family val="2"/>
      </rPr>
      <t>O</t>
    </r>
  </si>
  <si>
    <t>Various</t>
  </si>
  <si>
    <r>
      <t>Q</t>
    </r>
    <r>
      <rPr>
        <vertAlign val="subscript"/>
        <sz val="10"/>
        <rFont val="Arial"/>
        <family val="2"/>
      </rPr>
      <t>1</t>
    </r>
  </si>
  <si>
    <t>See description</t>
  </si>
  <si>
    <t>TI</t>
  </si>
  <si>
    <r>
      <t>Q</t>
    </r>
    <r>
      <rPr>
        <vertAlign val="subscript"/>
        <sz val="10"/>
        <rFont val="Arial"/>
        <family val="2"/>
      </rPr>
      <t>2</t>
    </r>
  </si>
  <si>
    <r>
      <t>R</t>
    </r>
    <r>
      <rPr>
        <vertAlign val="subscript"/>
        <sz val="10"/>
        <rFont val="Arial"/>
        <family val="2"/>
      </rPr>
      <t>C1</t>
    </r>
  </si>
  <si>
    <r>
      <t>R</t>
    </r>
    <r>
      <rPr>
        <vertAlign val="subscript"/>
        <sz val="10"/>
        <rFont val="Arial"/>
        <family val="2"/>
      </rPr>
      <t>C2</t>
    </r>
  </si>
  <si>
    <r>
      <t>R</t>
    </r>
    <r>
      <rPr>
        <vertAlign val="subscript"/>
        <sz val="10"/>
        <rFont val="Arial"/>
        <family val="2"/>
      </rPr>
      <t>ILIM</t>
    </r>
  </si>
  <si>
    <r>
      <t>R</t>
    </r>
    <r>
      <rPr>
        <vertAlign val="subscript"/>
        <sz val="10"/>
        <rFont val="Arial"/>
        <family val="2"/>
      </rPr>
      <t>RT</t>
    </r>
  </si>
  <si>
    <r>
      <t>R</t>
    </r>
    <r>
      <rPr>
        <vertAlign val="subscript"/>
        <sz val="10"/>
        <rFont val="Arial"/>
        <family val="2"/>
      </rPr>
      <t>FB1</t>
    </r>
  </si>
  <si>
    <r>
      <t>R</t>
    </r>
    <r>
      <rPr>
        <vertAlign val="subscript"/>
        <sz val="10"/>
        <rFont val="Arial"/>
        <family val="2"/>
      </rPr>
      <t>FB2</t>
    </r>
  </si>
  <si>
    <r>
      <t>R</t>
    </r>
    <r>
      <rPr>
        <vertAlign val="subscript"/>
        <sz val="10"/>
        <rFont val="Arial"/>
        <family val="2"/>
      </rPr>
      <t>PGOOD</t>
    </r>
  </si>
  <si>
    <r>
      <t>R</t>
    </r>
    <r>
      <rPr>
        <vertAlign val="subscript"/>
        <sz val="10"/>
        <rFont val="Arial"/>
        <family val="2"/>
      </rPr>
      <t>S</t>
    </r>
  </si>
  <si>
    <t>3.2 x 1.6</t>
  </si>
  <si>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</si>
  <si>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</si>
  <si>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</si>
  <si>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U</t>
    </r>
    <r>
      <rPr>
        <b/>
        <vertAlign val="subscript"/>
        <sz val="10"/>
        <rFont val="Arial"/>
        <family val="2"/>
      </rPr>
      <t>1</t>
    </r>
  </si>
  <si>
    <t>VQFN-20</t>
  </si>
  <si>
    <t>3.5 x 4.5 x 1.0</t>
  </si>
  <si>
    <t>Total Solution Size (buffered by 25%)</t>
  </si>
  <si>
    <r>
      <t>mm</t>
    </r>
    <r>
      <rPr>
        <b/>
        <vertAlign val="superscript"/>
        <sz val="12"/>
        <color rgb="FFFF0000"/>
        <rFont val="Arial"/>
        <family val="2"/>
      </rPr>
      <t>2</t>
    </r>
    <r>
      <rPr>
        <b/>
        <sz val="12"/>
        <color rgb="FFFF0000"/>
        <rFont val="Arial"/>
        <family val="2"/>
      </rPr>
      <t xml:space="preserve">  =</t>
    </r>
  </si>
  <si>
    <r>
      <t>in</t>
    </r>
    <r>
      <rPr>
        <b/>
        <vertAlign val="superscript"/>
        <sz val="12"/>
        <color rgb="FFFF0000"/>
        <rFont val="Arial"/>
        <family val="2"/>
      </rPr>
      <t>2</t>
    </r>
  </si>
  <si>
    <r>
      <rPr>
        <b/>
        <u/>
        <sz val="10"/>
        <rFont val="Arial"/>
        <family val="2"/>
      </rPr>
      <t>NOTES</t>
    </r>
    <r>
      <rPr>
        <b/>
        <sz val="10"/>
        <rFont val="Arial"/>
        <family val="2"/>
      </rPr>
      <t>:</t>
    </r>
  </si>
  <si>
    <t>** Inductor saturation current should be higher than the current limit setpoint at all operating temperatures **</t>
  </si>
  <si>
    <r>
      <t xml:space="preserve">** Effective output capacitance should be appropriately </t>
    </r>
    <r>
      <rPr>
        <b/>
        <sz val="10"/>
        <rFont val="Arial"/>
        <family val="2"/>
      </rPr>
      <t>derated</t>
    </r>
    <r>
      <rPr>
        <sz val="10"/>
        <rFont val="Arial"/>
        <family val="2"/>
      </rPr>
      <t xml:space="preserve"> for applied voltage and temperature, particularly with </t>
    </r>
    <r>
      <rPr>
        <b/>
        <sz val="10"/>
        <rFont val="Arial"/>
        <family val="2"/>
      </rPr>
      <t>ceramics</t>
    </r>
    <r>
      <rPr>
        <sz val="10"/>
        <rFont val="Arial"/>
        <family val="2"/>
      </rPr>
      <t xml:space="preserve"> **</t>
    </r>
  </si>
  <si>
    <t xml:space="preserve"> LM(2)5145/6/-Q1 Quickstart Calculator</t>
  </si>
  <si>
    <t>LM5146-Q1-EVM12V</t>
  </si>
  <si>
    <t>LM5145EVM-HD-20A PCB Layout</t>
  </si>
  <si>
    <t>Top</t>
  </si>
  <si>
    <t>Layer</t>
  </si>
  <si>
    <t>x</t>
  </si>
  <si>
    <t>Layer 2</t>
  </si>
  <si>
    <t>Layer 3</t>
  </si>
  <si>
    <t>Bottom</t>
  </si>
  <si>
    <t>Excel Variables Names/Calculations</t>
  </si>
  <si>
    <t>Input from user =</t>
  </si>
  <si>
    <t>Output =</t>
  </si>
  <si>
    <t>Constant</t>
  </si>
  <si>
    <t>Variable Name</t>
  </si>
  <si>
    <t>STD Units</t>
  </si>
  <si>
    <t>Notes</t>
  </si>
  <si>
    <t>iteration</t>
  </si>
  <si>
    <t>Step 1: Operational Specs</t>
  </si>
  <si>
    <t>Vin</t>
  </si>
  <si>
    <t>Nominal input voltage</t>
  </si>
  <si>
    <t>LM5145</t>
  </si>
  <si>
    <t>Vinmin</t>
  </si>
  <si>
    <t>Min input voltage</t>
  </si>
  <si>
    <t>LM5145-Q1</t>
  </si>
  <si>
    <t>Vinmax</t>
  </si>
  <si>
    <t>Max input voltage</t>
  </si>
  <si>
    <t>LM25145</t>
  </si>
  <si>
    <t>Vout</t>
  </si>
  <si>
    <t>Output Voltage</t>
  </si>
  <si>
    <t>LM5146</t>
  </si>
  <si>
    <t>Iout</t>
  </si>
  <si>
    <t>Maximum output Current</t>
  </si>
  <si>
    <t>LM5146-Q1</t>
  </si>
  <si>
    <t>Fsw</t>
  </si>
  <si>
    <t>Hz</t>
  </si>
  <si>
    <t>Nominal Operational Frequency</t>
  </si>
  <si>
    <t>VARIANT</t>
  </si>
  <si>
    <t>Fsw_freerunning</t>
  </si>
  <si>
    <t>Free-running switching frequency</t>
  </si>
  <si>
    <t>VIN-MAX</t>
  </si>
  <si>
    <t>Vref</t>
  </si>
  <si>
    <t>Reference Voltage</t>
  </si>
  <si>
    <t>VIN-MIN</t>
  </si>
  <si>
    <t>R_RT</t>
  </si>
  <si>
    <t>VOUT-MAX</t>
  </si>
  <si>
    <t>Ton at Vin-max</t>
  </si>
  <si>
    <t>ns</t>
  </si>
  <si>
    <t>Toff at Vin-min</t>
  </si>
  <si>
    <t>External VCC Applied</t>
  </si>
  <si>
    <t>No External VCC</t>
  </si>
  <si>
    <t>Ext_VCC</t>
  </si>
  <si>
    <t>Step 2: Inductor</t>
  </si>
  <si>
    <t>Don1</t>
  </si>
  <si>
    <t>index</t>
  </si>
  <si>
    <t>ideal Duty Cycle</t>
  </si>
  <si>
    <t>Doff1</t>
  </si>
  <si>
    <t>Ideal 1- Duty Cycle</t>
  </si>
  <si>
    <t>Don_Vinmin</t>
  </si>
  <si>
    <t>Doff_Vinmin</t>
  </si>
  <si>
    <t>Don_Vinmax</t>
  </si>
  <si>
    <t>Doff_Vinmax</t>
  </si>
  <si>
    <t>Lout1</t>
  </si>
  <si>
    <t>H</t>
  </si>
  <si>
    <t>Calculated Inductor value for 30% ripple</t>
  </si>
  <si>
    <t>Lout2</t>
  </si>
  <si>
    <t>Chosen Inductor Value</t>
  </si>
  <si>
    <t>Rdcr</t>
  </si>
  <si>
    <t>DCR</t>
  </si>
  <si>
    <t>Don2</t>
  </si>
  <si>
    <t>Duty Cycle with DCR accounted for</t>
  </si>
  <si>
    <t>Doff2</t>
  </si>
  <si>
    <t>1-Duty Cycle with DCR accounted for</t>
  </si>
  <si>
    <t>Don2_Vinmin</t>
  </si>
  <si>
    <t>Doff2_Vinmin</t>
  </si>
  <si>
    <t>Don2_Vinmax</t>
  </si>
  <si>
    <t>Vout&lt;5V</t>
  </si>
  <si>
    <t>Doff2_Vinmax</t>
  </si>
  <si>
    <t>Vout&lt;=8V</t>
  </si>
  <si>
    <t>Vout&lt;=12V</t>
  </si>
  <si>
    <t>Vripple1</t>
  </si>
  <si>
    <t>Choosen Initial Voltage ripple Value</t>
  </si>
  <si>
    <t>Vout&lt;=20V</t>
  </si>
  <si>
    <t>Irripple1</t>
  </si>
  <si>
    <t>Ripple Current after Chosen inductor (p-p)</t>
  </si>
  <si>
    <t>Vout&lt;=42V</t>
  </si>
  <si>
    <t>DCR at hot</t>
  </si>
  <si>
    <t>Ohms</t>
  </si>
  <si>
    <t>Temp</t>
  </si>
  <si>
    <t>Vout&lt;60V</t>
  </si>
  <si>
    <t>TL</t>
  </si>
  <si>
    <t>s</t>
  </si>
  <si>
    <t>L/R Time Constant</t>
  </si>
  <si>
    <t>Cout Capacitance</t>
  </si>
  <si>
    <t>Quantity: 1</t>
  </si>
  <si>
    <t>Quantity: 2</t>
  </si>
  <si>
    <t>Step 3: Current Limit</t>
  </si>
  <si>
    <t>SON 5 x 6</t>
  </si>
  <si>
    <t>5.0 x 6.0</t>
  </si>
  <si>
    <t>DC Current Limit Setpoint</t>
  </si>
  <si>
    <t>SON 3 x 3</t>
  </si>
  <si>
    <t>3.3 x 3.3</t>
  </si>
  <si>
    <t>Ilimit</t>
  </si>
  <si>
    <t>Chosen current limit level - valley current</t>
  </si>
  <si>
    <t>DPAK, TO-252</t>
  </si>
  <si>
    <t>10.0 x 6.6</t>
  </si>
  <si>
    <t>Ilsat</t>
  </si>
  <si>
    <t>D2PAK, TO-263</t>
  </si>
  <si>
    <t>15.0 x 10.0</t>
  </si>
  <si>
    <t>MOSFET package</t>
  </si>
  <si>
    <t>Ilim1</t>
  </si>
  <si>
    <t>Current Limit Current Source - Rdson sensing</t>
  </si>
  <si>
    <t>Ilim2</t>
  </si>
  <si>
    <t>Current Limit Current Source - shunt sensing</t>
  </si>
  <si>
    <r>
      <t>R</t>
    </r>
    <r>
      <rPr>
        <vertAlign val="subscript"/>
        <sz val="10"/>
        <rFont val="Arial"/>
        <family val="2"/>
      </rPr>
      <t>DS(on)</t>
    </r>
    <r>
      <rPr>
        <sz val="10"/>
        <rFont val="Arial"/>
        <family val="2"/>
      </rPr>
      <t xml:space="preserve"> sensing</t>
    </r>
  </si>
  <si>
    <t>Rilim_Rdson_ideal</t>
  </si>
  <si>
    <t>Ideal Rset for the chosen current limit</t>
  </si>
  <si>
    <t>Shunt sensing</t>
  </si>
  <si>
    <t>Rilim_Rdson</t>
  </si>
  <si>
    <t>Standard value current limit set resistor</t>
  </si>
  <si>
    <t>Current Sensing</t>
  </si>
  <si>
    <t>1 = Yes, 2 = No</t>
  </si>
  <si>
    <t>Rshunt</t>
  </si>
  <si>
    <t>Rilim_shunt_ideal</t>
  </si>
  <si>
    <t>6.3V</t>
  </si>
  <si>
    <t>Rilim_shunt</t>
  </si>
  <si>
    <t>10V</t>
  </si>
  <si>
    <t>Vin(max)&lt;=8V</t>
  </si>
  <si>
    <t>16V</t>
  </si>
  <si>
    <t>Vin(max)&lt;=12V</t>
  </si>
  <si>
    <t>Power dissipation in the shunt</t>
  </si>
  <si>
    <t>25V</t>
  </si>
  <si>
    <t>Vin(max)&lt;=20V</t>
  </si>
  <si>
    <t>Cilim</t>
  </si>
  <si>
    <t>F</t>
  </si>
  <si>
    <t>Choose cap for 6ns time constant</t>
  </si>
  <si>
    <t>50V</t>
  </si>
  <si>
    <t>Vin(max)&lt;=42V</t>
  </si>
  <si>
    <t>Cilim_ideal</t>
  </si>
  <si>
    <t>100V</t>
  </si>
  <si>
    <t>Vin(max)&lt;100V</t>
  </si>
  <si>
    <t>Ilimit2</t>
  </si>
  <si>
    <t>Current limit setpoint after standard components are selected</t>
  </si>
  <si>
    <t>Cout Voltage Rating</t>
  </si>
  <si>
    <t>Cin Voltage Rating</t>
  </si>
  <si>
    <t>Step 4: Output Capacitor</t>
  </si>
  <si>
    <t>Icoutrms</t>
  </si>
  <si>
    <t>Output Cap rms current</t>
  </si>
  <si>
    <t>0402</t>
  </si>
  <si>
    <t>1.0 x 0.5</t>
  </si>
  <si>
    <t>Coutmin</t>
  </si>
  <si>
    <t>Minimum Output Capacitnace</t>
  </si>
  <si>
    <t>0603</t>
  </si>
  <si>
    <t>1.6 x 0.8</t>
  </si>
  <si>
    <t>Cout</t>
  </si>
  <si>
    <t>Choosen Output Capacitor</t>
  </si>
  <si>
    <t>0805</t>
  </si>
  <si>
    <t>2.0 x 1.25</t>
  </si>
  <si>
    <t>Resrmax</t>
  </si>
  <si>
    <t>Max ESR before ripple exceeds Vripple1</t>
  </si>
  <si>
    <t>1206</t>
  </si>
  <si>
    <t>CoutEsr</t>
  </si>
  <si>
    <t>Chosen ESR</t>
  </si>
  <si>
    <t>1210</t>
  </si>
  <si>
    <t>3.2 x 2.5</t>
  </si>
  <si>
    <t>Vripple</t>
  </si>
  <si>
    <t>Vp-p</t>
  </si>
  <si>
    <t>Component Size</t>
  </si>
  <si>
    <t>Step 5: Input Capacitor</t>
  </si>
  <si>
    <t>Vinripple1</t>
  </si>
  <si>
    <t>3mm x 3mm</t>
  </si>
  <si>
    <t>3.0 x 3.0</t>
  </si>
  <si>
    <t>Icinrms</t>
  </si>
  <si>
    <t>4mm x 4mm</t>
  </si>
  <si>
    <t>4.0 x 4.0</t>
  </si>
  <si>
    <t>Cinmin</t>
  </si>
  <si>
    <t>5mm x 5mm</t>
  </si>
  <si>
    <t>5.0 x 5.0</t>
  </si>
  <si>
    <t>Cin</t>
  </si>
  <si>
    <t>Input capacitance</t>
  </si>
  <si>
    <t>6mm x 6mm</t>
  </si>
  <si>
    <t>6.0 x 6.0</t>
  </si>
  <si>
    <t>CinEsrMax</t>
  </si>
  <si>
    <t>7mm x 7mm</t>
  </si>
  <si>
    <t>7.0 x 7.0</t>
  </si>
  <si>
    <t>RCinEsr</t>
  </si>
  <si>
    <t>Input capacitance series resistance (ESR)</t>
  </si>
  <si>
    <t>8mm x 8mm</t>
  </si>
  <si>
    <t>8.0 x 8.0</t>
  </si>
  <si>
    <t>Vinripple2</t>
  </si>
  <si>
    <t>10mm x 10mm</t>
  </si>
  <si>
    <t>10.0 x 10.0</t>
  </si>
  <si>
    <t>12mm x 12mm</t>
  </si>
  <si>
    <t>12.0 x 12.0</t>
  </si>
  <si>
    <t>Inductor Size</t>
  </si>
  <si>
    <t>Step 6: Soft Start</t>
  </si>
  <si>
    <t>Tss</t>
  </si>
  <si>
    <t>Soft Start Time</t>
  </si>
  <si>
    <t>Iss</t>
  </si>
  <si>
    <t>Load Cap current during soft start</t>
  </si>
  <si>
    <t>Css</t>
  </si>
  <si>
    <t>Css_u</t>
  </si>
  <si>
    <t>Step 7: Other Components</t>
  </si>
  <si>
    <r>
      <t>VIN</t>
    </r>
    <r>
      <rPr>
        <vertAlign val="subscript"/>
        <sz val="10"/>
        <rFont val="Arial"/>
        <family val="2"/>
      </rPr>
      <t>UVLO_ON</t>
    </r>
  </si>
  <si>
    <r>
      <t>VIN</t>
    </r>
    <r>
      <rPr>
        <vertAlign val="subscript"/>
        <sz val="10"/>
        <rFont val="Arial"/>
        <family val="2"/>
      </rPr>
      <t>UVLO_OFF</t>
    </r>
  </si>
  <si>
    <t>kΩ</t>
  </si>
  <si>
    <r>
      <t>VIN</t>
    </r>
    <r>
      <rPr>
        <vertAlign val="subscript"/>
        <sz val="10"/>
        <rFont val="Arial"/>
        <family val="2"/>
      </rPr>
      <t>UVLO_ON_ACTUAL</t>
    </r>
  </si>
  <si>
    <r>
      <t>VIN</t>
    </r>
    <r>
      <rPr>
        <vertAlign val="subscript"/>
        <sz val="10"/>
        <rFont val="Arial"/>
        <family val="2"/>
      </rPr>
      <t>UVLO_OFF_ACTUAL</t>
    </r>
  </si>
  <si>
    <t>Rising UVLO/EN Threshold</t>
  </si>
  <si>
    <t>Falling UVLO/EN Threshold</t>
  </si>
  <si>
    <t>UVLO/EN Current Hysteresis</t>
  </si>
  <si>
    <t>Falling UVLO/EN Falling</t>
  </si>
  <si>
    <t xml:space="preserve">Rising UVLO/EN Hysteresis </t>
  </si>
  <si>
    <r>
      <t>R</t>
    </r>
    <r>
      <rPr>
        <vertAlign val="subscript"/>
        <sz val="10"/>
        <rFont val="Arial"/>
        <family val="2"/>
      </rPr>
      <t>PG</t>
    </r>
  </si>
  <si>
    <r>
      <t>R</t>
    </r>
    <r>
      <rPr>
        <vertAlign val="subscript"/>
        <sz val="10"/>
        <rFont val="Arial"/>
        <family val="2"/>
      </rPr>
      <t>SB</t>
    </r>
  </si>
  <si>
    <t>Rh</t>
  </si>
  <si>
    <t>Rotp</t>
  </si>
  <si>
    <t>CSBY</t>
  </si>
  <si>
    <t>Step 8: Compensation</t>
  </si>
  <si>
    <t>Eadcg</t>
  </si>
  <si>
    <t>Error Amplifier Finite DC Gain (AOL)</t>
  </si>
  <si>
    <t>GBP</t>
  </si>
  <si>
    <t>Error Amplifier Gain Bandwidth Product (GBW)</t>
  </si>
  <si>
    <t>Chosen Crossover</t>
  </si>
  <si>
    <t>Kmidband</t>
  </si>
  <si>
    <t>Midband Gain For the Error Amplifier</t>
  </si>
  <si>
    <t>Rfb1</t>
  </si>
  <si>
    <t>Top Feedback Resistor</t>
  </si>
  <si>
    <t>Rfb2</t>
  </si>
  <si>
    <t>Lower Feedback Resistor</t>
  </si>
  <si>
    <t>Rfb2_u</t>
  </si>
  <si>
    <t>Calculated Lower Feedback Resistor</t>
  </si>
  <si>
    <t>Vout_actual</t>
  </si>
  <si>
    <t>Actual VOUT</t>
  </si>
  <si>
    <t>Vramp</t>
  </si>
  <si>
    <t>Peak-to-Peak Ramp Voltage of PWM</t>
  </si>
  <si>
    <t>Rcea1</t>
  </si>
  <si>
    <t>This component will first set the midband gain</t>
  </si>
  <si>
    <t>Cc1ea</t>
  </si>
  <si>
    <t>This along with Rcea1 will set a zero</t>
  </si>
  <si>
    <t>Cc2ea</t>
  </si>
  <si>
    <t>Rcea2</t>
  </si>
  <si>
    <t>Cc3ea</t>
  </si>
  <si>
    <r>
      <t xml:space="preserve">Choosen Compensation Components from the </t>
    </r>
    <r>
      <rPr>
        <b/>
        <u/>
        <sz val="10"/>
        <color indexed="10"/>
        <rFont val="Arial"/>
        <family val="2"/>
      </rPr>
      <t>standard value sheet</t>
    </r>
  </si>
  <si>
    <t>Rcea1_u</t>
  </si>
  <si>
    <t>Cc1ea_u</t>
  </si>
  <si>
    <t>Cc2ea_u</t>
  </si>
  <si>
    <t>Rcea2_u</t>
  </si>
  <si>
    <t>Cc3ea_u</t>
  </si>
  <si>
    <t>Resulting Poles/Zero/Q Locations</t>
  </si>
  <si>
    <t>Fo</t>
  </si>
  <si>
    <t>LC Double Pole Location</t>
  </si>
  <si>
    <t>Q</t>
  </si>
  <si>
    <t>Quality Factor of LC output Filter</t>
  </si>
  <si>
    <t>Fesr</t>
  </si>
  <si>
    <t>Cout ESR Zero Location</t>
  </si>
  <si>
    <t>Fz1</t>
  </si>
  <si>
    <t>This zero is set at or below the double pole location</t>
  </si>
  <si>
    <t>Fz2</t>
  </si>
  <si>
    <t>Fp1</t>
  </si>
  <si>
    <t>This pole cancels the zero from the Output Cap ESR</t>
  </si>
  <si>
    <t>Fp2</t>
  </si>
  <si>
    <t>This pole is set at half the switching frequency</t>
  </si>
  <si>
    <t>Ro</t>
  </si>
  <si>
    <t>Output Resistance</t>
  </si>
  <si>
    <t>Pi</t>
  </si>
  <si>
    <t>PI</t>
  </si>
  <si>
    <t>Other Input Variables</t>
  </si>
  <si>
    <t>Rfets</t>
  </si>
  <si>
    <t>Series resistance due to FETs</t>
  </si>
  <si>
    <t>Diode loss eq res</t>
  </si>
  <si>
    <t>Fet loss eq res</t>
  </si>
  <si>
    <t>cap loss eq res</t>
  </si>
  <si>
    <t>Sw cap</t>
  </si>
  <si>
    <t>Design</t>
  </si>
  <si>
    <t>Ta</t>
  </si>
  <si>
    <t>Ambient Temperature</t>
  </si>
  <si>
    <t>Components</t>
  </si>
  <si>
    <t>LTc</t>
  </si>
  <si>
    <t>%/°C</t>
  </si>
  <si>
    <t>Inductor Series Resistance Temp Co</t>
  </si>
  <si>
    <t>ThetaCa</t>
  </si>
  <si>
    <t>Core to Ambient Thermal Resistance</t>
  </si>
  <si>
    <t>Input Capacitor Series Resistance</t>
  </si>
  <si>
    <t>Part Characteristics</t>
  </si>
  <si>
    <t>Vcc</t>
  </si>
  <si>
    <t>Top Driver</t>
  </si>
  <si>
    <t>RdsonDRT</t>
  </si>
  <si>
    <t>Drain to Source Resistance of pull up Top FET Driver</t>
  </si>
  <si>
    <t>RdsonDRT2</t>
  </si>
  <si>
    <t>Drain to Source Resistance of pull down Top FET Driver</t>
  </si>
  <si>
    <t>Bottom Driver</t>
  </si>
  <si>
    <t>RdsonDRB</t>
  </si>
  <si>
    <t>RdsonDRB2</t>
  </si>
  <si>
    <t>Deadtime</t>
  </si>
  <si>
    <t>Output Capacitor Capcitance</t>
  </si>
  <si>
    <t>Total Deadtime</t>
  </si>
  <si>
    <t>IQ</t>
  </si>
  <si>
    <t xml:space="preserve">IQ </t>
  </si>
  <si>
    <t>Quiescent Current Of Controller (Not Switching!)</t>
  </si>
  <si>
    <t>Top FET</t>
  </si>
  <si>
    <t>RdsonTop</t>
  </si>
  <si>
    <t xml:space="preserve">Drain to Source Resistance of Top FET </t>
  </si>
  <si>
    <t>RdsonTopTc</t>
  </si>
  <si>
    <t>Drain to Source Resistance Temp Co</t>
  </si>
  <si>
    <t>QgTop</t>
  </si>
  <si>
    <t>C</t>
  </si>
  <si>
    <t>Gate Charge Of Top FET</t>
  </si>
  <si>
    <t>QgdTop</t>
  </si>
  <si>
    <t>Gate to Drain Charge</t>
  </si>
  <si>
    <t>QgsTop</t>
  </si>
  <si>
    <t>Gate to Source Charge</t>
  </si>
  <si>
    <t>CossTop</t>
  </si>
  <si>
    <t>Output Capacitance of High-side FET</t>
  </si>
  <si>
    <t>RGateTop</t>
  </si>
  <si>
    <t>Gate Resistance of High-side FET</t>
  </si>
  <si>
    <t>GfsTop</t>
  </si>
  <si>
    <t>Transconductance of Top FET</t>
  </si>
  <si>
    <t>VthTop</t>
  </si>
  <si>
    <t>Threshold Voltage of Top FET</t>
  </si>
  <si>
    <t>VspTop</t>
  </si>
  <si>
    <t>Switch Point Voltage of Top FET</t>
  </si>
  <si>
    <t>VsdTop</t>
  </si>
  <si>
    <t>Diode Forward Voltage of Top FET Body diode</t>
  </si>
  <si>
    <t>ThetaJaTop</t>
  </si>
  <si>
    <t>Junction to Ambient Resistance</t>
  </si>
  <si>
    <t>Bottom FET</t>
  </si>
  <si>
    <t>RdsonBot</t>
  </si>
  <si>
    <t>Drain To Source Resistance of Bottom FET Driver</t>
  </si>
  <si>
    <t>RdsonBotTc</t>
  </si>
  <si>
    <t>Drain To Source Resitance Temp Co</t>
  </si>
  <si>
    <t>QgBot</t>
  </si>
  <si>
    <t>Gate Charge Of Bottom FET</t>
  </si>
  <si>
    <t>QossBot</t>
  </si>
  <si>
    <t>Output Charge Of Bottom FET</t>
  </si>
  <si>
    <t>CossBot</t>
  </si>
  <si>
    <t>Output Capacitance Of Bottom FET</t>
  </si>
  <si>
    <t>RGateBot</t>
  </si>
  <si>
    <t>Gate Resistance</t>
  </si>
  <si>
    <t>VsdBot</t>
  </si>
  <si>
    <t>Diode Forward Voltage of Bottom FET Body Diode</t>
  </si>
  <si>
    <t>QrrBot</t>
  </si>
  <si>
    <t>Reverse Recovery Charge of Body Diode</t>
  </si>
  <si>
    <t>TrrBot</t>
  </si>
  <si>
    <t>Reverse Recovery Time of Body Diode</t>
  </si>
  <si>
    <t>ThetaJaBot</t>
  </si>
  <si>
    <t>Bottom Schottky</t>
  </si>
  <si>
    <t>VfdSky</t>
  </si>
  <si>
    <t>Diode Forward Voltage</t>
  </si>
  <si>
    <t>QrrSky</t>
  </si>
  <si>
    <t>Diode Reverse Recovery Charge</t>
  </si>
  <si>
    <t>Ireverse</t>
  </si>
  <si>
    <t>Reverse Leakage Current</t>
  </si>
  <si>
    <t>Controller</t>
  </si>
  <si>
    <t>ThetaJaCtrl</t>
  </si>
  <si>
    <t>Outputs</t>
  </si>
  <si>
    <t>Tr</t>
  </si>
  <si>
    <t>Tf</t>
  </si>
  <si>
    <t>Part Power Disipation</t>
  </si>
  <si>
    <t>Units</t>
  </si>
  <si>
    <t>Power Dis</t>
  </si>
  <si>
    <t>Temp rise</t>
  </si>
  <si>
    <t>Current (switching)</t>
  </si>
  <si>
    <t>Qrr Current</t>
  </si>
  <si>
    <t>Diode Current</t>
  </si>
  <si>
    <t>Total Application Switching IQ</t>
  </si>
  <si>
    <t>Bottom FET/Diode</t>
  </si>
  <si>
    <t>Part Power</t>
  </si>
  <si>
    <t>SCHEMATIC LABELS</t>
  </si>
  <si>
    <t>Capacitance per component (Cout)</t>
  </si>
  <si>
    <t># of output caps</t>
  </si>
  <si>
    <t>CIN</t>
  </si>
  <si>
    <t>Capacitance per component (Cin)</t>
  </si>
  <si>
    <t># of input caps</t>
  </si>
  <si>
    <t>Rilim</t>
  </si>
  <si>
    <t>&gt; specify shunt on schematic</t>
  </si>
  <si>
    <t>&gt; specify ILIM cap</t>
  </si>
  <si>
    <t>Rpgood</t>
  </si>
  <si>
    <t>20kΩ</t>
  </si>
  <si>
    <t>Rfadj</t>
  </si>
  <si>
    <t>Cd</t>
  </si>
  <si>
    <t>1nF</t>
  </si>
  <si>
    <t>Blank out</t>
  </si>
  <si>
    <t>OUTPUT CURRENT</t>
  </si>
  <si>
    <t>VIN</t>
  </si>
  <si>
    <t>VIN_range</t>
  </si>
  <si>
    <t xml:space="preserve">VIN </t>
  </si>
  <si>
    <t>CBOOT</t>
  </si>
  <si>
    <t>VDD</t>
  </si>
  <si>
    <t>SYNC</t>
  </si>
  <si>
    <t>EN</t>
  </si>
  <si>
    <t>PGOOD</t>
  </si>
  <si>
    <t>SS/TRACK</t>
  </si>
  <si>
    <t>FADJ</t>
  </si>
  <si>
    <t>GND</t>
  </si>
  <si>
    <t>COMP</t>
  </si>
  <si>
    <t>FB</t>
  </si>
  <si>
    <t>CS-</t>
  </si>
  <si>
    <t>CS+</t>
  </si>
  <si>
    <t>LG</t>
  </si>
  <si>
    <t>SW</t>
  </si>
  <si>
    <t>HG</t>
  </si>
  <si>
    <t>RS</t>
  </si>
  <si>
    <t>OTP</t>
  </si>
  <si>
    <t>D+</t>
  </si>
  <si>
    <t>D-</t>
  </si>
  <si>
    <t>Full-load/high line efficiency</t>
  </si>
  <si>
    <t>Half-load/mid-line efficiency</t>
  </si>
  <si>
    <t>Rs1</t>
  </si>
  <si>
    <t>Rs2</t>
  </si>
  <si>
    <t>Rs3</t>
  </si>
  <si>
    <t>Rs4</t>
  </si>
  <si>
    <t>Capacitors</t>
  </si>
  <si>
    <t>Cdd</t>
  </si>
  <si>
    <t>Csb</t>
  </si>
  <si>
    <t>Csby</t>
  </si>
  <si>
    <t>Cby</t>
  </si>
  <si>
    <t>Cb</t>
  </si>
  <si>
    <t>Sugested Cs</t>
  </si>
  <si>
    <t>Inputs</t>
  </si>
  <si>
    <t>Resistors</t>
  </si>
  <si>
    <t>inputs</t>
  </si>
  <si>
    <t>Standard Result</t>
  </si>
  <si>
    <t>Radj</t>
  </si>
  <si>
    <t>Ω</t>
  </si>
  <si>
    <t>(pF)</t>
  </si>
  <si>
    <t>Rc1ea</t>
  </si>
  <si>
    <t>Rc2ea</t>
  </si>
  <si>
    <t>Ruv1</t>
  </si>
  <si>
    <t>Ruv2</t>
  </si>
  <si>
    <t>Rc1</t>
  </si>
  <si>
    <t>Cc1</t>
  </si>
  <si>
    <t>Cc2</t>
  </si>
  <si>
    <t>Rc2</t>
  </si>
  <si>
    <t>Cc3</t>
  </si>
  <si>
    <t>Bode Plot Setup</t>
  </si>
  <si>
    <t>EA MODELING</t>
  </si>
  <si>
    <t>XOVER SEARCH</t>
  </si>
  <si>
    <t>a</t>
  </si>
  <si>
    <t>b</t>
  </si>
  <si>
    <t>c</t>
  </si>
  <si>
    <t>d</t>
  </si>
  <si>
    <t>xover</t>
  </si>
  <si>
    <t>Output Filter</t>
  </si>
  <si>
    <t>Pwm</t>
  </si>
  <si>
    <t>Compensation</t>
  </si>
  <si>
    <t>Design Output</t>
  </si>
  <si>
    <t>Z1</t>
  </si>
  <si>
    <t>Z3</t>
  </si>
  <si>
    <t>Ea Gain BW</t>
  </si>
  <si>
    <t>Complex EA</t>
  </si>
  <si>
    <t>Actual EA Response</t>
  </si>
  <si>
    <t>Actual Open Loop System Response</t>
  </si>
  <si>
    <t>phase margin</t>
  </si>
  <si>
    <t>Comp To Output</t>
  </si>
  <si>
    <t>Esr zero</t>
  </si>
  <si>
    <t>LC Double Pole</t>
  </si>
  <si>
    <t>Origin Pole</t>
  </si>
  <si>
    <t>Num</t>
  </si>
  <si>
    <t>Den</t>
  </si>
  <si>
    <t>Total</t>
  </si>
  <si>
    <t>A(s)</t>
  </si>
  <si>
    <t>Frequency</t>
  </si>
  <si>
    <t>Gain</t>
  </si>
  <si>
    <t>Phase</t>
  </si>
  <si>
    <t>Total Gain</t>
  </si>
  <si>
    <t>Total Phase</t>
  </si>
  <si>
    <t>Phase margin</t>
  </si>
  <si>
    <t>Real</t>
  </si>
  <si>
    <t>Imag</t>
  </si>
  <si>
    <t>Z1 Real</t>
  </si>
  <si>
    <t>Z1 Imag</t>
  </si>
  <si>
    <t>Z3 Real</t>
  </si>
  <si>
    <t>Z3 Imag</t>
  </si>
  <si>
    <t>EAGain</t>
  </si>
  <si>
    <t>Ea Gain (db)</t>
  </si>
  <si>
    <t>Ea Phase</t>
  </si>
  <si>
    <t>Total Phase Margin</t>
  </si>
  <si>
    <t>Total Phase margin</t>
  </si>
  <si>
    <t>Output to Comp 5V In @ 500kHz 0A Iout 25DegC</t>
  </si>
  <si>
    <t>EA Gain BW</t>
  </si>
  <si>
    <t>Actual Total System Response</t>
  </si>
  <si>
    <t>EA Gain</t>
  </si>
  <si>
    <t>EA Gain (dB)</t>
  </si>
  <si>
    <t>EA Phase</t>
  </si>
  <si>
    <t>BUCK CONTROLLER POWER TOOL</t>
  </si>
  <si>
    <t>Enter the values of your design and FET datasheet specifications below. Note that thermal resistance ("Theta JA") will change when components are placed on the PCB</t>
  </si>
  <si>
    <t>Currents</t>
  </si>
  <si>
    <t xml:space="preserve">INDUCTOR </t>
  </si>
  <si>
    <t xml:space="preserve">HIGH SIDE FET losses </t>
  </si>
  <si>
    <t xml:space="preserve">LOW SIDE FET Losses </t>
  </si>
  <si>
    <t>Shunt</t>
  </si>
  <si>
    <t>External Diode</t>
  </si>
  <si>
    <t>Diod/eFET</t>
  </si>
  <si>
    <t>Part Losses</t>
  </si>
  <si>
    <t>RESULSTS</t>
  </si>
  <si>
    <t>Input Parameters</t>
  </si>
  <si>
    <t>Step</t>
  </si>
  <si>
    <t>Duty Cycle</t>
  </si>
  <si>
    <t>Current Ripple p-p</t>
  </si>
  <si>
    <t>Peak Inductor Current</t>
  </si>
  <si>
    <t>Valley Inductor Current</t>
  </si>
  <si>
    <t>SW node voltage at Q1 turn-on</t>
  </si>
  <si>
    <t>IRMS</t>
  </si>
  <si>
    <t>DCR    Loss</t>
  </si>
  <si>
    <t>Core</t>
  </si>
  <si>
    <t>Total Inductor Loss/Diss</t>
  </si>
  <si>
    <t>Irms</t>
  </si>
  <si>
    <t>Cout Esr Loss</t>
  </si>
  <si>
    <t>Total Cout Loss/Diss</t>
  </si>
  <si>
    <t>Cin Esr   Loss</t>
  </si>
  <si>
    <t>Total Cin Loss/Diss</t>
  </si>
  <si>
    <t>RDSON Loss</t>
  </si>
  <si>
    <t>Transitional Loss (not including capacitive loss)</t>
  </si>
  <si>
    <t>MOSFET Output Capacitance Loss</t>
  </si>
  <si>
    <t xml:space="preserve">Dead Time Loss </t>
  </si>
  <si>
    <t>Total Top FET Loss/Diss</t>
  </si>
  <si>
    <t>DeadTime Loss</t>
  </si>
  <si>
    <t>Total Bottom FET Diss/Loss</t>
  </si>
  <si>
    <t>Shunt Loss (if applicable)</t>
  </si>
  <si>
    <t>Reverse Recovery Loss</t>
  </si>
  <si>
    <t>IQ      Loss</t>
  </si>
  <si>
    <t>Switching Current Loss</t>
  </si>
  <si>
    <t>Switching Current Diss</t>
  </si>
  <si>
    <t>Total Part Loss</t>
  </si>
  <si>
    <t>Total Loss</t>
  </si>
  <si>
    <t>OUTPUT POWER</t>
  </si>
  <si>
    <t>EFF</t>
  </si>
  <si>
    <t>Top FET Temp Rise</t>
  </si>
  <si>
    <t>Bottom FET Temp Rise</t>
  </si>
  <si>
    <t>Qg</t>
  </si>
  <si>
    <t>θJA=80</t>
  </si>
  <si>
    <t>θJA=100</t>
  </si>
  <si>
    <t>θJA=120</t>
  </si>
  <si>
    <t>θJA=140</t>
  </si>
  <si>
    <t>θJA=160</t>
  </si>
  <si>
    <t>θJA=180</t>
  </si>
  <si>
    <t>θJA=20</t>
  </si>
  <si>
    <t>θJA=30</t>
  </si>
  <si>
    <t>θJA=40</t>
  </si>
  <si>
    <t>θJA=50</t>
  </si>
  <si>
    <t>Input Value</t>
  </si>
  <si>
    <t>250kHz / 5-1.2V /25A</t>
  </si>
  <si>
    <t>250kHz / 12-5V / 30A</t>
  </si>
  <si>
    <t>250kHz / 18-1.2V / 20A</t>
  </si>
  <si>
    <t>Switching Frequency</t>
  </si>
  <si>
    <t>500kHz / 5-1.2V / 15A</t>
  </si>
  <si>
    <t>Max Output Current</t>
  </si>
  <si>
    <t>500kHz / 12-5V / 15A</t>
  </si>
  <si>
    <r>
      <rPr>
        <sz val="10"/>
        <rFont val="Symbol"/>
        <family val="1"/>
        <charset val="2"/>
      </rPr>
      <t>°</t>
    </r>
    <r>
      <rPr>
        <sz val="10"/>
        <rFont val="Arial"/>
        <family val="2"/>
      </rPr>
      <t>C</t>
    </r>
  </si>
  <si>
    <t>1Mhz / 5-1.2V / 10A</t>
  </si>
  <si>
    <t>Subregulated VCC rail</t>
  </si>
  <si>
    <t>1Mhz / 12-1.2V/ 10A</t>
  </si>
  <si>
    <t>500kHz / 18-1.2V / 20A</t>
  </si>
  <si>
    <t>L</t>
  </si>
  <si>
    <t>uH</t>
  </si>
  <si>
    <t>Output Inductor Inductance Value</t>
  </si>
  <si>
    <t>θJA=120°C/W - 160°C/W</t>
  </si>
  <si>
    <r>
      <t>m</t>
    </r>
    <r>
      <rPr>
        <sz val="10"/>
        <rFont val="Symbol"/>
        <family val="1"/>
        <charset val="2"/>
      </rPr>
      <t>W</t>
    </r>
  </si>
  <si>
    <t>Inductor Series Resistance at 25 Degrees C</t>
  </si>
  <si>
    <t>θJA=30°C/W - 50°C/W</t>
  </si>
  <si>
    <t>ppm</t>
  </si>
  <si>
    <r>
      <rPr>
        <sz val="10"/>
        <rFont val="Symbol"/>
        <family val="1"/>
        <charset val="2"/>
      </rPr>
      <t>°</t>
    </r>
    <r>
      <rPr>
        <sz val="10"/>
        <rFont val="Arial"/>
        <family val="2"/>
      </rPr>
      <t>C/W</t>
    </r>
  </si>
  <si>
    <t>uF</t>
  </si>
  <si>
    <t>Input Capacitor Capacitance</t>
  </si>
  <si>
    <t>RCoutEsr</t>
  </si>
  <si>
    <t>Output Capacitor Series Resistance</t>
  </si>
  <si>
    <t>EFF_1 @ 25°C</t>
  </si>
  <si>
    <t>Efficiency</t>
  </si>
  <si>
    <t>Pdis</t>
  </si>
  <si>
    <t>Vin=10V</t>
  </si>
  <si>
    <t>Vout=5.1V</t>
  </si>
  <si>
    <t xml:space="preserve">L=3.3uH/30mOhm </t>
  </si>
  <si>
    <t>4394 Top and Bottom Fets</t>
  </si>
  <si>
    <t>mA</t>
  </si>
  <si>
    <t>ppm/°C</t>
  </si>
  <si>
    <t>Bottom Shotkey</t>
  </si>
  <si>
    <t>Std Units</t>
  </si>
  <si>
    <t>Theta Ja</t>
  </si>
  <si>
    <t>Dmax</t>
  </si>
  <si>
    <t>Dprime</t>
  </si>
  <si>
    <t>Ipp</t>
  </si>
  <si>
    <t>UNITS</t>
  </si>
  <si>
    <t>STD UNITS</t>
  </si>
  <si>
    <t>Frequency of Ringing</t>
  </si>
  <si>
    <t>MHz</t>
  </si>
  <si>
    <t>SW capacitance</t>
  </si>
  <si>
    <t>Lpar</t>
  </si>
  <si>
    <t>nH</t>
  </si>
  <si>
    <t>Csnub</t>
  </si>
  <si>
    <t>Rsnub</t>
  </si>
  <si>
    <t>Ripple I</t>
  </si>
  <si>
    <t>R1</t>
  </si>
  <si>
    <t>mOhms</t>
  </si>
  <si>
    <t>C1</t>
  </si>
  <si>
    <t>R2</t>
  </si>
  <si>
    <t>C2</t>
  </si>
  <si>
    <t xml:space="preserve">I1 </t>
  </si>
  <si>
    <t xml:space="preserve">I2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</si>
</sst>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3" formatCode="_(* #,##0.00_);_(* \(#,##0.00\);_(* &quot;-&quot;??_);_(@_)"/>
    <numFmt numFmtId="164" formatCode="0.00000"/>
    <numFmt numFmtId="165" formatCode="0.0000"/>
    <numFmt numFmtId="166" formatCode="0.000"/>
    <numFmt numFmtId="167" formatCode="0.0"/>
    <numFmt numFmtId="168" formatCode="0.000E+00"/>
    <numFmt numFmtId="169" formatCode="0.00000000"/>
    <numFmt numFmtId="170" formatCode="0.000000000"/>
    <numFmt numFmtId="171" formatCode="#0.0#"/>
    <numFmt numFmtId="172" formatCode="General&quot;nF&quot;"/>
    <numFmt numFmtId="173" formatCode="General&quot;k&quot;"/>
    <numFmt numFmtId="174" formatCode="General&quot;pF&quot;"/>
    <numFmt numFmtId="175" formatCode="General&quot;µF&quot;"/>
    <numFmt numFmtId="176" formatCode="General&quot;µH&quot;"/>
    <numFmt numFmtId="177" formatCode="&quot;MOSFET, N-CH, 100V, &quot;General&quot;mΩ&quot;"/>
    <numFmt numFmtId="178" formatCode="General&quot;mΩ&quot;"/>
    <numFmt numFmtId="179" formatCode="&quot;Capacitor, Ceramic, &quot;General&quot;pF, 50V, NP0, 5%&quot;"/>
    <numFmt numFmtId="180" formatCode="&quot;Capacitor, Ceramic, &quot;General&quot;pF, 16V, X7R, 10%&quot;"/>
    <numFmt numFmtId="181" formatCode="&quot;Capacitor, Ceramic, &quot;General&quot;µF, 25V, X7R, 20%&quot;"/>
    <numFmt numFmtId="182" formatCode="&quot;Capacitor, Ceramic, &quot;General&quot;nF, 16V, X7R, 10%&quot;"/>
    <numFmt numFmtId="183" formatCode="&quot;Capacitor, Ceramic, &quot;General&quot;µF, 50V, X7R, 20%&quot;"/>
    <numFmt numFmtId="184" formatCode="&quot;Resistor, Chip, &quot;General&quot;kΩ, 1/16W, 1%&quot;"/>
    <numFmt numFmtId="185" formatCode="&quot;Resistor, Chip, &quot;General&quot;Ω, 1/16W, 1%&quot;"/>
    <numFmt numFmtId="186" formatCode="&quot;Resistor, &quot;General&quot;mΩ, 1/4W, 1%&quot;"/>
    <numFmt numFmtId="187" formatCode="&quot;MOSFET, N-CH, 80V/100V, &quot;General&quot;mΩ&quot;"/>
  </numFmts>
  <fonts count="111">
    <font>
      <sz val="10"/>
      <name val="Arial"/>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b/>
      <sz val="20"/>
      <color indexed="44"/>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u/>
      <sz val="10"/>
      <color indexed="10"/>
      <name val="Arial"/>
      <family val="2"/>
    </font>
    <font>
      <sz val="10"/>
      <color indexed="56"/>
      <name val="Calibri"/>
      <family val="2"/>
    </font>
    <font>
      <b/>
      <sz val="14"/>
      <color indexed="9"/>
      <name val="Calibri"/>
      <family val="2"/>
    </font>
    <font>
      <sz val="11"/>
      <color indexed="81"/>
      <name val="Tahoma"/>
      <family val="2"/>
    </font>
    <font>
      <b/>
      <i/>
      <sz val="14"/>
      <color indexed="12"/>
      <name val="Calibri"/>
      <family val="2"/>
    </font>
    <font>
      <b/>
      <sz val="9"/>
      <color indexed="81"/>
      <name val="Tahoma"/>
      <family val="2"/>
    </font>
    <font>
      <b/>
      <sz val="10"/>
      <color indexed="81"/>
      <name val="Tahoma"/>
      <family val="2"/>
    </font>
    <font>
      <sz val="9"/>
      <color indexed="81"/>
      <name val="Tahoma"/>
      <family val="2"/>
    </font>
    <font>
      <b/>
      <u/>
      <sz val="9"/>
      <color indexed="81"/>
      <name val="Tahoma"/>
      <family val="2"/>
    </font>
    <font>
      <sz val="11"/>
      <color indexed="10"/>
      <name val="Tahoma"/>
      <family val="2"/>
    </font>
    <font>
      <b/>
      <sz val="11"/>
      <color indexed="10"/>
      <name val="Tahoma"/>
      <family val="2"/>
    </font>
    <font>
      <b/>
      <sz val="9"/>
      <color indexed="10"/>
      <name val="Tahoma"/>
      <family val="2"/>
    </font>
    <font>
      <sz val="10"/>
      <color indexed="81"/>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10"/>
      <color indexed="81"/>
      <name val="Calibri"/>
      <family val="2"/>
    </font>
    <font>
      <b/>
      <vertAlign val="subscript"/>
      <sz val="9"/>
      <color indexed="39"/>
      <name val="Tahoma"/>
      <family val="2"/>
    </font>
    <font>
      <b/>
      <vertAlign val="subscript"/>
      <sz val="9"/>
      <color indexed="10"/>
      <name val="Tahoma"/>
      <family val="2"/>
    </font>
    <font>
      <b/>
      <u/>
      <sz val="11"/>
      <color indexed="10"/>
      <name val="Tahoma"/>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b/>
      <i/>
      <sz val="10"/>
      <color indexed="23"/>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u/>
      <sz val="10"/>
      <color theme="0" tint="-0.499984740745262"/>
      <name val="Arial"/>
      <family val="2"/>
    </font>
    <font>
      <b/>
      <vertAlign val="subscript"/>
      <sz val="12"/>
      <color indexed="12"/>
      <name val="Arial"/>
      <family val="2"/>
    </font>
    <font>
      <vertAlign val="subscript"/>
      <sz val="10"/>
      <color theme="1"/>
      <name val="Arial"/>
      <family val="2"/>
    </font>
    <font>
      <b/>
      <sz val="10"/>
      <color rgb="FFC00000"/>
      <name val="Arial"/>
      <family val="2"/>
    </font>
    <font>
      <b/>
      <vertAlign val="subscript"/>
      <sz val="16"/>
      <name val="Arial"/>
      <family val="2"/>
    </font>
    <font>
      <b/>
      <sz val="10"/>
      <color theme="0"/>
      <name val="Arial"/>
      <family val="2"/>
    </font>
    <font>
      <sz val="10"/>
      <color theme="0"/>
      <name val="Arial"/>
      <family val="2"/>
    </font>
    <font>
      <b/>
      <sz val="10"/>
      <color rgb="FF33CC33"/>
      <name val="Arial"/>
      <family val="2"/>
    </font>
    <font>
      <b/>
      <vertAlign val="superscript"/>
      <sz val="10"/>
      <color theme="0"/>
      <name val="Arial"/>
      <family val="2"/>
    </font>
    <font>
      <b/>
      <sz val="12"/>
      <color rgb="FFFF0000"/>
      <name val="Arial"/>
      <family val="2"/>
    </font>
    <font>
      <b/>
      <vertAlign val="superscript"/>
      <sz val="12"/>
      <color rgb="FFFF0000"/>
      <name val="Arial"/>
      <family val="2"/>
    </font>
    <font>
      <sz val="10"/>
      <color rgb="FFFF0000"/>
      <name val="Arial"/>
      <family val="2"/>
    </font>
    <font>
      <sz val="9"/>
      <name val="Arial"/>
      <family val="2"/>
    </font>
    <font>
      <b/>
      <sz val="12"/>
      <name val="Arial"/>
      <family val="2"/>
    </font>
    <font>
      <b/>
      <sz val="22"/>
      <color rgb="FFFF0000"/>
      <name val="Calibri"/>
      <family val="2"/>
    </font>
    <font>
      <sz val="10"/>
      <color rgb="FFFF0000"/>
      <name val="Calibri"/>
      <family val="2"/>
    </font>
    <font>
      <b/>
      <sz val="10"/>
      <color rgb="FFFF0000"/>
      <name val="Calibri"/>
      <family val="2"/>
    </font>
    <font>
      <b/>
      <sz val="22"/>
      <name val="Calibri"/>
      <family val="2"/>
    </font>
    <font>
      <u/>
      <sz val="10"/>
      <name val="Arial"/>
      <family val="2"/>
    </font>
    <font>
      <sz val="10"/>
      <color theme="0"/>
      <name val="Calibri"/>
      <family val="2"/>
    </font>
    <font>
      <b/>
      <sz val="12"/>
      <color theme="0"/>
      <name val="Calibri"/>
      <family val="2"/>
    </font>
    <font>
      <sz val="36"/>
      <color rgb="FFFF0000"/>
      <name val="Arial"/>
      <family val="2"/>
    </font>
    <font>
      <sz val="16"/>
      <color theme="0"/>
      <name val="Arial"/>
      <family val="2"/>
    </font>
    <font>
      <sz val="28"/>
      <color theme="0"/>
      <name val="Arial"/>
      <family val="2"/>
    </font>
    <font>
      <sz val="10"/>
      <name val="Arial"/>
      <family val="2"/>
    </font>
    <font>
      <b/>
      <u/>
      <sz val="9"/>
      <color rgb="FF000000"/>
      <name val="Tahoma"/>
      <family val="2"/>
    </font>
    <font>
      <b/>
      <sz val="9"/>
      <color rgb="FF000000"/>
      <name val="Tahoma"/>
      <family val="2"/>
    </font>
    <font>
      <sz val="9"/>
      <color rgb="FF000000"/>
      <name val="Tahoma"/>
      <family val="2"/>
    </font>
    <font>
      <b/>
      <sz val="9"/>
      <color rgb="FFFF0000"/>
      <name val="Tahoma"/>
      <family val="2"/>
    </font>
    <font>
      <b/>
      <vertAlign val="subscript"/>
      <sz val="9"/>
      <color rgb="FF000000"/>
      <name val="Tahoma"/>
      <family val="2"/>
    </font>
    <font>
      <vertAlign val="subscript"/>
      <sz val="9"/>
      <color rgb="FF000000"/>
      <name val="Tahoma"/>
      <family val="2"/>
    </font>
    <font>
      <b/>
      <sz val="9"/>
      <color rgb="FF0000FF"/>
      <name val="Tahoma"/>
      <family val="2"/>
    </font>
    <font>
      <b/>
      <vertAlign val="subscript"/>
      <sz val="9"/>
      <color rgb="FF0000FF"/>
      <name val="Tahoma"/>
      <family val="2"/>
    </font>
    <font>
      <sz val="11"/>
      <color rgb="FF000000"/>
      <name val="Tahoma"/>
      <family val="2"/>
    </font>
    <font>
      <b/>
      <sz val="11"/>
      <color rgb="FF000000"/>
      <name val="Tahoma"/>
      <family val="2"/>
    </font>
    <font>
      <sz val="9"/>
      <color rgb="FF0000FF"/>
      <name val="Tahoma"/>
      <family val="2"/>
    </font>
    <font>
      <b/>
      <u/>
      <sz val="8"/>
      <color rgb="FF000000"/>
      <name val="Tahoma"/>
      <family val="2"/>
    </font>
    <font>
      <b/>
      <sz val="8"/>
      <color rgb="FF000000"/>
      <name val="Tahoma"/>
      <family val="2"/>
    </font>
    <font>
      <sz val="8"/>
      <color rgb="FF000000"/>
      <name val="Tahoma"/>
      <family val="2"/>
    </font>
  </fonts>
  <fills count="26">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indexed="23"/>
        <bgColor indexed="64"/>
      </patternFill>
    </fill>
    <fill>
      <patternFill patternType="solid">
        <fgColor indexed="53"/>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theme="0" tint="-0.499984740745262"/>
        <bgColor indexed="64"/>
      </patternFill>
    </fill>
  </fills>
  <borders count="52">
    <border>
      <left/>
      <right/>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medium">
        <color indexed="55"/>
      </bottom>
      <diagonal/>
    </border>
    <border>
      <left/>
      <right style="medium">
        <color indexed="55"/>
      </right>
      <top/>
      <bottom/>
      <diagonal/>
    </border>
    <border>
      <left/>
      <right style="medium">
        <color indexed="55"/>
      </right>
      <top/>
      <bottom style="medium">
        <color indexed="55"/>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auto="1"/>
      </left>
      <right/>
      <top/>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style="medium">
        <color indexed="64"/>
      </bottom>
      <diagonal/>
    </border>
    <border>
      <left style="medium">
        <color indexed="55"/>
      </left>
      <right/>
      <top style="medium">
        <color indexed="55"/>
      </top>
      <bottom/>
      <diagonal/>
    </border>
    <border>
      <left/>
      <right/>
      <top style="medium">
        <color indexed="55"/>
      </top>
      <bottom/>
      <diagonal/>
    </border>
    <border>
      <left/>
      <right style="medium">
        <color indexed="55"/>
      </right>
      <top style="medium">
        <color indexed="55"/>
      </top>
      <bottom/>
      <diagonal/>
    </border>
  </borders>
  <cellStyleXfs count="6">
    <xf numFmtId="0" fontId="0" fillId="0" borderId="0"/>
    <xf numFmtId="0" fontId="10" fillId="0" borderId="0" applyNumberFormat="0" applyFill="0" applyBorder="0" applyAlignment="0" applyProtection="0">
      <alignment vertical="top"/>
      <protection locked="0"/>
    </xf>
    <xf numFmtId="0" fontId="2" fillId="0" borderId="0"/>
    <xf numFmtId="0" fontId="1" fillId="0" borderId="0"/>
    <xf numFmtId="43" fontId="1" fillId="0" borderId="0" applyFont="0" applyFill="0" applyBorder="0" applyAlignment="0" applyProtection="0"/>
    <xf numFmtId="43" fontId="96" fillId="0" borderId="0" applyFont="0" applyFill="0" applyBorder="0" applyAlignment="0" applyProtection="0"/>
  </cellStyleXfs>
  <cellXfs count="544">
    <xf numFmtId="0" fontId="0" fillId="0" borderId="0" xfId="0"/>
    <xf numFmtId="0" fontId="7" fillId="0" borderId="0" xfId="0" applyFont="1"/>
    <xf numFmtId="0" fontId="3"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0" fontId="11" fillId="2" borderId="0" xfId="0" applyFont="1" applyFill="1"/>
    <xf numFmtId="168" fontId="0" fillId="0" borderId="0" xfId="0" applyNumberFormat="1"/>
    <xf numFmtId="10" fontId="0" fillId="0" borderId="0" xfId="0" applyNumberFormat="1"/>
    <xf numFmtId="0" fontId="14" fillId="3" borderId="0" xfId="0" applyFont="1" applyFill="1" applyAlignment="1">
      <alignment horizontal="right"/>
    </xf>
    <xf numFmtId="0" fontId="14" fillId="3" borderId="0" xfId="0" applyFont="1" applyFill="1"/>
    <xf numFmtId="0" fontId="16" fillId="3" borderId="1" xfId="0" applyFont="1" applyFill="1" applyBorder="1"/>
    <xf numFmtId="0" fontId="3" fillId="2" borderId="2" xfId="0" applyFont="1" applyFill="1" applyBorder="1" applyAlignment="1">
      <alignment horizontal="center" vertical="top" wrapText="1"/>
    </xf>
    <xf numFmtId="0" fontId="3" fillId="2" borderId="3" xfId="0" applyFont="1" applyFill="1" applyBorder="1" applyAlignment="1">
      <alignment horizontal="center" vertical="top" wrapText="1"/>
    </xf>
    <xf numFmtId="0" fontId="3" fillId="2" borderId="4" xfId="0" applyFont="1" applyFill="1" applyBorder="1" applyAlignment="1">
      <alignment horizontal="center" vertical="top" wrapText="1"/>
    </xf>
    <xf numFmtId="168" fontId="3" fillId="2" borderId="3" xfId="0" applyNumberFormat="1" applyFont="1" applyFill="1" applyBorder="1" applyAlignment="1">
      <alignment horizontal="center" vertical="top" wrapText="1"/>
    </xf>
    <xf numFmtId="0" fontId="3" fillId="5" borderId="5" xfId="0" applyFont="1" applyFill="1" applyBorder="1"/>
    <xf numFmtId="0" fontId="3" fillId="5" borderId="6" xfId="0" applyFont="1" applyFill="1" applyBorder="1"/>
    <xf numFmtId="0" fontId="3" fillId="5" borderId="7" xfId="0" applyFont="1" applyFill="1" applyBorder="1"/>
    <xf numFmtId="0" fontId="3" fillId="5" borderId="8" xfId="0" applyFont="1" applyFill="1" applyBorder="1"/>
    <xf numFmtId="0" fontId="0" fillId="0" borderId="0" xfId="0" applyProtection="1">
      <protection locked="0"/>
    </xf>
    <xf numFmtId="0" fontId="0" fillId="6" borderId="9" xfId="0" applyFill="1" applyBorder="1"/>
    <xf numFmtId="0" fontId="0" fillId="0" borderId="8" xfId="0" applyBorder="1"/>
    <xf numFmtId="0" fontId="0" fillId="6" borderId="8" xfId="0" applyFill="1" applyBorder="1"/>
    <xf numFmtId="0" fontId="0" fillId="4" borderId="8" xfId="0" applyFill="1" applyBorder="1"/>
    <xf numFmtId="0" fontId="3" fillId="5" borderId="0" xfId="0" applyFont="1" applyFill="1"/>
    <xf numFmtId="0" fontId="0" fillId="6" borderId="0" xfId="0" applyFill="1"/>
    <xf numFmtId="0" fontId="0" fillId="0" borderId="10" xfId="0" applyBorder="1"/>
    <xf numFmtId="0" fontId="0" fillId="6" borderId="10" xfId="0" applyFill="1" applyBorder="1"/>
    <xf numFmtId="0" fontId="0" fillId="4" borderId="0" xfId="0" applyFill="1"/>
    <xf numFmtId="11" fontId="0" fillId="0" borderId="0" xfId="0" applyNumberFormat="1"/>
    <xf numFmtId="0" fontId="12" fillId="3" borderId="0" xfId="0" applyFont="1" applyFill="1"/>
    <xf numFmtId="0" fontId="0" fillId="4" borderId="9" xfId="0" applyFill="1" applyBorder="1"/>
    <xf numFmtId="0" fontId="0" fillId="4" borderId="11" xfId="0" applyFill="1" applyBorder="1"/>
    <xf numFmtId="0" fontId="3" fillId="4" borderId="8" xfId="0" applyFont="1" applyFill="1" applyBorder="1"/>
    <xf numFmtId="0" fontId="0" fillId="6" borderId="5" xfId="0" applyFill="1" applyBorder="1"/>
    <xf numFmtId="0" fontId="0" fillId="4" borderId="5" xfId="0" applyFill="1" applyBorder="1"/>
    <xf numFmtId="0" fontId="3" fillId="5" borderId="1" xfId="0" applyFont="1" applyFill="1" applyBorder="1"/>
    <xf numFmtId="0" fontId="0" fillId="2" borderId="11" xfId="0" applyFill="1" applyBorder="1"/>
    <xf numFmtId="0" fontId="0" fillId="2" borderId="10" xfId="0" applyFill="1" applyBorder="1"/>
    <xf numFmtId="0" fontId="0" fillId="2" borderId="9" xfId="0" applyFill="1" applyBorder="1"/>
    <xf numFmtId="0" fontId="0" fillId="8" borderId="0" xfId="0" applyFill="1"/>
    <xf numFmtId="0" fontId="0" fillId="9" borderId="0" xfId="0" applyFill="1"/>
    <xf numFmtId="0" fontId="0" fillId="11" borderId="0" xfId="0" applyFill="1"/>
    <xf numFmtId="0" fontId="0" fillId="0" borderId="0" xfId="0" applyAlignment="1">
      <alignment horizontal="right"/>
    </xf>
    <xf numFmtId="0" fontId="17" fillId="0" borderId="0" xfId="0" applyFont="1"/>
    <xf numFmtId="0" fontId="3" fillId="0" borderId="0" xfId="0" applyFont="1" applyAlignment="1">
      <alignment horizontal="center"/>
    </xf>
    <xf numFmtId="11" fontId="7" fillId="0" borderId="0" xfId="0" applyNumberFormat="1" applyFont="1"/>
    <xf numFmtId="171" fontId="0" fillId="0" borderId="0" xfId="0" applyNumberFormat="1"/>
    <xf numFmtId="0" fontId="0" fillId="12" borderId="0" xfId="0" applyFill="1"/>
    <xf numFmtId="167" fontId="0" fillId="0" borderId="0" xfId="0" applyNumberFormat="1"/>
    <xf numFmtId="0" fontId="3" fillId="4" borderId="0" xfId="0" applyFont="1" applyFill="1" applyAlignment="1">
      <alignment horizontal="center"/>
    </xf>
    <xf numFmtId="0" fontId="3" fillId="13" borderId="0" xfId="0" applyFont="1" applyFill="1" applyAlignment="1">
      <alignment horizontal="center"/>
    </xf>
    <xf numFmtId="0" fontId="3" fillId="14" borderId="0" xfId="0" applyFont="1" applyFill="1" applyAlignment="1">
      <alignment horizontal="center"/>
    </xf>
    <xf numFmtId="0" fontId="0" fillId="4" borderId="15" xfId="0" applyFill="1" applyBorder="1"/>
    <xf numFmtId="0" fontId="3" fillId="7" borderId="4" xfId="0" applyFont="1" applyFill="1" applyBorder="1" applyAlignment="1">
      <alignment horizontal="center" vertical="top" wrapText="1"/>
    </xf>
    <xf numFmtId="168" fontId="3" fillId="2" borderId="2" xfId="0" applyNumberFormat="1" applyFont="1" applyFill="1" applyBorder="1" applyAlignment="1">
      <alignment horizontal="center" vertical="top" wrapText="1"/>
    </xf>
    <xf numFmtId="0" fontId="3" fillId="2" borderId="16" xfId="0" applyFont="1" applyFill="1" applyBorder="1" applyAlignment="1">
      <alignment horizontal="center" vertical="top" wrapText="1"/>
    </xf>
    <xf numFmtId="0" fontId="3" fillId="7" borderId="17" xfId="0" applyFont="1" applyFill="1" applyBorder="1" applyAlignment="1">
      <alignment horizontal="center" vertical="top" wrapText="1"/>
    </xf>
    <xf numFmtId="0" fontId="3" fillId="7" borderId="18" xfId="0" applyFont="1" applyFill="1" applyBorder="1" applyAlignment="1">
      <alignment horizontal="center" vertical="top" wrapText="1"/>
    </xf>
    <xf numFmtId="0" fontId="3" fillId="2" borderId="19" xfId="0" applyFont="1" applyFill="1" applyBorder="1" applyAlignment="1">
      <alignment horizontal="center" vertical="top" wrapText="1"/>
    </xf>
    <xf numFmtId="0" fontId="3" fillId="2" borderId="20" xfId="0" applyFont="1" applyFill="1" applyBorder="1" applyAlignment="1">
      <alignment horizontal="center" vertical="top" wrapText="1"/>
    </xf>
    <xf numFmtId="0" fontId="3" fillId="2" borderId="21" xfId="0" applyFont="1" applyFill="1" applyBorder="1" applyAlignment="1">
      <alignment horizontal="center" vertical="top" wrapText="1"/>
    </xf>
    <xf numFmtId="0" fontId="3" fillId="7" borderId="22" xfId="0" applyFont="1" applyFill="1" applyBorder="1" applyAlignment="1">
      <alignment horizontal="center" vertical="top" wrapText="1"/>
    </xf>
    <xf numFmtId="0" fontId="3" fillId="15" borderId="2" xfId="0" applyFont="1" applyFill="1" applyBorder="1" applyAlignment="1">
      <alignment horizontal="center" vertical="top" wrapText="1"/>
    </xf>
    <xf numFmtId="2" fontId="3" fillId="15" borderId="3" xfId="0" applyNumberFormat="1" applyFont="1" applyFill="1" applyBorder="1" applyAlignment="1">
      <alignment horizontal="center" vertical="top" wrapText="1"/>
    </xf>
    <xf numFmtId="171" fontId="17" fillId="3" borderId="0" xfId="0" applyNumberFormat="1" applyFont="1" applyFill="1" applyAlignment="1">
      <alignment horizontal="center"/>
    </xf>
    <xf numFmtId="171" fontId="25" fillId="3" borderId="0" xfId="0" applyNumberFormat="1" applyFont="1" applyFill="1" applyAlignment="1">
      <alignment horizontal="center"/>
    </xf>
    <xf numFmtId="0" fontId="0" fillId="0" borderId="24" xfId="0" applyBorder="1"/>
    <xf numFmtId="0" fontId="0" fillId="14" borderId="0" xfId="0" applyFill="1"/>
    <xf numFmtId="0" fontId="0" fillId="0" borderId="25" xfId="0" applyBorder="1"/>
    <xf numFmtId="0" fontId="0" fillId="0" borderId="26" xfId="0" applyBorder="1"/>
    <xf numFmtId="0" fontId="0" fillId="0" borderId="27" xfId="0" applyBorder="1"/>
    <xf numFmtId="0" fontId="7" fillId="13" borderId="0" xfId="0" applyFont="1" applyFill="1"/>
    <xf numFmtId="0" fontId="3" fillId="0" borderId="23" xfId="0" applyFont="1" applyBorder="1"/>
    <xf numFmtId="0" fontId="3" fillId="0" borderId="25" xfId="0" applyFont="1" applyBorder="1"/>
    <xf numFmtId="0" fontId="7" fillId="13" borderId="26" xfId="0" applyFont="1" applyFill="1" applyBorder="1"/>
    <xf numFmtId="11" fontId="0" fillId="14" borderId="0" xfId="0" applyNumberFormat="1" applyFill="1"/>
    <xf numFmtId="0" fontId="0" fillId="13" borderId="0" xfId="0" applyFill="1"/>
    <xf numFmtId="1" fontId="3" fillId="13" borderId="0" xfId="0" applyNumberFormat="1" applyFont="1" applyFill="1" applyAlignment="1">
      <alignment horizontal="right"/>
    </xf>
    <xf numFmtId="0" fontId="3" fillId="13" borderId="0" xfId="0" applyFont="1" applyFill="1"/>
    <xf numFmtId="11" fontId="0" fillId="13" borderId="0" xfId="0" applyNumberFormat="1" applyFill="1"/>
    <xf numFmtId="167" fontId="0" fillId="13" borderId="26" xfId="0" applyNumberFormat="1" applyFill="1" applyBorder="1"/>
    <xf numFmtId="0" fontId="7" fillId="0" borderId="25" xfId="0" applyFont="1" applyBorder="1"/>
    <xf numFmtId="0" fontId="0" fillId="4" borderId="26" xfId="0" applyFill="1" applyBorder="1"/>
    <xf numFmtId="170" fontId="0" fillId="13" borderId="0" xfId="0" applyNumberFormat="1" applyFill="1"/>
    <xf numFmtId="0" fontId="0" fillId="0" borderId="26" xfId="0" applyBorder="1" applyAlignment="1">
      <alignment horizontal="right"/>
    </xf>
    <xf numFmtId="0" fontId="0" fillId="5" borderId="0" xfId="0" applyFill="1"/>
    <xf numFmtId="11" fontId="7" fillId="0" borderId="26" xfId="0" applyNumberFormat="1" applyFont="1" applyBorder="1"/>
    <xf numFmtId="11" fontId="0" fillId="4" borderId="0" xfId="0" applyNumberFormat="1" applyFill="1"/>
    <xf numFmtId="0" fontId="0" fillId="2" borderId="0" xfId="0" applyFill="1" applyProtection="1">
      <protection locked="0"/>
    </xf>
    <xf numFmtId="0" fontId="0" fillId="2" borderId="8" xfId="0" applyFill="1" applyBorder="1" applyProtection="1">
      <protection locked="0"/>
    </xf>
    <xf numFmtId="0" fontId="0" fillId="10" borderId="0" xfId="0" applyFill="1"/>
    <xf numFmtId="0" fontId="0" fillId="4" borderId="10" xfId="0" applyFill="1" applyBorder="1"/>
    <xf numFmtId="0" fontId="0" fillId="7" borderId="8" xfId="0" applyFill="1" applyBorder="1"/>
    <xf numFmtId="0" fontId="15" fillId="7" borderId="8" xfId="0" applyFont="1" applyFill="1" applyBorder="1"/>
    <xf numFmtId="0" fontId="17" fillId="3" borderId="0" xfId="0" applyFont="1" applyFill="1"/>
    <xf numFmtId="0" fontId="18" fillId="10" borderId="0" xfId="0" applyFont="1" applyFill="1"/>
    <xf numFmtId="0" fontId="17" fillId="10" borderId="0" xfId="0" applyFont="1" applyFill="1" applyAlignment="1">
      <alignment horizontal="right"/>
    </xf>
    <xf numFmtId="0" fontId="18" fillId="10" borderId="0" xfId="0" applyFont="1" applyFill="1" applyAlignment="1">
      <alignment horizontal="right"/>
    </xf>
    <xf numFmtId="0" fontId="17" fillId="10" borderId="0" xfId="0" applyFont="1" applyFill="1"/>
    <xf numFmtId="0" fontId="25" fillId="16" borderId="15" xfId="0" applyFont="1" applyFill="1" applyBorder="1"/>
    <xf numFmtId="0" fontId="25" fillId="3" borderId="0" xfId="0" applyFont="1" applyFill="1"/>
    <xf numFmtId="0" fontId="17" fillId="10" borderId="0" xfId="0" applyFont="1" applyFill="1" applyAlignment="1">
      <alignment horizontal="center"/>
    </xf>
    <xf numFmtId="0" fontId="17" fillId="10" borderId="0" xfId="0" applyFont="1" applyFill="1" applyAlignment="1">
      <alignment horizontal="left"/>
    </xf>
    <xf numFmtId="0" fontId="21" fillId="0" borderId="0" xfId="0" applyFont="1"/>
    <xf numFmtId="0" fontId="22" fillId="0" borderId="0" xfId="0" applyFont="1"/>
    <xf numFmtId="0" fontId="0" fillId="17" borderId="0" xfId="0" applyFill="1"/>
    <xf numFmtId="2" fontId="0" fillId="18" borderId="0" xfId="0" applyNumberFormat="1" applyFill="1"/>
    <xf numFmtId="0" fontId="0" fillId="0" borderId="29" xfId="0" applyBorder="1"/>
    <xf numFmtId="0" fontId="0" fillId="0" borderId="28" xfId="0" applyBorder="1"/>
    <xf numFmtId="0" fontId="0" fillId="0" borderId="30" xfId="0" applyBorder="1"/>
    <xf numFmtId="0" fontId="0" fillId="18" borderId="0" xfId="0" applyFill="1"/>
    <xf numFmtId="0" fontId="17" fillId="10" borderId="24" xfId="0" applyFont="1" applyFill="1" applyBorder="1"/>
    <xf numFmtId="0" fontId="19" fillId="10" borderId="0" xfId="0" applyFont="1" applyFill="1"/>
    <xf numFmtId="2" fontId="17" fillId="10" borderId="0" xfId="0" applyNumberFormat="1" applyFont="1" applyFill="1"/>
    <xf numFmtId="166" fontId="17" fillId="10" borderId="0" xfId="0" applyNumberFormat="1" applyFont="1" applyFill="1"/>
    <xf numFmtId="169" fontId="17" fillId="10" borderId="0" xfId="0" applyNumberFormat="1" applyFont="1" applyFill="1"/>
    <xf numFmtId="165" fontId="17" fillId="10" borderId="0" xfId="0" applyNumberFormat="1" applyFont="1" applyFill="1"/>
    <xf numFmtId="2" fontId="7" fillId="4" borderId="0" xfId="0" applyNumberFormat="1" applyFont="1" applyFill="1"/>
    <xf numFmtId="167" fontId="0" fillId="13" borderId="0" xfId="0" applyNumberFormat="1" applyFill="1"/>
    <xf numFmtId="0" fontId="10" fillId="0" borderId="0" xfId="1" applyAlignment="1" applyProtection="1"/>
    <xf numFmtId="0" fontId="17" fillId="19"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6" xfId="0" applyFont="1" applyBorder="1"/>
    <xf numFmtId="0" fontId="31" fillId="10" borderId="0" xfId="0" applyFont="1" applyFill="1"/>
    <xf numFmtId="0" fontId="20" fillId="22" borderId="0" xfId="0" applyFont="1" applyFill="1" applyAlignment="1">
      <alignment vertical="center"/>
    </xf>
    <xf numFmtId="0" fontId="0" fillId="21" borderId="0" xfId="0" applyFill="1"/>
    <xf numFmtId="0" fontId="23" fillId="10" borderId="0" xfId="0" applyFont="1" applyFill="1" applyAlignment="1">
      <alignment horizontal="right"/>
    </xf>
    <xf numFmtId="0" fontId="3" fillId="10" borderId="0" xfId="0" applyFont="1" applyFill="1" applyAlignment="1">
      <alignment horizontal="right"/>
    </xf>
    <xf numFmtId="0" fontId="2" fillId="10" borderId="0" xfId="0" applyFont="1" applyFill="1" applyAlignment="1">
      <alignment horizontal="right"/>
    </xf>
    <xf numFmtId="0" fontId="2" fillId="10" borderId="26" xfId="0" applyFont="1" applyFill="1" applyBorder="1" applyAlignment="1">
      <alignment horizontal="right"/>
    </xf>
    <xf numFmtId="0" fontId="2" fillId="10" borderId="0" xfId="0" applyFont="1" applyFill="1"/>
    <xf numFmtId="0" fontId="3" fillId="22" borderId="0" xfId="0" applyFont="1" applyFill="1" applyProtection="1">
      <protection locked="0"/>
    </xf>
    <xf numFmtId="0" fontId="51" fillId="10" borderId="0" xfId="0" applyFont="1" applyFill="1"/>
    <xf numFmtId="1" fontId="3" fillId="22" borderId="0" xfId="0" applyNumberFormat="1" applyFont="1" applyFill="1" applyProtection="1">
      <protection locked="0"/>
    </xf>
    <xf numFmtId="0" fontId="52" fillId="10" borderId="0" xfId="0" applyFont="1" applyFill="1"/>
    <xf numFmtId="0" fontId="6" fillId="10" borderId="0" xfId="0" applyFont="1" applyFill="1" applyAlignment="1">
      <alignment horizontal="right"/>
    </xf>
    <xf numFmtId="0" fontId="50" fillId="10" borderId="0" xfId="0" applyFont="1" applyFill="1"/>
    <xf numFmtId="0" fontId="53" fillId="10" borderId="0" xfId="0" applyFont="1" applyFill="1"/>
    <xf numFmtId="0" fontId="3" fillId="10" borderId="0" xfId="0" applyFont="1" applyFill="1"/>
    <xf numFmtId="167" fontId="3" fillId="10" borderId="0" xfId="0" applyNumberFormat="1" applyFont="1" applyFill="1"/>
    <xf numFmtId="0" fontId="2" fillId="19" borderId="0" xfId="0" applyFont="1" applyFill="1"/>
    <xf numFmtId="0" fontId="53" fillId="19" borderId="0" xfId="0" applyFont="1" applyFill="1"/>
    <xf numFmtId="1" fontId="50" fillId="10" borderId="0" xfId="0" applyNumberFormat="1" applyFont="1" applyFill="1" applyAlignment="1">
      <alignment horizontal="right"/>
    </xf>
    <xf numFmtId="0" fontId="53" fillId="10" borderId="0" xfId="0" applyFont="1" applyFill="1" applyAlignment="1">
      <alignment vertical="center"/>
    </xf>
    <xf numFmtId="0" fontId="7" fillId="10" borderId="0" xfId="0" applyFont="1" applyFill="1" applyAlignment="1">
      <alignment horizontal="right"/>
    </xf>
    <xf numFmtId="167" fontId="7" fillId="10" borderId="0" xfId="0" applyNumberFormat="1" applyFont="1" applyFill="1"/>
    <xf numFmtId="0" fontId="7" fillId="10" borderId="0" xfId="0" applyFont="1" applyFill="1"/>
    <xf numFmtId="167" fontId="3" fillId="19" borderId="0" xfId="0" applyNumberFormat="1" applyFont="1" applyFill="1" applyAlignment="1">
      <alignment horizontal="right" vertical="center"/>
    </xf>
    <xf numFmtId="167" fontId="2" fillId="19" borderId="0" xfId="0" applyNumberFormat="1" applyFont="1" applyFill="1" applyAlignment="1">
      <alignment horizontal="right"/>
    </xf>
    <xf numFmtId="0" fontId="2" fillId="19" borderId="0" xfId="0" applyFont="1" applyFill="1" applyAlignment="1">
      <alignment horizontal="left"/>
    </xf>
    <xf numFmtId="1" fontId="3" fillId="19" borderId="0" xfId="0" applyNumberFormat="1" applyFont="1" applyFill="1" applyAlignment="1">
      <alignment horizontal="right" vertical="center"/>
    </xf>
    <xf numFmtId="1" fontId="2" fillId="19" borderId="0" xfId="0" applyNumberFormat="1" applyFont="1" applyFill="1" applyAlignment="1">
      <alignment horizontal="right"/>
    </xf>
    <xf numFmtId="1" fontId="3" fillId="19" borderId="0" xfId="0" applyNumberFormat="1" applyFont="1" applyFill="1" applyAlignment="1" applyProtection="1">
      <alignment horizontal="right" vertical="center"/>
      <protection locked="0" hidden="1"/>
    </xf>
    <xf numFmtId="0" fontId="3" fillId="10" borderId="0" xfId="0" applyFont="1" applyFill="1" applyAlignment="1">
      <alignment horizontal="left"/>
    </xf>
    <xf numFmtId="0" fontId="56" fillId="10" borderId="0" xfId="0" applyFont="1" applyFill="1"/>
    <xf numFmtId="0" fontId="2" fillId="10" borderId="0" xfId="0" applyFont="1" applyFill="1" applyAlignment="1">
      <alignment horizontal="left"/>
    </xf>
    <xf numFmtId="0" fontId="54" fillId="22" borderId="0" xfId="0" applyFont="1" applyFill="1" applyAlignment="1" applyProtection="1">
      <alignment horizontal="right"/>
      <protection locked="0" hidden="1"/>
    </xf>
    <xf numFmtId="2" fontId="2" fillId="10" borderId="0" xfId="0" applyNumberFormat="1" applyFont="1" applyFill="1"/>
    <xf numFmtId="167" fontId="2" fillId="10" borderId="0" xfId="0" applyNumberFormat="1" applyFont="1" applyFill="1"/>
    <xf numFmtId="1" fontId="2" fillId="10" borderId="0" xfId="0" applyNumberFormat="1" applyFont="1" applyFill="1"/>
    <xf numFmtId="1" fontId="2" fillId="10" borderId="0" xfId="0" applyNumberFormat="1" applyFont="1" applyFill="1" applyAlignment="1">
      <alignment horizontal="right"/>
    </xf>
    <xf numFmtId="0" fontId="60" fillId="10" borderId="0" xfId="0" applyFont="1" applyFill="1" applyAlignment="1">
      <alignment horizontal="right"/>
    </xf>
    <xf numFmtId="1" fontId="60" fillId="22" borderId="0" xfId="0" applyNumberFormat="1" applyFont="1" applyFill="1" applyAlignment="1" applyProtection="1">
      <alignment horizontal="right"/>
      <protection locked="0"/>
    </xf>
    <xf numFmtId="0" fontId="60" fillId="22" borderId="0" xfId="0" applyFont="1" applyFill="1" applyProtection="1">
      <protection locked="0"/>
    </xf>
    <xf numFmtId="167" fontId="60" fillId="22" borderId="0" xfId="0" applyNumberFormat="1" applyFont="1" applyFill="1" applyAlignment="1" applyProtection="1">
      <alignment horizontal="right" vertical="center"/>
      <protection locked="0" hidden="1"/>
    </xf>
    <xf numFmtId="1" fontId="60" fillId="22" borderId="0" xfId="0" applyNumberFormat="1" applyFont="1" applyFill="1" applyAlignment="1" applyProtection="1">
      <alignment horizontal="right" vertical="center"/>
      <protection locked="0" hidden="1"/>
    </xf>
    <xf numFmtId="0" fontId="3" fillId="10" borderId="24" xfId="0" applyFont="1" applyFill="1" applyBorder="1"/>
    <xf numFmtId="0" fontId="2" fillId="10" borderId="25" xfId="0" applyFont="1" applyFill="1" applyBorder="1"/>
    <xf numFmtId="0" fontId="2" fillId="10" borderId="26" xfId="0" applyFont="1" applyFill="1" applyBorder="1"/>
    <xf numFmtId="0" fontId="2" fillId="10" borderId="27" xfId="0" applyFont="1" applyFill="1" applyBorder="1"/>
    <xf numFmtId="0" fontId="2" fillId="10" borderId="24" xfId="0" applyFont="1" applyFill="1" applyBorder="1"/>
    <xf numFmtId="167" fontId="2" fillId="10" borderId="26" xfId="0" applyNumberFormat="1" applyFont="1" applyFill="1" applyBorder="1"/>
    <xf numFmtId="0" fontId="3" fillId="10" borderId="24" xfId="0" applyFont="1" applyFill="1" applyBorder="1" applyAlignment="1">
      <alignment horizontal="left"/>
    </xf>
    <xf numFmtId="0" fontId="2" fillId="19" borderId="33" xfId="0" applyFont="1" applyFill="1" applyBorder="1" applyAlignment="1">
      <alignment horizontal="left"/>
    </xf>
    <xf numFmtId="0" fontId="54" fillId="22" borderId="33" xfId="0" applyFont="1" applyFill="1" applyBorder="1" applyAlignment="1" applyProtection="1">
      <alignment horizontal="right"/>
      <protection locked="0" hidden="1"/>
    </xf>
    <xf numFmtId="0" fontId="54" fillId="10" borderId="34" xfId="0" applyFont="1" applyFill="1" applyBorder="1" applyAlignment="1">
      <alignment horizontal="left"/>
    </xf>
    <xf numFmtId="0" fontId="54" fillId="10" borderId="24" xfId="0" applyFont="1" applyFill="1" applyBorder="1" applyAlignment="1">
      <alignment horizontal="left"/>
    </xf>
    <xf numFmtId="167" fontId="3" fillId="10" borderId="35" xfId="0" applyNumberFormat="1" applyFont="1" applyFill="1" applyBorder="1" applyAlignment="1">
      <alignment horizontal="right"/>
    </xf>
    <xf numFmtId="0" fontId="3" fillId="10" borderId="35" xfId="0" applyFont="1" applyFill="1" applyBorder="1" applyAlignment="1">
      <alignment horizontal="center"/>
    </xf>
    <xf numFmtId="0" fontId="3" fillId="10" borderId="35" xfId="0" applyFont="1" applyFill="1" applyBorder="1"/>
    <xf numFmtId="0" fontId="3" fillId="10" borderId="33" xfId="0" applyFont="1" applyFill="1" applyBorder="1"/>
    <xf numFmtId="0" fontId="2" fillId="10" borderId="33" xfId="0" applyFont="1" applyFill="1" applyBorder="1"/>
    <xf numFmtId="0" fontId="2" fillId="10" borderId="34" xfId="0" applyFont="1" applyFill="1" applyBorder="1"/>
    <xf numFmtId="0" fontId="2" fillId="10" borderId="33" xfId="0" applyFont="1" applyFill="1" applyBorder="1" applyAlignment="1">
      <alignment vertical="center"/>
    </xf>
    <xf numFmtId="0" fontId="3" fillId="10" borderId="34" xfId="0" applyFont="1" applyFill="1" applyBorder="1" applyAlignment="1">
      <alignment horizontal="left"/>
    </xf>
    <xf numFmtId="167" fontId="2" fillId="10" borderId="33" xfId="0" applyNumberFormat="1" applyFont="1" applyFill="1" applyBorder="1" applyAlignment="1">
      <alignment horizontal="left" vertical="center"/>
    </xf>
    <xf numFmtId="1" fontId="2" fillId="10" borderId="0" xfId="0" applyNumberFormat="1" applyFont="1" applyFill="1" applyAlignment="1">
      <alignment horizontal="left" vertical="center"/>
    </xf>
    <xf numFmtId="0" fontId="2" fillId="10" borderId="35" xfId="0" applyFont="1" applyFill="1" applyBorder="1"/>
    <xf numFmtId="0" fontId="3" fillId="10" borderId="25" xfId="0" applyFont="1" applyFill="1" applyBorder="1" applyAlignment="1">
      <alignment horizontal="center"/>
    </xf>
    <xf numFmtId="0" fontId="55" fillId="16" borderId="36" xfId="0" applyFont="1" applyFill="1" applyBorder="1"/>
    <xf numFmtId="0" fontId="17" fillId="3" borderId="23" xfId="0" applyFont="1" applyFill="1" applyBorder="1"/>
    <xf numFmtId="0" fontId="17" fillId="19" borderId="33" xfId="0" applyFont="1" applyFill="1" applyBorder="1"/>
    <xf numFmtId="0" fontId="17" fillId="19" borderId="25" xfId="0" applyFont="1" applyFill="1" applyBorder="1"/>
    <xf numFmtId="167" fontId="3" fillId="19" borderId="33" xfId="0" applyNumberFormat="1" applyFont="1" applyFill="1" applyBorder="1" applyAlignment="1">
      <alignment horizontal="right" vertical="center"/>
    </xf>
    <xf numFmtId="167" fontId="60" fillId="22" borderId="33" xfId="0" applyNumberFormat="1" applyFont="1" applyFill="1" applyBorder="1" applyAlignment="1" applyProtection="1">
      <alignment horizontal="right" vertical="center"/>
      <protection locked="0" hidden="1"/>
    </xf>
    <xf numFmtId="0" fontId="2" fillId="19" borderId="0" xfId="0" applyFont="1" applyFill="1" applyAlignment="1" applyProtection="1">
      <alignment horizontal="right"/>
      <protection locked="0"/>
    </xf>
    <xf numFmtId="0" fontId="3" fillId="0" borderId="34" xfId="0" applyFont="1" applyBorder="1" applyAlignment="1">
      <alignment horizontal="left"/>
    </xf>
    <xf numFmtId="171" fontId="17" fillId="21" borderId="0" xfId="0" applyNumberFormat="1" applyFont="1" applyFill="1" applyAlignment="1">
      <alignment horizontal="center"/>
    </xf>
    <xf numFmtId="0" fontId="17" fillId="21" borderId="0" xfId="0" applyFont="1" applyFill="1"/>
    <xf numFmtId="171" fontId="25" fillId="21" borderId="0" xfId="0" applyNumberFormat="1" applyFont="1" applyFill="1" applyAlignment="1">
      <alignment horizontal="center"/>
    </xf>
    <xf numFmtId="0" fontId="25" fillId="21" borderId="0" xfId="0" applyFont="1" applyFill="1"/>
    <xf numFmtId="0" fontId="2" fillId="10" borderId="37" xfId="0" applyFont="1" applyFill="1" applyBorder="1"/>
    <xf numFmtId="0" fontId="62" fillId="10" borderId="0" xfId="0" applyFont="1" applyFill="1" applyAlignment="1">
      <alignment horizontal="right"/>
    </xf>
    <xf numFmtId="0" fontId="64" fillId="10" borderId="0" xfId="0" applyFont="1" applyFill="1"/>
    <xf numFmtId="0" fontId="64" fillId="10" borderId="24" xfId="0" applyFont="1" applyFill="1" applyBorder="1"/>
    <xf numFmtId="171" fontId="64" fillId="21" borderId="0" xfId="0" applyNumberFormat="1" applyFont="1" applyFill="1" applyAlignment="1">
      <alignment horizontal="center"/>
    </xf>
    <xf numFmtId="0" fontId="64" fillId="21" borderId="0" xfId="0" applyFont="1" applyFill="1"/>
    <xf numFmtId="171" fontId="64" fillId="3" borderId="0" xfId="0" applyNumberFormat="1" applyFont="1" applyFill="1" applyAlignment="1">
      <alignment horizontal="center"/>
    </xf>
    <xf numFmtId="0" fontId="64" fillId="3" borderId="0" xfId="0" applyFont="1" applyFill="1"/>
    <xf numFmtId="0" fontId="62" fillId="10" borderId="33" xfId="0" applyFont="1" applyFill="1" applyBorder="1" applyAlignment="1">
      <alignment horizontal="right"/>
    </xf>
    <xf numFmtId="0" fontId="62" fillId="10" borderId="0" xfId="0" applyFont="1" applyFill="1" applyAlignment="1">
      <alignment horizontal="right" vertical="center"/>
    </xf>
    <xf numFmtId="0" fontId="62" fillId="0" borderId="0" xfId="0" applyFont="1" applyAlignment="1">
      <alignment horizontal="left" vertical="center"/>
    </xf>
    <xf numFmtId="2" fontId="0" fillId="0" borderId="0" xfId="0" applyNumberFormat="1" applyAlignment="1">
      <alignment horizontal="right"/>
    </xf>
    <xf numFmtId="0" fontId="3" fillId="22" borderId="0" xfId="0" applyFont="1" applyFill="1" applyAlignment="1" applyProtection="1">
      <alignment horizontal="right"/>
      <protection locked="0"/>
    </xf>
    <xf numFmtId="0" fontId="67" fillId="0" borderId="0" xfId="0" applyFont="1"/>
    <xf numFmtId="0" fontId="2" fillId="10" borderId="0" xfId="2" applyFill="1"/>
    <xf numFmtId="49" fontId="2" fillId="10" borderId="0" xfId="2" applyNumberFormat="1" applyFill="1"/>
    <xf numFmtId="0" fontId="11" fillId="10" borderId="0" xfId="2" applyFont="1" applyFill="1" applyAlignment="1">
      <alignment vertical="center"/>
    </xf>
    <xf numFmtId="0" fontId="2" fillId="23" borderId="14" xfId="2" applyFill="1" applyBorder="1" applyAlignment="1">
      <alignment horizontal="center" vertical="center"/>
    </xf>
    <xf numFmtId="0" fontId="2" fillId="10" borderId="14" xfId="2" applyFill="1" applyBorder="1" applyAlignment="1">
      <alignment horizontal="center" vertical="center"/>
    </xf>
    <xf numFmtId="0" fontId="2" fillId="10" borderId="8" xfId="2" applyFill="1" applyBorder="1" applyAlignment="1">
      <alignment vertical="center" wrapText="1"/>
    </xf>
    <xf numFmtId="0" fontId="2" fillId="10" borderId="8" xfId="2" applyFill="1" applyBorder="1" applyAlignment="1">
      <alignment horizontal="left" vertical="center"/>
    </xf>
    <xf numFmtId="0" fontId="2" fillId="10" borderId="0" xfId="2" applyFill="1" applyAlignment="1">
      <alignment vertical="center"/>
    </xf>
    <xf numFmtId="0" fontId="2" fillId="24" borderId="14" xfId="2" applyFill="1" applyBorder="1" applyAlignment="1">
      <alignment horizontal="center" vertical="center"/>
    </xf>
    <xf numFmtId="0" fontId="2" fillId="24" borderId="8" xfId="2" applyFill="1" applyBorder="1" applyAlignment="1">
      <alignment vertical="center" wrapText="1"/>
    </xf>
    <xf numFmtId="173" fontId="2" fillId="24" borderId="8" xfId="2" applyNumberFormat="1" applyFill="1" applyBorder="1" applyAlignment="1">
      <alignment horizontal="center" vertical="center"/>
    </xf>
    <xf numFmtId="0" fontId="2" fillId="24" borderId="8" xfId="2" quotePrefix="1" applyFill="1" applyBorder="1" applyAlignment="1">
      <alignment horizontal="left" vertical="center"/>
    </xf>
    <xf numFmtId="0" fontId="2" fillId="24" borderId="8" xfId="2" applyFill="1" applyBorder="1" applyAlignment="1">
      <alignment horizontal="left" vertical="center"/>
    </xf>
    <xf numFmtId="0" fontId="2" fillId="24" borderId="8" xfId="2" applyFill="1" applyBorder="1" applyAlignment="1">
      <alignment horizontal="center" vertical="center"/>
    </xf>
    <xf numFmtId="0" fontId="2" fillId="19" borderId="14" xfId="2" applyFill="1" applyBorder="1" applyAlignment="1">
      <alignment horizontal="center" vertical="center"/>
    </xf>
    <xf numFmtId="0" fontId="2" fillId="19" borderId="8" xfId="2" applyFill="1" applyBorder="1" applyAlignment="1">
      <alignment vertical="center" wrapText="1"/>
    </xf>
    <xf numFmtId="173" fontId="2" fillId="19" borderId="8" xfId="2" applyNumberFormat="1" applyFill="1" applyBorder="1" applyAlignment="1">
      <alignment horizontal="center" vertical="center"/>
    </xf>
    <xf numFmtId="0" fontId="2" fillId="19" borderId="8" xfId="2" quotePrefix="1" applyFill="1" applyBorder="1" applyAlignment="1">
      <alignment horizontal="left" vertical="center"/>
    </xf>
    <xf numFmtId="0" fontId="2" fillId="19" borderId="8" xfId="2" applyFill="1" applyBorder="1" applyAlignment="1">
      <alignment horizontal="left" vertical="center"/>
    </xf>
    <xf numFmtId="175" fontId="2" fillId="10" borderId="8" xfId="2" applyNumberFormat="1" applyFill="1" applyBorder="1" applyAlignment="1">
      <alignment horizontal="center" vertical="center"/>
    </xf>
    <xf numFmtId="0" fontId="2" fillId="10" borderId="12" xfId="2" applyFill="1" applyBorder="1" applyAlignment="1">
      <alignment horizontal="left" vertical="center"/>
    </xf>
    <xf numFmtId="49" fontId="2" fillId="10" borderId="8" xfId="2" applyNumberFormat="1" applyFill="1" applyBorder="1" applyAlignment="1">
      <alignment horizontal="left" vertical="center"/>
    </xf>
    <xf numFmtId="0" fontId="2" fillId="23" borderId="8" xfId="2" applyFill="1" applyBorder="1" applyAlignment="1">
      <alignment vertical="center" wrapText="1"/>
    </xf>
    <xf numFmtId="174" fontId="2" fillId="23" borderId="8" xfId="2" applyNumberFormat="1" applyFill="1" applyBorder="1" applyAlignment="1">
      <alignment horizontal="center" vertical="center"/>
    </xf>
    <xf numFmtId="0" fontId="2" fillId="23" borderId="12" xfId="2" applyFill="1" applyBorder="1" applyAlignment="1">
      <alignment horizontal="left" vertical="center"/>
    </xf>
    <xf numFmtId="0" fontId="2" fillId="23" borderId="8" xfId="2" quotePrefix="1" applyFill="1" applyBorder="1" applyAlignment="1">
      <alignment horizontal="left" vertical="center"/>
    </xf>
    <xf numFmtId="0" fontId="2" fillId="23" borderId="8" xfId="2" applyFill="1" applyBorder="1" applyAlignment="1">
      <alignment horizontal="left" vertical="center"/>
    </xf>
    <xf numFmtId="0" fontId="2" fillId="19" borderId="12" xfId="2" applyFill="1" applyBorder="1" applyAlignment="1">
      <alignment horizontal="left" vertical="center"/>
    </xf>
    <xf numFmtId="175" fontId="2" fillId="19" borderId="8" xfId="2" applyNumberFormat="1" applyFill="1" applyBorder="1" applyAlignment="1">
      <alignment horizontal="center" vertical="center"/>
    </xf>
    <xf numFmtId="175" fontId="2" fillId="23" borderId="8" xfId="2" applyNumberFormat="1" applyFill="1" applyBorder="1" applyAlignment="1">
      <alignment horizontal="center" vertical="center"/>
    </xf>
    <xf numFmtId="0" fontId="2" fillId="19" borderId="8" xfId="2" applyFill="1" applyBorder="1" applyAlignment="1">
      <alignment horizontal="center" vertical="center"/>
    </xf>
    <xf numFmtId="176" fontId="2" fillId="23" borderId="8" xfId="2" applyNumberFormat="1" applyFill="1" applyBorder="1" applyAlignment="1">
      <alignment horizontal="center" vertical="center"/>
    </xf>
    <xf numFmtId="0" fontId="56" fillId="10" borderId="8" xfId="2" applyFont="1" applyFill="1" applyBorder="1" applyAlignment="1">
      <alignment horizontal="center" vertical="center"/>
    </xf>
    <xf numFmtId="0" fontId="3" fillId="10" borderId="14" xfId="2" applyFont="1" applyFill="1" applyBorder="1" applyAlignment="1">
      <alignment horizontal="center" vertical="center"/>
    </xf>
    <xf numFmtId="0" fontId="3" fillId="10" borderId="8" xfId="2" applyFont="1" applyFill="1" applyBorder="1" applyAlignment="1">
      <alignment vertical="center" wrapText="1"/>
    </xf>
    <xf numFmtId="0" fontId="3" fillId="10" borderId="8" xfId="2" applyFont="1" applyFill="1" applyBorder="1" applyAlignment="1">
      <alignment horizontal="left" vertical="center"/>
    </xf>
    <xf numFmtId="0" fontId="2" fillId="19" borderId="0" xfId="2" applyFill="1"/>
    <xf numFmtId="49" fontId="2" fillId="19" borderId="0" xfId="2" applyNumberFormat="1" applyFill="1"/>
    <xf numFmtId="0" fontId="3" fillId="19" borderId="35" xfId="0" applyFont="1" applyFill="1" applyBorder="1"/>
    <xf numFmtId="0" fontId="69" fillId="19" borderId="0" xfId="0" applyFont="1" applyFill="1"/>
    <xf numFmtId="0" fontId="3" fillId="10" borderId="0" xfId="2" applyFont="1" applyFill="1"/>
    <xf numFmtId="0" fontId="56" fillId="10" borderId="33" xfId="0" applyFont="1" applyFill="1" applyBorder="1" applyProtection="1">
      <protection locked="0"/>
    </xf>
    <xf numFmtId="1" fontId="0" fillId="4" borderId="0" xfId="0" applyNumberFormat="1" applyFill="1"/>
    <xf numFmtId="0" fontId="3" fillId="5" borderId="43" xfId="0" applyFont="1" applyFill="1" applyBorder="1"/>
    <xf numFmtId="2" fontId="7" fillId="13" borderId="0" xfId="0" applyNumberFormat="1" applyFont="1" applyFill="1"/>
    <xf numFmtId="167" fontId="7" fillId="13" borderId="0" xfId="0" applyNumberFormat="1" applyFont="1" applyFill="1"/>
    <xf numFmtId="11" fontId="7" fillId="13" borderId="0" xfId="0" applyNumberFormat="1" applyFont="1" applyFill="1"/>
    <xf numFmtId="0" fontId="20" fillId="25" borderId="36" xfId="0" applyFont="1" applyFill="1" applyBorder="1"/>
    <xf numFmtId="0" fontId="20" fillId="25" borderId="37" xfId="0" applyFont="1" applyFill="1" applyBorder="1"/>
    <xf numFmtId="0" fontId="17" fillId="25" borderId="37" xfId="0" applyFont="1" applyFill="1" applyBorder="1"/>
    <xf numFmtId="0" fontId="17" fillId="25" borderId="0" xfId="0" applyFont="1" applyFill="1"/>
    <xf numFmtId="171" fontId="17" fillId="25" borderId="0" xfId="0" applyNumberFormat="1" applyFont="1" applyFill="1" applyAlignment="1">
      <alignment horizontal="center"/>
    </xf>
    <xf numFmtId="171" fontId="64" fillId="25" borderId="0" xfId="0" applyNumberFormat="1" applyFont="1" applyFill="1" applyAlignment="1">
      <alignment horizontal="center"/>
    </xf>
    <xf numFmtId="171" fontId="25" fillId="25" borderId="0" xfId="0" applyNumberFormat="1" applyFont="1" applyFill="1" applyAlignment="1">
      <alignment horizontal="center"/>
    </xf>
    <xf numFmtId="0" fontId="26" fillId="25" borderId="0" xfId="0" applyFont="1" applyFill="1" applyAlignment="1">
      <alignment horizontal="left"/>
    </xf>
    <xf numFmtId="0" fontId="24" fillId="25" borderId="0" xfId="0" applyFont="1" applyFill="1" applyAlignment="1">
      <alignment horizontal="left" vertical="center"/>
    </xf>
    <xf numFmtId="0" fontId="66" fillId="25" borderId="0" xfId="0" applyFont="1" applyFill="1" applyAlignment="1">
      <alignment horizontal="left" vertical="center"/>
    </xf>
    <xf numFmtId="0" fontId="20" fillId="25" borderId="0" xfId="0" applyFont="1" applyFill="1" applyAlignment="1">
      <alignment vertical="center"/>
    </xf>
    <xf numFmtId="0" fontId="24" fillId="25" borderId="0" xfId="0" quotePrefix="1" applyFont="1" applyFill="1" applyAlignment="1">
      <alignment vertical="center"/>
    </xf>
    <xf numFmtId="0" fontId="28" fillId="25" borderId="0" xfId="0" applyFont="1" applyFill="1" applyAlignment="1">
      <alignment vertical="center"/>
    </xf>
    <xf numFmtId="0" fontId="28" fillId="25" borderId="0" xfId="0" applyFont="1" applyFill="1"/>
    <xf numFmtId="0" fontId="29" fillId="25" borderId="25" xfId="0" applyFont="1" applyFill="1" applyBorder="1"/>
    <xf numFmtId="0" fontId="29" fillId="25" borderId="26" xfId="0" applyFont="1" applyFill="1" applyBorder="1"/>
    <xf numFmtId="0" fontId="20" fillId="25" borderId="26" xfId="0" applyFont="1" applyFill="1" applyBorder="1"/>
    <xf numFmtId="0" fontId="24" fillId="25" borderId="44" xfId="0" applyFont="1" applyFill="1" applyBorder="1" applyAlignment="1">
      <alignment horizontal="left" vertical="center"/>
    </xf>
    <xf numFmtId="0" fontId="72" fillId="25" borderId="0" xfId="1" applyFont="1" applyFill="1" applyBorder="1" applyAlignment="1" applyProtection="1">
      <alignment horizontal="left" vertical="center"/>
    </xf>
    <xf numFmtId="0" fontId="2" fillId="10" borderId="0" xfId="0" applyFont="1" applyFill="1" applyAlignment="1">
      <alignment horizontal="right" vertical="center"/>
    </xf>
    <xf numFmtId="0" fontId="2" fillId="10" borderId="44" xfId="0" applyFont="1" applyFill="1" applyBorder="1"/>
    <xf numFmtId="0" fontId="56" fillId="0" borderId="0" xfId="0" applyFont="1"/>
    <xf numFmtId="0" fontId="56" fillId="0" borderId="0" xfId="0" applyFont="1" applyAlignment="1">
      <alignment horizontal="left"/>
    </xf>
    <xf numFmtId="0" fontId="2" fillId="0" borderId="0" xfId="2"/>
    <xf numFmtId="166" fontId="0" fillId="4" borderId="0" xfId="0" applyNumberFormat="1" applyFill="1"/>
    <xf numFmtId="2" fontId="0" fillId="13" borderId="0" xfId="0" applyNumberFormat="1" applyFill="1"/>
    <xf numFmtId="0" fontId="0" fillId="0" borderId="44" xfId="0" applyBorder="1"/>
    <xf numFmtId="0" fontId="2" fillId="0" borderId="44" xfId="0" applyFont="1" applyBorder="1"/>
    <xf numFmtId="165" fontId="7" fillId="13" borderId="0" xfId="0" applyNumberFormat="1" applyFont="1" applyFill="1"/>
    <xf numFmtId="166" fontId="7" fillId="13" borderId="0" xfId="0" applyNumberFormat="1" applyFont="1" applyFill="1"/>
    <xf numFmtId="0" fontId="7" fillId="0" borderId="44" xfId="0" applyFont="1" applyBorder="1"/>
    <xf numFmtId="0" fontId="3" fillId="13" borderId="0" xfId="0" applyFont="1" applyFill="1" applyAlignment="1">
      <alignment horizontal="right"/>
    </xf>
    <xf numFmtId="167" fontId="0" fillId="4" borderId="0" xfId="0" applyNumberFormat="1" applyFill="1"/>
    <xf numFmtId="166" fontId="7" fillId="19" borderId="0" xfId="0" applyNumberFormat="1" applyFont="1" applyFill="1"/>
    <xf numFmtId="0" fontId="75" fillId="19" borderId="33" xfId="0" applyFont="1" applyFill="1" applyBorder="1" applyAlignment="1">
      <alignment horizontal="left" vertical="center"/>
    </xf>
    <xf numFmtId="0" fontId="2" fillId="19" borderId="33" xfId="0" applyFont="1" applyFill="1" applyBorder="1"/>
    <xf numFmtId="167" fontId="0" fillId="19" borderId="0" xfId="0" applyNumberFormat="1" applyFill="1"/>
    <xf numFmtId="0" fontId="60" fillId="10" borderId="33" xfId="0" applyFont="1" applyFill="1" applyBorder="1" applyAlignment="1">
      <alignment horizontal="right"/>
    </xf>
    <xf numFmtId="0" fontId="3" fillId="10" borderId="34" xfId="0" applyFont="1" applyFill="1" applyBorder="1"/>
    <xf numFmtId="0" fontId="3" fillId="22" borderId="33" xfId="0" applyFont="1" applyFill="1" applyBorder="1" applyProtection="1">
      <protection locked="0"/>
    </xf>
    <xf numFmtId="1" fontId="59" fillId="19" borderId="24" xfId="0" applyNumberFormat="1" applyFont="1" applyFill="1" applyBorder="1" applyAlignment="1" applyProtection="1">
      <alignment horizontal="left"/>
      <protection locked="0"/>
    </xf>
    <xf numFmtId="0" fontId="2" fillId="6" borderId="8" xfId="0" applyFont="1" applyFill="1" applyBorder="1"/>
    <xf numFmtId="165" fontId="0" fillId="0" borderId="0" xfId="0" applyNumberFormat="1"/>
    <xf numFmtId="166" fontId="0" fillId="0" borderId="0" xfId="0" applyNumberFormat="1"/>
    <xf numFmtId="165" fontId="0" fillId="0" borderId="0" xfId="0" applyNumberFormat="1" applyAlignment="1">
      <alignment horizontal="left" indent="1"/>
    </xf>
    <xf numFmtId="166" fontId="15" fillId="7" borderId="0" xfId="0" applyNumberFormat="1" applyFont="1" applyFill="1"/>
    <xf numFmtId="167" fontId="15" fillId="0" borderId="0" xfId="0" applyNumberFormat="1" applyFont="1"/>
    <xf numFmtId="164" fontId="0" fillId="0" borderId="0" xfId="0" applyNumberFormat="1"/>
    <xf numFmtId="164" fontId="15" fillId="0" borderId="0" xfId="0" applyNumberFormat="1" applyFont="1"/>
    <xf numFmtId="0" fontId="2" fillId="4" borderId="34" xfId="0" applyFont="1" applyFill="1" applyBorder="1"/>
    <xf numFmtId="0" fontId="67" fillId="0" borderId="8" xfId="0" applyFont="1" applyBorder="1"/>
    <xf numFmtId="0" fontId="2" fillId="0" borderId="8" xfId="0" applyFont="1" applyBorder="1"/>
    <xf numFmtId="0" fontId="2" fillId="0" borderId="10" xfId="0" applyFont="1" applyBorder="1"/>
    <xf numFmtId="0" fontId="2" fillId="0" borderId="12" xfId="0" applyFont="1" applyBorder="1"/>
    <xf numFmtId="0" fontId="2" fillId="0" borderId="13" xfId="0" applyFont="1" applyBorder="1"/>
    <xf numFmtId="1" fontId="3" fillId="13" borderId="0" xfId="0" applyNumberFormat="1" applyFont="1" applyFill="1"/>
    <xf numFmtId="2" fontId="3" fillId="13" borderId="0" xfId="0" applyNumberFormat="1" applyFont="1" applyFill="1"/>
    <xf numFmtId="0" fontId="3" fillId="10" borderId="5" xfId="2" applyFont="1" applyFill="1" applyBorder="1" applyAlignment="1">
      <alignment horizontal="left" vertical="center"/>
    </xf>
    <xf numFmtId="177" fontId="2" fillId="19" borderId="5" xfId="2" applyNumberFormat="1" applyFill="1" applyBorder="1" applyAlignment="1">
      <alignment horizontal="left" vertical="center"/>
    </xf>
    <xf numFmtId="177" fontId="2" fillId="19" borderId="6" xfId="2" applyNumberFormat="1" applyFill="1" applyBorder="1" applyAlignment="1">
      <alignment horizontal="left" vertical="center"/>
    </xf>
    <xf numFmtId="177" fontId="2" fillId="19" borderId="12" xfId="2" applyNumberFormat="1" applyFill="1" applyBorder="1" applyAlignment="1">
      <alignment horizontal="left" vertical="center"/>
    </xf>
    <xf numFmtId="0" fontId="2" fillId="0" borderId="0" xfId="0" applyFont="1" applyAlignment="1">
      <alignment horizontal="right"/>
    </xf>
    <xf numFmtId="0" fontId="79" fillId="0" borderId="0" xfId="0" applyFont="1" applyAlignment="1">
      <alignment horizontal="right"/>
    </xf>
    <xf numFmtId="0" fontId="2" fillId="0" borderId="0" xfId="0" quotePrefix="1" applyFont="1"/>
    <xf numFmtId="0" fontId="2" fillId="0" borderId="0" xfId="0" applyFont="1" applyAlignment="1">
      <alignment horizontal="left"/>
    </xf>
    <xf numFmtId="49" fontId="77" fillId="21" borderId="45" xfId="2" applyNumberFormat="1" applyFont="1" applyFill="1" applyBorder="1" applyAlignment="1">
      <alignment horizontal="center" vertical="center"/>
    </xf>
    <xf numFmtId="0" fontId="77" fillId="21" borderId="39" xfId="2" applyFont="1" applyFill="1" applyBorder="1" applyAlignment="1">
      <alignment horizontal="center" vertical="center"/>
    </xf>
    <xf numFmtId="167" fontId="2" fillId="10" borderId="8" xfId="2" applyNumberFormat="1" applyFill="1" applyBorder="1" applyAlignment="1">
      <alignment horizontal="center" vertical="center"/>
    </xf>
    <xf numFmtId="2" fontId="2" fillId="10" borderId="8" xfId="2" applyNumberFormat="1" applyFill="1" applyBorder="1" applyAlignment="1">
      <alignment horizontal="center" vertical="center"/>
    </xf>
    <xf numFmtId="0" fontId="2" fillId="10" borderId="5" xfId="2" applyFill="1" applyBorder="1" applyAlignment="1">
      <alignment horizontal="left" vertical="center"/>
    </xf>
    <xf numFmtId="0" fontId="2" fillId="23" borderId="5" xfId="2" applyFill="1" applyBorder="1" applyAlignment="1">
      <alignment horizontal="left" vertical="center"/>
    </xf>
    <xf numFmtId="0" fontId="2" fillId="19" borderId="5" xfId="2" applyFill="1" applyBorder="1" applyAlignment="1">
      <alignment horizontal="left" vertical="center"/>
    </xf>
    <xf numFmtId="0" fontId="2" fillId="24" borderId="5" xfId="2" applyFill="1" applyBorder="1" applyAlignment="1">
      <alignment horizontal="left" vertical="center"/>
    </xf>
    <xf numFmtId="0" fontId="2" fillId="10" borderId="46" xfId="2" applyFill="1" applyBorder="1" applyAlignment="1">
      <alignment horizontal="center" vertical="center"/>
    </xf>
    <xf numFmtId="0" fontId="2" fillId="24" borderId="46" xfId="2" applyFill="1" applyBorder="1" applyAlignment="1">
      <alignment horizontal="center" vertical="center"/>
    </xf>
    <xf numFmtId="167" fontId="2" fillId="24" borderId="8" xfId="2" applyNumberFormat="1" applyFill="1" applyBorder="1" applyAlignment="1">
      <alignment horizontal="center" vertical="center"/>
    </xf>
    <xf numFmtId="0" fontId="68" fillId="3" borderId="38" xfId="2" applyFont="1" applyFill="1" applyBorder="1" applyAlignment="1">
      <alignment horizontal="center" vertical="center"/>
    </xf>
    <xf numFmtId="0" fontId="68" fillId="3" borderId="39" xfId="2" applyFont="1" applyFill="1" applyBorder="1" applyAlignment="1">
      <alignment horizontal="center" vertical="center"/>
    </xf>
    <xf numFmtId="167" fontId="81" fillId="0" borderId="0" xfId="2" applyNumberFormat="1" applyFont="1" applyAlignment="1">
      <alignment horizontal="right" vertical="center"/>
    </xf>
    <xf numFmtId="0" fontId="81" fillId="10" borderId="0" xfId="2" applyFont="1" applyFill="1" applyAlignment="1">
      <alignment horizontal="left"/>
    </xf>
    <xf numFmtId="165" fontId="81" fillId="10" borderId="0" xfId="2" applyNumberFormat="1" applyFont="1" applyFill="1" applyAlignment="1">
      <alignment vertical="center"/>
    </xf>
    <xf numFmtId="164" fontId="0" fillId="4" borderId="26" xfId="0" applyNumberFormat="1" applyFill="1" applyBorder="1"/>
    <xf numFmtId="172" fontId="2" fillId="19" borderId="8" xfId="2" applyNumberFormat="1" applyFill="1" applyBorder="1" applyAlignment="1">
      <alignment horizontal="center" vertical="center"/>
    </xf>
    <xf numFmtId="0" fontId="2" fillId="19" borderId="46" xfId="2" applyFill="1" applyBorder="1" applyAlignment="1">
      <alignment horizontal="center" vertical="center"/>
    </xf>
    <xf numFmtId="167" fontId="2" fillId="19" borderId="8" xfId="2" applyNumberFormat="1" applyFill="1" applyBorder="1" applyAlignment="1">
      <alignment horizontal="center" vertical="center"/>
    </xf>
    <xf numFmtId="166" fontId="2" fillId="0" borderId="0" xfId="0" applyNumberFormat="1" applyFont="1"/>
    <xf numFmtId="1" fontId="0" fillId="13" borderId="0" xfId="0" applyNumberFormat="1" applyFill="1"/>
    <xf numFmtId="0" fontId="78" fillId="10" borderId="0" xfId="2" applyFont="1" applyFill="1" applyAlignment="1">
      <alignment vertical="center"/>
    </xf>
    <xf numFmtId="0" fontId="2" fillId="19" borderId="0" xfId="2" applyFill="1" applyProtection="1">
      <protection locked="0" hidden="1"/>
    </xf>
    <xf numFmtId="0" fontId="2" fillId="10" borderId="0" xfId="2" applyFill="1" applyProtection="1">
      <protection locked="0" hidden="1"/>
    </xf>
    <xf numFmtId="0" fontId="78" fillId="10" borderId="0" xfId="2" applyFont="1" applyFill="1" applyAlignment="1" applyProtection="1">
      <alignment vertical="center"/>
      <protection locked="0" hidden="1"/>
    </xf>
    <xf numFmtId="167" fontId="2" fillId="10" borderId="33" xfId="0" applyNumberFormat="1" applyFont="1" applyFill="1" applyBorder="1"/>
    <xf numFmtId="0" fontId="3" fillId="0" borderId="44" xfId="0" applyFont="1" applyBorder="1"/>
    <xf numFmtId="166" fontId="0" fillId="13" borderId="0" xfId="0" applyNumberFormat="1" applyFill="1"/>
    <xf numFmtId="1" fontId="0" fillId="0" borderId="0" xfId="0" applyNumberFormat="1" applyAlignment="1">
      <alignment horizontal="right"/>
    </xf>
    <xf numFmtId="11" fontId="3" fillId="13" borderId="0" xfId="0" applyNumberFormat="1" applyFont="1" applyFill="1" applyAlignment="1">
      <alignment horizontal="right"/>
    </xf>
    <xf numFmtId="0" fontId="78" fillId="10" borderId="0" xfId="2" applyFont="1" applyFill="1"/>
    <xf numFmtId="0" fontId="78" fillId="10" borderId="0" xfId="2" applyFont="1" applyFill="1" applyProtection="1">
      <protection locked="0" hidden="1"/>
    </xf>
    <xf numFmtId="0" fontId="2" fillId="0" borderId="0" xfId="2" applyAlignment="1">
      <alignment horizontal="right"/>
    </xf>
    <xf numFmtId="0" fontId="3" fillId="0" borderId="0" xfId="2" applyFont="1"/>
    <xf numFmtId="0" fontId="2" fillId="0" borderId="0" xfId="2" applyAlignment="1">
      <alignment horizontal="left"/>
    </xf>
    <xf numFmtId="0" fontId="79" fillId="0" borderId="0" xfId="2" applyFont="1" applyAlignment="1">
      <alignment horizontal="right"/>
    </xf>
    <xf numFmtId="0" fontId="56" fillId="0" borderId="0" xfId="2" applyFont="1"/>
    <xf numFmtId="0" fontId="83" fillId="10" borderId="0" xfId="2" applyFont="1" applyFill="1" applyProtection="1">
      <protection locked="0" hidden="1"/>
    </xf>
    <xf numFmtId="0" fontId="84" fillId="19" borderId="8" xfId="2" quotePrefix="1" applyFont="1" applyFill="1" applyBorder="1" applyAlignment="1">
      <alignment horizontal="left" vertical="center"/>
    </xf>
    <xf numFmtId="178" fontId="2" fillId="19" borderId="8" xfId="2" applyNumberFormat="1" applyFill="1" applyBorder="1" applyAlignment="1">
      <alignment horizontal="center" vertical="center"/>
    </xf>
    <xf numFmtId="165" fontId="0" fillId="0" borderId="8" xfId="0" applyNumberFormat="1" applyBorder="1"/>
    <xf numFmtId="164" fontId="0" fillId="7" borderId="8" xfId="0" applyNumberFormat="1" applyFill="1" applyBorder="1"/>
    <xf numFmtId="0" fontId="3" fillId="5" borderId="47" xfId="0" applyFont="1" applyFill="1" applyBorder="1"/>
    <xf numFmtId="0" fontId="85" fillId="0" borderId="23" xfId="0" applyFont="1" applyBorder="1"/>
    <xf numFmtId="0" fontId="7" fillId="4" borderId="33" xfId="0" applyFont="1" applyFill="1" applyBorder="1"/>
    <xf numFmtId="0" fontId="86" fillId="25" borderId="0" xfId="0" applyFont="1" applyFill="1" applyAlignment="1">
      <alignment horizontal="left"/>
    </xf>
    <xf numFmtId="0" fontId="87" fillId="25" borderId="0" xfId="0" applyFont="1" applyFill="1"/>
    <xf numFmtId="0" fontId="88" fillId="25" borderId="26" xfId="0" applyFont="1" applyFill="1" applyBorder="1"/>
    <xf numFmtId="0" fontId="87" fillId="10" borderId="0" xfId="0" applyFont="1" applyFill="1"/>
    <xf numFmtId="0" fontId="87" fillId="10" borderId="24" xfId="0" applyFont="1" applyFill="1" applyBorder="1"/>
    <xf numFmtId="0" fontId="89" fillId="25" borderId="0" xfId="0" applyFont="1" applyFill="1" applyAlignment="1">
      <alignment horizontal="left"/>
    </xf>
    <xf numFmtId="0" fontId="90" fillId="25" borderId="0" xfId="1" applyFont="1" applyFill="1" applyBorder="1" applyAlignment="1" applyProtection="1"/>
    <xf numFmtId="0" fontId="18" fillId="25" borderId="26" xfId="0" applyFont="1" applyFill="1" applyBorder="1"/>
    <xf numFmtId="0" fontId="91" fillId="25" borderId="0" xfId="0" applyFont="1" applyFill="1"/>
    <xf numFmtId="0" fontId="26" fillId="25" borderId="44" xfId="0" applyFont="1" applyFill="1" applyBorder="1" applyAlignment="1">
      <alignment horizontal="left" vertical="center"/>
    </xf>
    <xf numFmtId="0" fontId="17" fillId="19" borderId="0" xfId="2" applyFont="1" applyFill="1"/>
    <xf numFmtId="0" fontId="2" fillId="21" borderId="0" xfId="2" applyFill="1"/>
    <xf numFmtId="0" fontId="94" fillId="21" borderId="0" xfId="2" applyFont="1" applyFill="1"/>
    <xf numFmtId="0" fontId="94" fillId="21" borderId="0" xfId="2" applyFont="1" applyFill="1" applyAlignment="1">
      <alignment horizontal="center" vertical="center"/>
    </xf>
    <xf numFmtId="0" fontId="94" fillId="21" borderId="0" xfId="2" applyFont="1" applyFill="1" applyAlignment="1">
      <alignment horizontal="left" vertical="center"/>
    </xf>
    <xf numFmtId="0" fontId="0" fillId="4" borderId="33" xfId="0" applyFill="1" applyBorder="1"/>
    <xf numFmtId="0" fontId="3" fillId="2" borderId="48" xfId="0" applyFont="1" applyFill="1" applyBorder="1" applyAlignment="1">
      <alignment horizontal="center" vertical="top" wrapText="1"/>
    </xf>
    <xf numFmtId="0" fontId="56" fillId="2" borderId="48" xfId="0" applyFont="1" applyFill="1" applyBorder="1" applyAlignment="1">
      <alignment horizontal="center" vertical="top" wrapText="1"/>
    </xf>
    <xf numFmtId="0" fontId="3" fillId="0" borderId="0" xfId="0" applyFont="1" applyAlignment="1">
      <alignment horizontal="left"/>
    </xf>
    <xf numFmtId="0" fontId="3" fillId="0" borderId="0" xfId="0" applyFont="1" applyAlignment="1">
      <alignment horizontal="right"/>
    </xf>
    <xf numFmtId="0" fontId="56" fillId="0" borderId="0" xfId="0" applyFont="1" applyAlignment="1">
      <alignment horizontal="right"/>
    </xf>
    <xf numFmtId="0" fontId="3" fillId="0" borderId="0" xfId="0" applyFont="1" applyAlignment="1" applyProtection="1">
      <alignment horizontal="right"/>
      <protection locked="0"/>
    </xf>
    <xf numFmtId="0" fontId="22" fillId="10" borderId="44" xfId="0" applyFont="1" applyFill="1" applyBorder="1"/>
    <xf numFmtId="0" fontId="3" fillId="19" borderId="0" xfId="0" applyFont="1" applyFill="1"/>
    <xf numFmtId="0" fontId="3" fillId="19" borderId="0" xfId="0" applyFont="1" applyFill="1" applyAlignment="1">
      <alignment horizontal="right"/>
    </xf>
    <xf numFmtId="0" fontId="2" fillId="10" borderId="33" xfId="0" applyFont="1" applyFill="1" applyBorder="1" applyAlignment="1">
      <alignment horizontal="right"/>
    </xf>
    <xf numFmtId="2" fontId="59" fillId="10" borderId="33" xfId="5" applyNumberFormat="1" applyFont="1" applyFill="1" applyBorder="1" applyAlignment="1" applyProtection="1">
      <alignment horizontal="right"/>
    </xf>
    <xf numFmtId="0" fontId="3" fillId="19" borderId="0" xfId="0" applyFont="1" applyFill="1" applyProtection="1">
      <protection locked="0"/>
    </xf>
    <xf numFmtId="0" fontId="62" fillId="10" borderId="0" xfId="0" applyFont="1" applyFill="1" applyAlignment="1">
      <alignment horizontal="left" vertical="center"/>
    </xf>
    <xf numFmtId="0" fontId="92" fillId="25" borderId="0" xfId="0" applyFont="1" applyFill="1" applyAlignment="1">
      <alignment horizontal="center" vertical="center"/>
    </xf>
    <xf numFmtId="0" fontId="95" fillId="20" borderId="35" xfId="0" applyFont="1" applyFill="1" applyBorder="1" applyAlignment="1">
      <alignment horizontal="left" vertical="center"/>
    </xf>
    <xf numFmtId="0" fontId="95" fillId="20" borderId="33" xfId="0" applyFont="1" applyFill="1" applyBorder="1" applyAlignment="1">
      <alignment horizontal="left" vertical="center"/>
    </xf>
    <xf numFmtId="0" fontId="68" fillId="3" borderId="40" xfId="2" applyFont="1" applyFill="1" applyBorder="1" applyAlignment="1">
      <alignment horizontal="center" vertical="center"/>
    </xf>
    <xf numFmtId="0" fontId="68" fillId="3" borderId="41" xfId="2" applyFont="1" applyFill="1" applyBorder="1" applyAlignment="1">
      <alignment horizontal="center" vertical="center"/>
    </xf>
    <xf numFmtId="0" fontId="68" fillId="3" borderId="42" xfId="2" applyFont="1" applyFill="1" applyBorder="1" applyAlignment="1">
      <alignment horizontal="center" vertical="center"/>
    </xf>
    <xf numFmtId="0" fontId="3" fillId="10" borderId="5" xfId="2" applyFont="1" applyFill="1" applyBorder="1" applyAlignment="1">
      <alignment horizontal="left" vertical="center"/>
    </xf>
    <xf numFmtId="0" fontId="3" fillId="10" borderId="6" xfId="2" applyFont="1" applyFill="1" applyBorder="1" applyAlignment="1">
      <alignment horizontal="left" vertical="center"/>
    </xf>
    <xf numFmtId="0" fontId="3" fillId="10" borderId="12" xfId="2" applyFont="1" applyFill="1" applyBorder="1" applyAlignment="1">
      <alignment horizontal="left" vertical="center"/>
    </xf>
    <xf numFmtId="184" fontId="2" fillId="19" borderId="5" xfId="2" applyNumberFormat="1" applyFill="1" applyBorder="1" applyAlignment="1">
      <alignment horizontal="left" vertical="center"/>
    </xf>
    <xf numFmtId="184" fontId="2" fillId="19" borderId="6" xfId="2" applyNumberFormat="1" applyFill="1" applyBorder="1" applyAlignment="1">
      <alignment horizontal="left" vertical="center"/>
    </xf>
    <xf numFmtId="184" fontId="2" fillId="19" borderId="12" xfId="2" applyNumberFormat="1" applyFill="1" applyBorder="1" applyAlignment="1">
      <alignment horizontal="left" vertical="center"/>
    </xf>
    <xf numFmtId="184" fontId="2" fillId="24" borderId="5" xfId="2" applyNumberFormat="1" applyFill="1" applyBorder="1" applyAlignment="1">
      <alignment horizontal="left" vertical="center"/>
    </xf>
    <xf numFmtId="184" fontId="2" fillId="24" borderId="6" xfId="2" applyNumberFormat="1" applyFill="1" applyBorder="1" applyAlignment="1">
      <alignment horizontal="left" vertical="center"/>
    </xf>
    <xf numFmtId="184" fontId="2" fillId="24" borderId="12" xfId="2" applyNumberFormat="1" applyFill="1" applyBorder="1" applyAlignment="1">
      <alignment horizontal="left" vertical="center"/>
    </xf>
    <xf numFmtId="187" fontId="2" fillId="19" borderId="5" xfId="2" applyNumberFormat="1" applyFill="1" applyBorder="1" applyAlignment="1">
      <alignment horizontal="left" vertical="center"/>
    </xf>
    <xf numFmtId="187" fontId="2" fillId="19" borderId="6" xfId="2" applyNumberFormat="1" applyFill="1" applyBorder="1" applyAlignment="1">
      <alignment horizontal="left" vertical="center"/>
    </xf>
    <xf numFmtId="187" fontId="2" fillId="19" borderId="12" xfId="2" applyNumberFormat="1" applyFill="1" applyBorder="1" applyAlignment="1">
      <alignment horizontal="left" vertical="center"/>
    </xf>
    <xf numFmtId="185" fontId="2" fillId="19" borderId="5" xfId="2" applyNumberFormat="1" applyFill="1" applyBorder="1" applyAlignment="1">
      <alignment horizontal="left" vertical="center"/>
    </xf>
    <xf numFmtId="185" fontId="2" fillId="19" borderId="6" xfId="2" applyNumberFormat="1" applyFill="1" applyBorder="1" applyAlignment="1">
      <alignment horizontal="left" vertical="center"/>
    </xf>
    <xf numFmtId="185" fontId="2" fillId="19" borderId="12" xfId="2" applyNumberFormat="1" applyFill="1" applyBorder="1" applyAlignment="1">
      <alignment horizontal="left" vertical="center"/>
    </xf>
    <xf numFmtId="186" fontId="2" fillId="19" borderId="5" xfId="2" applyNumberFormat="1" applyFill="1" applyBorder="1" applyAlignment="1">
      <alignment horizontal="left" vertical="center"/>
    </xf>
    <xf numFmtId="186" fontId="2" fillId="19" borderId="6" xfId="2" applyNumberFormat="1" applyFill="1" applyBorder="1" applyAlignment="1">
      <alignment horizontal="left" vertical="center"/>
    </xf>
    <xf numFmtId="186" fontId="2" fillId="19" borderId="12" xfId="2" applyNumberFormat="1" applyFill="1" applyBorder="1" applyAlignment="1">
      <alignment horizontal="left" vertical="center"/>
    </xf>
    <xf numFmtId="181" fontId="2" fillId="10" borderId="5" xfId="2" applyNumberFormat="1" applyFill="1" applyBorder="1" applyAlignment="1">
      <alignment horizontal="left" vertical="center"/>
    </xf>
    <xf numFmtId="181" fontId="2" fillId="10" borderId="6" xfId="2" applyNumberFormat="1" applyFill="1" applyBorder="1" applyAlignment="1">
      <alignment horizontal="left" vertical="center"/>
    </xf>
    <xf numFmtId="180" fontId="2" fillId="23" borderId="5" xfId="2" applyNumberFormat="1" applyFill="1" applyBorder="1" applyAlignment="1">
      <alignment horizontal="left" vertical="center"/>
    </xf>
    <xf numFmtId="180" fontId="2" fillId="23" borderId="6" xfId="2" applyNumberFormat="1" applyFill="1" applyBorder="1" applyAlignment="1">
      <alignment horizontal="left" vertical="center"/>
    </xf>
    <xf numFmtId="179" fontId="2" fillId="23" borderId="5" xfId="2" applyNumberFormat="1" applyFill="1" applyBorder="1" applyAlignment="1">
      <alignment horizontal="left" vertical="center"/>
    </xf>
    <xf numFmtId="179" fontId="2" fillId="23" borderId="6" xfId="2" applyNumberFormat="1" applyFill="1" applyBorder="1" applyAlignment="1">
      <alignment horizontal="left" vertical="center"/>
    </xf>
    <xf numFmtId="0" fontId="2" fillId="19" borderId="5" xfId="2" applyFill="1" applyBorder="1" applyAlignment="1">
      <alignment horizontal="left" vertical="center"/>
    </xf>
    <xf numFmtId="0" fontId="2" fillId="19" borderId="6" xfId="2" applyFill="1" applyBorder="1" applyAlignment="1">
      <alignment horizontal="left" vertical="center"/>
    </xf>
    <xf numFmtId="181" fontId="2" fillId="19" borderId="5" xfId="2" applyNumberFormat="1" applyFill="1" applyBorder="1" applyAlignment="1">
      <alignment horizontal="left" vertical="center"/>
    </xf>
    <xf numFmtId="181" fontId="2" fillId="19" borderId="6" xfId="2" applyNumberFormat="1" applyFill="1" applyBorder="1" applyAlignment="1">
      <alignment horizontal="left" vertical="center"/>
    </xf>
    <xf numFmtId="0" fontId="2" fillId="23" borderId="5" xfId="2" applyFill="1" applyBorder="1" applyAlignment="1">
      <alignment horizontal="left" vertical="center"/>
    </xf>
    <xf numFmtId="0" fontId="2" fillId="23" borderId="6" xfId="2" applyFill="1" applyBorder="1" applyAlignment="1">
      <alignment horizontal="left" vertical="center"/>
    </xf>
    <xf numFmtId="185" fontId="2" fillId="24" borderId="5" xfId="2" applyNumberFormat="1" applyFill="1" applyBorder="1" applyAlignment="1">
      <alignment horizontal="left" vertical="center"/>
    </xf>
    <xf numFmtId="185" fontId="2" fillId="24" borderId="6" xfId="2" applyNumberFormat="1" applyFill="1" applyBorder="1" applyAlignment="1">
      <alignment horizontal="left" vertical="center"/>
    </xf>
    <xf numFmtId="185" fontId="2" fillId="24" borderId="12" xfId="2" applyNumberFormat="1" applyFill="1" applyBorder="1" applyAlignment="1">
      <alignment horizontal="left" vertical="center"/>
    </xf>
    <xf numFmtId="0" fontId="81" fillId="10" borderId="0" xfId="2" applyFont="1" applyFill="1" applyAlignment="1">
      <alignment horizontal="right" wrapText="1"/>
    </xf>
    <xf numFmtId="0" fontId="2" fillId="23" borderId="12" xfId="2" applyFill="1" applyBorder="1" applyAlignment="1">
      <alignment horizontal="left" vertical="center"/>
    </xf>
    <xf numFmtId="182" fontId="2" fillId="19" borderId="5" xfId="2" applyNumberFormat="1" applyFill="1" applyBorder="1" applyAlignment="1">
      <alignment horizontal="left" vertical="center"/>
    </xf>
    <xf numFmtId="182" fontId="2" fillId="19" borderId="6" xfId="2" applyNumberFormat="1" applyFill="1" applyBorder="1" applyAlignment="1">
      <alignment horizontal="left" vertical="center"/>
    </xf>
    <xf numFmtId="183" fontId="2" fillId="19" borderId="5" xfId="2" applyNumberFormat="1" applyFill="1" applyBorder="1" applyAlignment="1">
      <alignment horizontal="left" vertical="center"/>
    </xf>
    <xf numFmtId="183" fontId="2" fillId="19" borderId="6" xfId="2" applyNumberFormat="1" applyFill="1" applyBorder="1" applyAlignment="1">
      <alignment horizontal="left" vertical="center"/>
    </xf>
    <xf numFmtId="0" fontId="93" fillId="19" borderId="44" xfId="2" applyFont="1" applyFill="1" applyBorder="1" applyAlignment="1">
      <alignment horizontal="left" vertical="center"/>
    </xf>
    <xf numFmtId="0" fontId="93" fillId="19" borderId="0" xfId="2"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8" fillId="3" borderId="0" xfId="0" applyFont="1" applyFill="1" applyAlignment="1">
      <alignment horizontal="center"/>
    </xf>
    <xf numFmtId="0" fontId="3" fillId="2" borderId="0" xfId="0" applyFont="1" applyFill="1" applyAlignment="1">
      <alignment horizontal="center"/>
    </xf>
    <xf numFmtId="0" fontId="13" fillId="3" borderId="0" xfId="0" applyFont="1" applyFill="1" applyAlignment="1">
      <alignment horizontal="left"/>
    </xf>
    <xf numFmtId="0" fontId="3" fillId="0" borderId="0" xfId="0" applyFont="1" applyAlignment="1">
      <alignment horizontal="left" wrapText="1"/>
    </xf>
    <xf numFmtId="0" fontId="17" fillId="19" borderId="26" xfId="0" applyFont="1" applyFill="1" applyBorder="1"/>
    <xf numFmtId="0" fontId="3" fillId="10" borderId="26" xfId="0" applyFont="1" applyFill="1" applyBorder="1" applyAlignment="1">
      <alignment horizontal="right" vertical="center"/>
    </xf>
    <xf numFmtId="0" fontId="3" fillId="22" borderId="26" xfId="0" applyFont="1" applyFill="1" applyBorder="1" applyProtection="1">
      <protection locked="0"/>
    </xf>
    <xf numFmtId="0" fontId="3" fillId="10" borderId="27" xfId="0" applyFont="1" applyFill="1" applyBorder="1"/>
    <xf numFmtId="0" fontId="59" fillId="10" borderId="26" xfId="0" applyFont="1" applyFill="1" applyBorder="1" applyAlignment="1">
      <alignment horizontal="right"/>
    </xf>
    <xf numFmtId="0" fontId="17" fillId="19" borderId="44" xfId="0" applyFont="1" applyFill="1" applyBorder="1"/>
    <xf numFmtId="0" fontId="3" fillId="10" borderId="33" xfId="0" applyFont="1" applyFill="1" applyBorder="1" applyAlignment="1">
      <alignment horizontal="right"/>
    </xf>
    <xf numFmtId="1" fontId="3" fillId="22" borderId="33" xfId="0" applyNumberFormat="1" applyFont="1" applyFill="1" applyBorder="1" applyProtection="1">
      <protection locked="0"/>
    </xf>
    <xf numFmtId="0" fontId="2" fillId="19" borderId="44" xfId="0" applyFont="1" applyFill="1" applyBorder="1"/>
    <xf numFmtId="0" fontId="3" fillId="10" borderId="44" xfId="0" applyFont="1" applyFill="1" applyBorder="1"/>
    <xf numFmtId="0" fontId="60" fillId="19" borderId="33" xfId="0" applyFont="1" applyFill="1" applyBorder="1" applyAlignment="1">
      <alignment horizontal="right"/>
    </xf>
    <xf numFmtId="0" fontId="22" fillId="10" borderId="44" xfId="0" applyFont="1" applyFill="1" applyBorder="1" applyAlignment="1">
      <alignment vertical="center"/>
    </xf>
    <xf numFmtId="166" fontId="2" fillId="19" borderId="26" xfId="0" applyNumberFormat="1" applyFont="1" applyFill="1" applyBorder="1"/>
    <xf numFmtId="0" fontId="56" fillId="10" borderId="44" xfId="0" applyFont="1" applyFill="1" applyBorder="1" applyAlignment="1">
      <alignment vertical="center"/>
    </xf>
    <xf numFmtId="1" fontId="3" fillId="19" borderId="26" xfId="0" applyNumberFormat="1" applyFont="1" applyFill="1" applyBorder="1" applyAlignment="1">
      <alignment horizontal="right" vertical="center"/>
    </xf>
    <xf numFmtId="1" fontId="60" fillId="22" borderId="26" xfId="0" applyNumberFormat="1" applyFont="1" applyFill="1" applyBorder="1" applyAlignment="1" applyProtection="1">
      <alignment horizontal="right" vertical="center"/>
      <protection locked="0" hidden="1"/>
    </xf>
    <xf numFmtId="0" fontId="3" fillId="10" borderId="27" xfId="0" applyFont="1" applyFill="1" applyBorder="1" applyAlignment="1">
      <alignment horizontal="left"/>
    </xf>
    <xf numFmtId="1" fontId="3" fillId="19" borderId="44" xfId="0" applyNumberFormat="1" applyFont="1" applyFill="1" applyBorder="1" applyAlignment="1">
      <alignment horizontal="right" vertical="center"/>
    </xf>
    <xf numFmtId="0" fontId="63" fillId="10" borderId="44" xfId="0" applyFont="1" applyFill="1" applyBorder="1" applyAlignment="1">
      <alignment vertical="center"/>
    </xf>
    <xf numFmtId="167" fontId="62" fillId="10" borderId="26" xfId="0" applyNumberFormat="1" applyFont="1" applyFill="1" applyBorder="1" applyAlignment="1">
      <alignment horizontal="center" vertical="center"/>
    </xf>
    <xf numFmtId="167" fontId="62" fillId="10" borderId="26" xfId="0" applyNumberFormat="1" applyFont="1" applyFill="1" applyBorder="1" applyAlignment="1">
      <alignment vertical="center"/>
    </xf>
    <xf numFmtId="0" fontId="3" fillId="10" borderId="44" xfId="0" applyFont="1" applyFill="1" applyBorder="1" applyAlignment="1">
      <alignment horizontal="center"/>
    </xf>
    <xf numFmtId="167" fontId="3" fillId="10" borderId="44" xfId="0" applyNumberFormat="1" applyFont="1" applyFill="1" applyBorder="1" applyAlignment="1">
      <alignment horizontal="right"/>
    </xf>
    <xf numFmtId="1" fontId="3" fillId="10" borderId="44" xfId="0" applyNumberFormat="1" applyFont="1" applyFill="1" applyBorder="1" applyAlignment="1">
      <alignment horizontal="right"/>
    </xf>
    <xf numFmtId="1" fontId="2" fillId="10" borderId="26" xfId="0" applyNumberFormat="1" applyFont="1" applyFill="1" applyBorder="1" applyAlignment="1">
      <alignment horizontal="left" vertical="center"/>
    </xf>
    <xf numFmtId="0" fontId="2" fillId="19" borderId="26" xfId="0" applyFont="1" applyFill="1" applyBorder="1" applyAlignment="1">
      <alignment horizontal="left"/>
    </xf>
    <xf numFmtId="0" fontId="54" fillId="22" borderId="26" xfId="0" applyFont="1" applyFill="1" applyBorder="1" applyAlignment="1" applyProtection="1">
      <alignment horizontal="right"/>
      <protection locked="0" hidden="1"/>
    </xf>
    <xf numFmtId="0" fontId="54" fillId="10" borderId="27" xfId="0" applyFont="1" applyFill="1" applyBorder="1" applyAlignment="1">
      <alignment horizontal="left"/>
    </xf>
    <xf numFmtId="0" fontId="57" fillId="10" borderId="25" xfId="0" applyFont="1" applyFill="1" applyBorder="1" applyAlignment="1">
      <alignment horizontal="left"/>
    </xf>
    <xf numFmtId="0" fontId="57" fillId="10" borderId="27" xfId="0" applyFont="1" applyFill="1" applyBorder="1"/>
    <xf numFmtId="0" fontId="55" fillId="16" borderId="37" xfId="0" applyFont="1" applyFill="1" applyBorder="1"/>
    <xf numFmtId="0" fontId="58" fillId="16" borderId="37" xfId="0" applyFont="1" applyFill="1" applyBorder="1"/>
    <xf numFmtId="0" fontId="25" fillId="16" borderId="37" xfId="0" applyFont="1" applyFill="1" applyBorder="1"/>
    <xf numFmtId="0" fontId="3" fillId="10" borderId="26" xfId="0" applyFont="1" applyFill="1" applyBorder="1"/>
    <xf numFmtId="0" fontId="3" fillId="10" borderId="26" xfId="0" applyFont="1" applyFill="1" applyBorder="1" applyAlignment="1">
      <alignment horizontal="right"/>
    </xf>
    <xf numFmtId="0" fontId="2" fillId="10" borderId="26" xfId="0" applyFont="1" applyFill="1" applyBorder="1" applyAlignment="1">
      <alignment horizontal="right" vertical="center"/>
    </xf>
    <xf numFmtId="167" fontId="2" fillId="10" borderId="26" xfId="0" applyNumberFormat="1" applyFont="1" applyFill="1" applyBorder="1" applyAlignment="1">
      <alignment vertical="center"/>
    </xf>
    <xf numFmtId="0" fontId="2" fillId="10" borderId="27" xfId="0" applyFont="1" applyFill="1" applyBorder="1" applyAlignment="1">
      <alignment vertical="center"/>
    </xf>
    <xf numFmtId="171" fontId="17" fillId="25" borderId="26" xfId="0" applyNumberFormat="1" applyFont="1" applyFill="1" applyBorder="1" applyAlignment="1">
      <alignment horizontal="center"/>
    </xf>
    <xf numFmtId="0" fontId="0" fillId="0" borderId="35" xfId="0" applyBorder="1"/>
    <xf numFmtId="0" fontId="0" fillId="0" borderId="33" xfId="0" applyBorder="1"/>
    <xf numFmtId="0" fontId="0" fillId="0" borderId="34" xfId="0" applyBorder="1"/>
    <xf numFmtId="1" fontId="2" fillId="13" borderId="0" xfId="0" applyNumberFormat="1" applyFont="1" applyFill="1"/>
    <xf numFmtId="0" fontId="7" fillId="0" borderId="35" xfId="0" applyFont="1" applyBorder="1"/>
    <xf numFmtId="166" fontId="7" fillId="13" borderId="33" xfId="0" applyNumberFormat="1" applyFont="1" applyFill="1" applyBorder="1"/>
    <xf numFmtId="0" fontId="2" fillId="13" borderId="0" xfId="0" applyFont="1" applyFill="1"/>
    <xf numFmtId="0" fontId="3" fillId="0" borderId="35" xfId="0" applyFont="1" applyBorder="1"/>
    <xf numFmtId="2" fontId="7" fillId="4" borderId="33" xfId="0" applyNumberFormat="1" applyFont="1" applyFill="1" applyBorder="1"/>
    <xf numFmtId="164" fontId="0" fillId="13" borderId="33" xfId="0" applyNumberFormat="1" applyFill="1" applyBorder="1"/>
    <xf numFmtId="0" fontId="2" fillId="0" borderId="33" xfId="0" applyFont="1" applyBorder="1"/>
    <xf numFmtId="0" fontId="21" fillId="0" borderId="49" xfId="0" applyFont="1" applyBorder="1"/>
    <xf numFmtId="0" fontId="0" fillId="0" borderId="50" xfId="0" applyBorder="1"/>
    <xf numFmtId="0" fontId="0" fillId="0" borderId="51" xfId="0" applyBorder="1"/>
    <xf numFmtId="0" fontId="2" fillId="0" borderId="31" xfId="0" applyFont="1" applyBorder="1"/>
    <xf numFmtId="0" fontId="15" fillId="0" borderId="31" xfId="0" applyFont="1" applyBorder="1"/>
    <xf numFmtId="2" fontId="15" fillId="13" borderId="0" xfId="0" applyNumberFormat="1" applyFont="1" applyFill="1"/>
    <xf numFmtId="0" fontId="15" fillId="0" borderId="0" xfId="0" applyFont="1"/>
    <xf numFmtId="0" fontId="15" fillId="18" borderId="0" xfId="0" applyFont="1" applyFill="1"/>
    <xf numFmtId="0" fontId="15" fillId="4" borderId="0" xfId="0" applyFont="1" applyFill="1"/>
    <xf numFmtId="166" fontId="15" fillId="18" borderId="0" xfId="0" applyNumberFormat="1" applyFont="1" applyFill="1"/>
    <xf numFmtId="0" fontId="15" fillId="0" borderId="32" xfId="0" applyFont="1" applyBorder="1"/>
    <xf numFmtId="0" fontId="15" fillId="18" borderId="28" xfId="0" applyFont="1" applyFill="1" applyBorder="1"/>
    <xf numFmtId="0" fontId="15" fillId="0" borderId="28" xfId="0" applyFont="1" applyBorder="1"/>
    <xf numFmtId="0" fontId="2" fillId="0" borderId="35" xfId="0" applyFont="1" applyBorder="1"/>
    <xf numFmtId="0" fontId="0" fillId="0" borderId="33" xfId="0" applyBorder="1" applyAlignment="1">
      <alignment horizontal="right"/>
    </xf>
    <xf numFmtId="0" fontId="0" fillId="14" borderId="33" xfId="0" applyFill="1" applyBorder="1"/>
    <xf numFmtId="0" fontId="2" fillId="14" borderId="0" xfId="0" applyFont="1" applyFill="1"/>
    <xf numFmtId="171" fontId="15" fillId="0" borderId="0" xfId="0" applyNumberFormat="1" applyFont="1" applyAlignment="1">
      <alignment horizontal="center"/>
    </xf>
    <xf numFmtId="171" fontId="2" fillId="0" borderId="0" xfId="0" applyNumberFormat="1" applyFont="1" applyAlignment="1">
      <alignment horizontal="center"/>
    </xf>
    <xf numFmtId="171" fontId="2" fillId="0" borderId="0" xfId="0" applyNumberFormat="1" applyFont="1" applyAlignment="1" applyProtection="1">
      <alignment horizontal="center"/>
      <protection locked="0"/>
    </xf>
    <xf numFmtId="0" fontId="7" fillId="4" borderId="35" xfId="0" applyFont="1" applyFill="1" applyBorder="1"/>
    <xf numFmtId="0" fontId="0" fillId="4" borderId="34" xfId="0" applyFill="1" applyBorder="1"/>
    <xf numFmtId="0" fontId="15" fillId="4" borderId="34" xfId="0" applyFont="1" applyFill="1" applyBorder="1"/>
    <xf numFmtId="168" fontId="7" fillId="4" borderId="35" xfId="0" applyNumberFormat="1" applyFont="1" applyFill="1" applyBorder="1" applyAlignment="1">
      <alignment horizontal="center"/>
    </xf>
    <xf numFmtId="168" fontId="7" fillId="4" borderId="33" xfId="0" applyNumberFormat="1" applyFont="1" applyFill="1" applyBorder="1" applyAlignment="1">
      <alignment horizontal="center"/>
    </xf>
    <xf numFmtId="0" fontId="0" fillId="4" borderId="41" xfId="0" applyFill="1" applyBorder="1"/>
    <xf numFmtId="0" fontId="7" fillId="4" borderId="34" xfId="0" applyFont="1" applyFill="1" applyBorder="1"/>
    <xf numFmtId="0" fontId="7" fillId="4" borderId="36" xfId="0" applyFont="1" applyFill="1" applyBorder="1" applyAlignment="1">
      <alignment horizontal="left"/>
    </xf>
    <xf numFmtId="0" fontId="7" fillId="4" borderId="37" xfId="0" applyFont="1" applyFill="1" applyBorder="1" applyAlignment="1">
      <alignment horizontal="left"/>
    </xf>
    <xf numFmtId="0" fontId="0" fillId="4" borderId="37" xfId="0" applyFill="1" applyBorder="1"/>
    <xf numFmtId="0" fontId="2" fillId="0" borderId="0" xfId="0" applyFont="1" applyProtection="1">
      <protection locked="0"/>
    </xf>
    <xf numFmtId="0" fontId="2" fillId="2" borderId="0" xfId="0" applyFont="1" applyFill="1"/>
    <xf numFmtId="0" fontId="2" fillId="7" borderId="8" xfId="0" applyFont="1" applyFill="1" applyBorder="1"/>
    <xf numFmtId="0" fontId="2" fillId="10" borderId="8" xfId="0" applyFont="1" applyFill="1" applyBorder="1"/>
  </cellXfs>
  <cellStyles count="6">
    <cellStyle name="Comma" xfId="5" builtinId="3"/>
    <cellStyle name="Comma 2" xfId="4" xr:uid="{00000000-0005-0000-0000-000000000000}"/>
    <cellStyle name="Hyperlink" xfId="1" builtinId="8"/>
    <cellStyle name="Normal" xfId="0" builtinId="0"/>
    <cellStyle name="Normal 2" xfId="2" xr:uid="{00000000-0005-0000-0000-000003000000}"/>
    <cellStyle name="Normal 3" xfId="3" xr:uid="{00000000-0005-0000-0000-000004000000}"/>
  </cellStyles>
  <dxfs count="25">
    <dxf>
      <font>
        <color theme="0"/>
      </font>
    </dxf>
    <dxf>
      <font>
        <color theme="0"/>
      </font>
    </dxf>
    <dxf>
      <font>
        <color theme="0"/>
      </font>
    </dxf>
    <dxf>
      <font>
        <color theme="0"/>
      </font>
    </dxf>
    <dxf>
      <font>
        <color theme="0"/>
      </font>
    </dxf>
    <dxf>
      <font>
        <color theme="0"/>
      </font>
    </dxf>
    <dxf>
      <font>
        <color rgb="FFFF0000"/>
      </font>
    </dxf>
    <dxf>
      <font>
        <color rgb="FFFF0000"/>
      </font>
    </dxf>
    <dxf>
      <font>
        <color theme="0"/>
      </font>
      <fill>
        <patternFill>
          <bgColor theme="0"/>
        </patternFill>
      </fill>
    </dxf>
    <dxf>
      <font>
        <b/>
        <i val="0"/>
        <condense val="0"/>
        <extend val="0"/>
        <color indexed="1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2"/>
      </font>
    </dxf>
    <dxf>
      <font>
        <b/>
        <i val="0"/>
        <condense val="0"/>
        <extend val="0"/>
        <color indexed="10"/>
      </font>
    </dxf>
    <dxf>
      <font>
        <b/>
        <i val="0"/>
        <color rgb="FFFF0000"/>
      </font>
    </dxf>
    <dxf>
      <font>
        <b/>
        <i val="0"/>
        <condense val="0"/>
        <extend val="0"/>
        <color indexed="10"/>
      </font>
    </dxf>
  </dxfs>
  <tableStyles count="0" defaultTableStyle="TableStyleMedium9" defaultPivotStyle="PivotStyleLight16"/>
  <colors>
    <mruColors>
      <color rgb="FF7DC4D6"/>
      <color rgb="FF0099FF"/>
      <color rgb="FF0000FF"/>
      <color rgb="FFFFFF99"/>
      <color rgb="FF003366"/>
      <color rgb="FFCCFFFF"/>
      <color rgb="FF7030A0"/>
      <color rgb="FFD1979B"/>
      <color rgb="FFDBEEF4"/>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u="none">
                <a:latin typeface="Arial" pitchFamily="34" charset="0"/>
                <a:cs typeface="Arial" pitchFamily="34" charset="0"/>
              </a:rPr>
              <a:t>Bode Plot </a:t>
            </a:r>
          </a:p>
        </c:rich>
      </c:tx>
      <c:layout>
        <c:manualLayout>
          <c:xMode val="edge"/>
          <c:yMode val="edge"/>
          <c:x val="0.10050639430091837"/>
          <c:y val="2.3290736067608779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722"/>
        </c:manualLayout>
      </c:layout>
      <c:scatterChart>
        <c:scatterStyle val="smoothMarker"/>
        <c:varyColors val="0"/>
        <c:ser>
          <c:idx val="2"/>
          <c:order val="0"/>
          <c:tx>
            <c:v>Loop Gain</c:v>
          </c:tx>
          <c:spPr>
            <a:ln w="31750">
              <a:solidFill>
                <a:srgbClr val="FF0000"/>
              </a:solidFill>
              <a:prstDash val="solid"/>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Calculations'!$BF$9:$BF$676</c:f>
              <c:numCache>
                <c:formatCode>General</c:formatCode>
                <c:ptCount val="668"/>
                <c:pt idx="0">
                  <c:v>84.156532964818524</c:v>
                </c:pt>
                <c:pt idx="1">
                  <c:v>80.016094312562075</c:v>
                </c:pt>
                <c:pt idx="2">
                  <c:v>76.953425185304638</c:v>
                </c:pt>
                <c:pt idx="3">
                  <c:v>74.627566903476961</c:v>
                </c:pt>
                <c:pt idx="4">
                  <c:v>72.771808215289525</c:v>
                </c:pt>
                <c:pt idx="5">
                  <c:v>71.233646081227008</c:v>
                </c:pt>
                <c:pt idx="6">
                  <c:v>69.922370402214696</c:v>
                </c:pt>
                <c:pt idx="7">
                  <c:v>68.780594933653404</c:v>
                </c:pt>
                <c:pt idx="8">
                  <c:v>67.7699889805494</c:v>
                </c:pt>
                <c:pt idx="9">
                  <c:v>66.863779597659857</c:v>
                </c:pt>
                <c:pt idx="10">
                  <c:v>60.872489153489731</c:v>
                </c:pt>
                <c:pt idx="11">
                  <c:v>57.357228387327396</c:v>
                </c:pt>
                <c:pt idx="12">
                  <c:v>54.862070987944655</c:v>
                </c:pt>
                <c:pt idx="13">
                  <c:v>52.926991460881951</c:v>
                </c:pt>
                <c:pt idx="14">
                  <c:v>51.346595918467095</c:v>
                </c:pt>
                <c:pt idx="15">
                  <c:v>50.011205508823309</c:v>
                </c:pt>
                <c:pt idx="16">
                  <c:v>48.855314464188488</c:v>
                </c:pt>
                <c:pt idx="17">
                  <c:v>47.836655619223613</c:v>
                </c:pt>
                <c:pt idx="18">
                  <c:v>46.926362680546994</c:v>
                </c:pt>
                <c:pt idx="19">
                  <c:v>40.981196536745429</c:v>
                </c:pt>
                <c:pt idx="20">
                  <c:v>37.584163049036185</c:v>
                </c:pt>
                <c:pt idx="21">
                  <c:v>35.259009457847036</c:v>
                </c:pt>
                <c:pt idx="22">
                  <c:v>33.542324803827356</c:v>
                </c:pt>
                <c:pt idx="23">
                  <c:v>32.226978757453253</c:v>
                </c:pt>
                <c:pt idx="24">
                  <c:v>31.201834720328243</c:v>
                </c:pt>
                <c:pt idx="25">
                  <c:v>30.400000883810652</c:v>
                </c:pt>
                <c:pt idx="26">
                  <c:v>29.777889584006978</c:v>
                </c:pt>
                <c:pt idx="27">
                  <c:v>29.30542137389326</c:v>
                </c:pt>
                <c:pt idx="28">
                  <c:v>28.595243141065339</c:v>
                </c:pt>
                <c:pt idx="29">
                  <c:v>29.921172490518188</c:v>
                </c:pt>
                <c:pt idx="30">
                  <c:v>33.004653816049803</c:v>
                </c:pt>
                <c:pt idx="31">
                  <c:v>36.486599350038759</c:v>
                </c:pt>
                <c:pt idx="32">
                  <c:v>33.843474015455001</c:v>
                </c:pt>
                <c:pt idx="33">
                  <c:v>29.393020134147847</c:v>
                </c:pt>
                <c:pt idx="34">
                  <c:v>26.115087375937321</c:v>
                </c:pt>
                <c:pt idx="35">
                  <c:v>23.686870361776371</c:v>
                </c:pt>
                <c:pt idx="36">
                  <c:v>21.794734511477138</c:v>
                </c:pt>
                <c:pt idx="37">
                  <c:v>20.258419280998314</c:v>
                </c:pt>
                <c:pt idx="38">
                  <c:v>18.971544338785051</c:v>
                </c:pt>
                <c:pt idx="39">
                  <c:v>17.867516437067358</c:v>
                </c:pt>
                <c:pt idx="40">
                  <c:v>16.902388191309118</c:v>
                </c:pt>
                <c:pt idx="41">
                  <c:v>16.045865747119709</c:v>
                </c:pt>
                <c:pt idx="42">
                  <c:v>15.276306029940967</c:v>
                </c:pt>
                <c:pt idx="43">
                  <c:v>14.57777942957547</c:v>
                </c:pt>
                <c:pt idx="44">
                  <c:v>13.938263537913251</c:v>
                </c:pt>
                <c:pt idx="45">
                  <c:v>13.348487925221598</c:v>
                </c:pt>
                <c:pt idx="46">
                  <c:v>12.801170137397794</c:v>
                </c:pt>
                <c:pt idx="47">
                  <c:v>12.29049565552139</c:v>
                </c:pt>
                <c:pt idx="48">
                  <c:v>11.811754940415289</c:v>
                </c:pt>
                <c:pt idx="49">
                  <c:v>11.361084486234741</c:v>
                </c:pt>
                <c:pt idx="50">
                  <c:v>10.935278450887056</c:v>
                </c:pt>
                <c:pt idx="51">
                  <c:v>10.531649229679411</c:v>
                </c:pt>
                <c:pt idx="52">
                  <c:v>10.147922634741759</c:v>
                </c:pt>
                <c:pt idx="53">
                  <c:v>9.7821579731497685</c:v>
                </c:pt>
                <c:pt idx="54">
                  <c:v>9.4326863242320851</c:v>
                </c:pt>
                <c:pt idx="55">
                  <c:v>9.0980623112606445</c:v>
                </c:pt>
                <c:pt idx="56">
                  <c:v>8.7770260109266331</c:v>
                </c:pt>
                <c:pt idx="57">
                  <c:v>8.4684725710461795</c:v>
                </c:pt>
                <c:pt idx="58">
                  <c:v>8.1714277544845348</c:v>
                </c:pt>
                <c:pt idx="59">
                  <c:v>7.8850280861785995</c:v>
                </c:pt>
                <c:pt idx="60">
                  <c:v>7.6085046096936892</c:v>
                </c:pt>
                <c:pt idx="61">
                  <c:v>7.3411694993552601</c:v>
                </c:pt>
                <c:pt idx="62">
                  <c:v>7.0824049502042978</c:v>
                </c:pt>
                <c:pt idx="63">
                  <c:v>6.8316538989976099</c:v>
                </c:pt>
                <c:pt idx="64">
                  <c:v>6.5884122277957138</c:v>
                </c:pt>
                <c:pt idx="65">
                  <c:v>6.3522221761814617</c:v>
                </c:pt>
                <c:pt idx="66">
                  <c:v>6.1226667450984866</c:v>
                </c:pt>
                <c:pt idx="67">
                  <c:v>5.8993649191848228</c:v>
                </c:pt>
                <c:pt idx="68">
                  <c:v>5.6819675685617579</c:v>
                </c:pt>
                <c:pt idx="69">
                  <c:v>5.4701539177041028</c:v>
                </c:pt>
                <c:pt idx="70">
                  <c:v>5.2636284900250017</c:v>
                </c:pt>
                <c:pt idx="71">
                  <c:v>5.0621184534656862</c:v>
                </c:pt>
                <c:pt idx="72">
                  <c:v>4.8653713056711982</c:v>
                </c:pt>
                <c:pt idx="73">
                  <c:v>4.6731528480002931</c:v>
                </c:pt>
                <c:pt idx="74">
                  <c:v>4.4852454062272615</c:v>
                </c:pt>
                <c:pt idx="75">
                  <c:v>4.3014462627797494</c:v>
                </c:pt>
                <c:pt idx="76">
                  <c:v>4.1215662710544283</c:v>
                </c:pt>
                <c:pt idx="77">
                  <c:v>3.9454286270223071</c:v>
                </c:pt>
                <c:pt idx="78">
                  <c:v>3.7728677771804042</c:v>
                </c:pt>
                <c:pt idx="79">
                  <c:v>3.6037284450865985</c:v>
                </c:pt>
                <c:pt idx="80">
                  <c:v>3.4378647613558213</c:v>
                </c:pt>
                <c:pt idx="81">
                  <c:v>3.2751394841983981</c:v>
                </c:pt>
                <c:pt idx="82">
                  <c:v>3.1154232994257312</c:v>
                </c:pt>
                <c:pt idx="83">
                  <c:v>2.9585941903984563</c:v>
                </c:pt>
                <c:pt idx="84">
                  <c:v>2.8045368696992123</c:v>
                </c:pt>
                <c:pt idx="85">
                  <c:v>2.6531422654189001</c:v>
                </c:pt>
                <c:pt idx="86">
                  <c:v>2.5043070558846239</c:v>
                </c:pt>
                <c:pt idx="87">
                  <c:v>2.3579332474579027</c:v>
                </c:pt>
                <c:pt idx="88">
                  <c:v>2.2139277907159469</c:v>
                </c:pt>
                <c:pt idx="89">
                  <c:v>2.072202230914856</c:v>
                </c:pt>
                <c:pt idx="90">
                  <c:v>1.9326723891375477</c:v>
                </c:pt>
                <c:pt idx="91">
                  <c:v>1.7952580709637731</c:v>
                </c:pt>
                <c:pt idx="92">
                  <c:v>1.6598827998747214</c:v>
                </c:pt>
                <c:pt idx="93">
                  <c:v>1.5264735729302004</c:v>
                </c:pt>
                <c:pt idx="94">
                  <c:v>1.3949606365388758</c:v>
                </c:pt>
                <c:pt idx="95">
                  <c:v>1.2652772803881711</c:v>
                </c:pt>
                <c:pt idx="96">
                  <c:v>1.1373596478150614</c:v>
                </c:pt>
                <c:pt idx="97">
                  <c:v>1.011146561086893</c:v>
                </c:pt>
                <c:pt idx="98">
                  <c:v>0.88657936022619677</c:v>
                </c:pt>
                <c:pt idx="99">
                  <c:v>0.76360175415794007</c:v>
                </c:pt>
                <c:pt idx="100">
                  <c:v>0.64215968308514726</c:v>
                </c:pt>
                <c:pt idx="101">
                  <c:v>0.52220119111115793</c:v>
                </c:pt>
                <c:pt idx="102">
                  <c:v>0.40367630822603168</c:v>
                </c:pt>
                <c:pt idx="103">
                  <c:v>0.28653694086261816</c:v>
                </c:pt>
                <c:pt idx="104">
                  <c:v>0.17073677030571718</c:v>
                </c:pt>
                <c:pt idx="105">
                  <c:v>5.6231158307030696E-2</c:v>
                </c:pt>
                <c:pt idx="106">
                  <c:v>-5.7022940679699291E-2</c:v>
                </c:pt>
                <c:pt idx="107">
                  <c:v>-0.16906706117384776</c:v>
                </c:pt>
                <c:pt idx="108">
                  <c:v>-0.2799413027350795</c:v>
                </c:pt>
                <c:pt idx="109">
                  <c:v>-0.38968440085995598</c:v>
                </c:pt>
                <c:pt idx="110">
                  <c:v>-0.49833379310639131</c:v>
                </c:pt>
                <c:pt idx="111">
                  <c:v>-0.60592568080882492</c:v>
                </c:pt>
                <c:pt idx="112">
                  <c:v>-0.7124950867155142</c:v>
                </c:pt>
                <c:pt idx="113">
                  <c:v>-0.81807590885067827</c:v>
                </c:pt>
                <c:pt idx="114">
                  <c:v>-0.92270097087868352</c:v>
                </c:pt>
                <c:pt idx="115">
                  <c:v>-1.0264020692241118</c:v>
                </c:pt>
                <c:pt idx="116">
                  <c:v>-1.1292100171808614</c:v>
                </c:pt>
                <c:pt idx="117">
                  <c:v>-1.2311546862243445</c:v>
                </c:pt>
                <c:pt idx="118">
                  <c:v>-1.3322650447237785</c:v>
                </c:pt>
                <c:pt idx="119">
                  <c:v>-1.4325691942361223</c:v>
                </c:pt>
                <c:pt idx="120">
                  <c:v>-1.5320944035488668</c:v>
                </c:pt>
                <c:pt idx="121">
                  <c:v>-1.6308671406264885</c:v>
                </c:pt>
                <c:pt idx="122">
                  <c:v>-1.7289131026033062</c:v>
                </c:pt>
                <c:pt idx="123">
                  <c:v>-1.8262572439551681</c:v>
                </c:pt>
                <c:pt idx="124">
                  <c:v>-1.9229238029725904</c:v>
                </c:pt>
                <c:pt idx="125">
                  <c:v>-2.0189363266491487</c:v>
                </c:pt>
                <c:pt idx="126">
                  <c:v>-2.1143176940908619</c:v>
                </c:pt>
                <c:pt idx="127">
                  <c:v>-2.2090901385449695</c:v>
                </c:pt>
                <c:pt idx="128">
                  <c:v>-2.3032752681396125</c:v>
                </c:pt>
                <c:pt idx="129">
                  <c:v>-2.3968940854198131</c:v>
                </c:pt>
                <c:pt idx="130">
                  <c:v>-2.4899670057594743</c:v>
                </c:pt>
                <c:pt idx="131">
                  <c:v>-2.5825138747236851</c:v>
                </c:pt>
                <c:pt idx="132">
                  <c:v>-2.6745539844511019</c:v>
                </c:pt>
                <c:pt idx="133">
                  <c:v>-2.7661060891213092</c:v>
                </c:pt>
                <c:pt idx="134">
                  <c:v>-2.8571884195684127</c:v>
                </c:pt>
                <c:pt idx="135">
                  <c:v>-2.9478186970978335</c:v>
                </c:pt>
                <c:pt idx="136">
                  <c:v>-3.0380141465602124</c:v>
                </c:pt>
                <c:pt idx="137">
                  <c:v>-3.1277915087326114</c:v>
                </c:pt>
                <c:pt idx="138">
                  <c:v>-3.2171670520546281</c:v>
                </c:pt>
                <c:pt idx="139">
                  <c:v>-3.3061565837636824</c:v>
                </c:pt>
                <c:pt idx="140">
                  <c:v>-3.3947754604716773</c:v>
                </c:pt>
                <c:pt idx="141">
                  <c:v>-3.4830385982222922</c:v>
                </c:pt>
                <c:pt idx="142">
                  <c:v>-3.5709604820660785</c:v>
                </c:pt>
                <c:pt idx="143">
                  <c:v>-3.6585551751884631</c:v>
                </c:pt>
                <c:pt idx="144">
                  <c:v>-3.7458363276234707</c:v>
                </c:pt>
                <c:pt idx="145">
                  <c:v>-3.8328171845843606</c:v>
                </c:pt>
                <c:pt idx="146">
                  <c:v>-3.9195105944403519</c:v>
                </c:pt>
                <c:pt idx="147">
                  <c:v>-4.005929016367082</c:v>
                </c:pt>
                <c:pt idx="148">
                  <c:v>-4.0920845276967457</c:v>
                </c:pt>
                <c:pt idx="149">
                  <c:v>-4.1779888309923621</c:v>
                </c:pt>
                <c:pt idx="150">
                  <c:v>-4.2636532608692139</c:v>
                </c:pt>
                <c:pt idx="151">
                  <c:v>-4.3490887905851094</c:v>
                </c:pt>
                <c:pt idx="152">
                  <c:v>-4.4343060384198365</c:v>
                </c:pt>
                <c:pt idx="153">
                  <c:v>-4.5193152738628575</c:v>
                </c:pt>
                <c:pt idx="154">
                  <c:v>-4.6041264236272754</c:v>
                </c:pt>
                <c:pt idx="155">
                  <c:v>-4.6887490775067917</c:v>
                </c:pt>
                <c:pt idx="156">
                  <c:v>-4.773192494091349</c:v>
                </c:pt>
                <c:pt idx="157">
                  <c:v>-4.8574656063562553</c:v>
                </c:pt>
                <c:pt idx="158">
                  <c:v>-4.9415770271383233</c:v>
                </c:pt>
                <c:pt idx="159">
                  <c:v>-5.0255350545118693</c:v>
                </c:pt>
                <c:pt idx="160">
                  <c:v>-5.109347677076272</c:v>
                </c:pt>
                <c:pt idx="161">
                  <c:v>-5.1930225791661062</c:v>
                </c:pt>
                <c:pt idx="162">
                  <c:v>-5.2765671459939378</c:v>
                </c:pt>
                <c:pt idx="163">
                  <c:v>-5.3599884687348966</c:v>
                </c:pt>
                <c:pt idx="164">
                  <c:v>-5.443293349561741</c:v>
                </c:pt>
                <c:pt idx="165">
                  <c:v>-5.5264883066379671</c:v>
                </c:pt>
                <c:pt idx="166">
                  <c:v>-5.6095795790760281</c:v>
                </c:pt>
                <c:pt idx="167">
                  <c:v>-5.6925731318670465</c:v>
                </c:pt>
                <c:pt idx="168">
                  <c:v>-5.7754746607875447</c:v>
                </c:pt>
                <c:pt idx="169">
                  <c:v>-5.8582895972883637</c:v>
                </c:pt>
                <c:pt idx="170">
                  <c:v>-5.9410231133700133</c:v>
                </c:pt>
                <c:pt idx="171">
                  <c:v>-6.0236801264484585</c:v>
                </c:pt>
                <c:pt idx="172">
                  <c:v>-6.1062653042144346</c:v>
                </c:pt>
                <c:pt idx="173">
                  <c:v>-6.1887830694891903</c:v>
                </c:pt>
                <c:pt idx="174">
                  <c:v>-6.2712376050787322</c:v>
                </c:pt>
                <c:pt idx="175">
                  <c:v>-6.353632858628516</c:v>
                </c:pt>
                <c:pt idx="176">
                  <c:v>-6.4359725474796567</c:v>
                </c:pt>
                <c:pt idx="177">
                  <c:v>-6.5182601635277937</c:v>
                </c:pt>
                <c:pt idx="178">
                  <c:v>-6.600498978084806</c:v>
                </c:pt>
                <c:pt idx="179">
                  <c:v>-6.6826920467437319</c:v>
                </c:pt>
                <c:pt idx="180">
                  <c:v>-6.764842214246408</c:v>
                </c:pt>
                <c:pt idx="181">
                  <c:v>-6.8469521193533822</c:v>
                </c:pt>
                <c:pt idx="182">
                  <c:v>-6.9290241997151174</c:v>
                </c:pt>
                <c:pt idx="183">
                  <c:v>-7.0110606967433728</c:v>
                </c:pt>
                <c:pt idx="184">
                  <c:v>-7.0930636604812092</c:v>
                </c:pt>
                <c:pt idx="185">
                  <c:v>-7.1750349544700889</c:v>
                </c:pt>
                <c:pt idx="186">
                  <c:v>-7.2569762606119941</c:v>
                </c:pt>
                <c:pt idx="187">
                  <c:v>-7.3388890840246486</c:v>
                </c:pt>
                <c:pt idx="188">
                  <c:v>-7.4207747578874459</c:v>
                </c:pt>
                <c:pt idx="189">
                  <c:v>-7.5026344482757414</c:v>
                </c:pt>
                <c:pt idx="190">
                  <c:v>-7.5844691589809177</c:v>
                </c:pt>
                <c:pt idx="191">
                  <c:v>-7.6662797363136352</c:v>
                </c:pt>
                <c:pt idx="192">
                  <c:v>-7.7480668738874154</c:v>
                </c:pt>
                <c:pt idx="193">
                  <c:v>-7.8298311173798449</c:v>
                </c:pt>
                <c:pt idx="194">
                  <c:v>-7.9115728692683653</c:v>
                </c:pt>
                <c:pt idx="195">
                  <c:v>-7.9932923935379723</c:v>
                </c:pt>
                <c:pt idx="196">
                  <c:v>-8.0749898203575672</c:v>
                </c:pt>
                <c:pt idx="197">
                  <c:v>-8.1566651507222936</c:v>
                </c:pt>
                <c:pt idx="198">
                  <c:v>-8.2383182610587031</c:v>
                </c:pt>
                <c:pt idx="199">
                  <c:v>-8.3199489077899322</c:v>
                </c:pt>
                <c:pt idx="200">
                  <c:v>-8.4015567318579869</c:v>
                </c:pt>
                <c:pt idx="201">
                  <c:v>-8.4831412632002223</c:v>
                </c:pt>
                <c:pt idx="202">
                  <c:v>-8.5647019251772729</c:v>
                </c:pt>
                <c:pt idx="203">
                  <c:v>-8.6462380389497557</c:v>
                </c:pt>
                <c:pt idx="204">
                  <c:v>-8.7277488278009088</c:v>
                </c:pt>
                <c:pt idx="205">
                  <c:v>-8.8092334214028671</c:v>
                </c:pt>
                <c:pt idx="206">
                  <c:v>-8.8906908600238541</c:v>
                </c:pt>
                <c:pt idx="207">
                  <c:v>-8.9721200986740808</c:v>
                </c:pt>
                <c:pt idx="208">
                  <c:v>-9.0535200111880165</c:v>
                </c:pt>
                <c:pt idx="209">
                  <c:v>-9.13488939424089</c:v>
                </c:pt>
                <c:pt idx="210">
                  <c:v>-9.2162269712973792</c:v>
                </c:pt>
                <c:pt idx="211">
                  <c:v>-9.2975313964906476</c:v>
                </c:pt>
                <c:pt idx="212">
                  <c:v>-9.3788012584297942</c:v>
                </c:pt>
                <c:pt idx="213">
                  <c:v>-9.4600350839342049</c:v>
                </c:pt>
                <c:pt idx="214">
                  <c:v>-9.5412313416932104</c:v>
                </c:pt>
                <c:pt idx="215">
                  <c:v>-9.6223884458496585</c:v>
                </c:pt>
                <c:pt idx="216">
                  <c:v>-9.703504759506167</c:v>
                </c:pt>
                <c:pt idx="217">
                  <c:v>-9.7845785981528302</c:v>
                </c:pt>
                <c:pt idx="218">
                  <c:v>-9.8656082330155854</c:v>
                </c:pt>
                <c:pt idx="219">
                  <c:v>-9.9465918943241167</c:v>
                </c:pt>
                <c:pt idx="220">
                  <c:v>-10.027527774498804</c:v>
                </c:pt>
                <c:pt idx="221">
                  <c:v>-10.108414031255951</c:v>
                </c:pt>
                <c:pt idx="222">
                  <c:v>-10.189248790630849</c:v>
                </c:pt>
                <c:pt idx="223">
                  <c:v>-10.270030149918487</c:v>
                </c:pt>
                <c:pt idx="224">
                  <c:v>-10.350756180531391</c:v>
                </c:pt>
                <c:pt idx="225">
                  <c:v>-10.431424930774739</c:v>
                </c:pt>
                <c:pt idx="226">
                  <c:v>-11.234521261052544</c:v>
                </c:pt>
                <c:pt idx="227">
                  <c:v>-12.029664289205108</c:v>
                </c:pt>
                <c:pt idx="228">
                  <c:v>-12.814866983918026</c:v>
                </c:pt>
                <c:pt idx="229">
                  <c:v>-13.588312502115951</c:v>
                </c:pt>
                <c:pt idx="230">
                  <c:v>-14.34843707613908</c:v>
                </c:pt>
                <c:pt idx="231">
                  <c:v>-15.093966329471362</c:v>
                </c:pt>
                <c:pt idx="232">
                  <c:v>-15.823919033117424</c:v>
                </c:pt>
                <c:pt idx="233">
                  <c:v>-16.53759014055246</c:v>
                </c:pt>
                <c:pt idx="234">
                  <c:v>-17.23452221362793</c:v>
                </c:pt>
                <c:pt idx="235">
                  <c:v>-17.914471726730813</c:v>
                </c:pt>
                <c:pt idx="236">
                  <c:v>-18.577374533506482</c:v>
                </c:pt>
                <c:pt idx="237">
                  <c:v>-19.223313094119678</c:v>
                </c:pt>
                <c:pt idx="238">
                  <c:v>-19.852486859038066</c:v>
                </c:pt>
                <c:pt idx="239">
                  <c:v>-20.465186401026134</c:v>
                </c:pt>
                <c:pt idx="240">
                  <c:v>-21.061771382664073</c:v>
                </c:pt>
                <c:pt idx="241">
                  <c:v>-21.642652154624411</c:v>
                </c:pt>
                <c:pt idx="242">
                  <c:v>-22.208274630265734</c:v>
                </c:pt>
                <c:pt idx="243">
                  <c:v>-22.759108023124014</c:v>
                </c:pt>
                <c:pt idx="244">
                  <c:v>-23.295635029375724</c:v>
                </c:pt>
                <c:pt idx="245">
                  <c:v>-23.818344063072445</c:v>
                </c:pt>
                <c:pt idx="246">
                  <c:v>-24.327723192357507</c:v>
                </c:pt>
                <c:pt idx="247">
                  <c:v>-24.824255470442292</c:v>
                </c:pt>
                <c:pt idx="248">
                  <c:v>-25.308415400328542</c:v>
                </c:pt>
                <c:pt idx="249">
                  <c:v>-25.780666314175544</c:v>
                </c:pt>
                <c:pt idx="250">
                  <c:v>-26.241458485491677</c:v>
                </c:pt>
                <c:pt idx="251">
                  <c:v>-26.691227824592005</c:v>
                </c:pt>
                <c:pt idx="252">
                  <c:v>-27.130395035153803</c:v>
                </c:pt>
                <c:pt idx="253">
                  <c:v>-27.559365132636216</c:v>
                </c:pt>
                <c:pt idx="254">
                  <c:v>-27.978527244338814</c:v>
                </c:pt>
                <c:pt idx="255">
                  <c:v>-28.388254626507589</c:v>
                </c:pt>
                <c:pt idx="256">
                  <c:v>-28.788904846679799</c:v>
                </c:pt>
                <c:pt idx="257">
                  <c:v>-29.180820089862983</c:v>
                </c:pt>
                <c:pt idx="258">
                  <c:v>-29.56432755558119</c:v>
                </c:pt>
                <c:pt idx="259">
                  <c:v>-29.939739919643596</c:v>
                </c:pt>
                <c:pt idx="260">
                  <c:v>-30.307355839994308</c:v>
                </c:pt>
                <c:pt idx="261">
                  <c:v>-30.667460490431711</c:v>
                </c:pt>
                <c:pt idx="262">
                  <c:v>-31.020326109543998</c:v>
                </c:pt>
                <c:pt idx="263">
                  <c:v>-31.366212555061278</c:v>
                </c:pt>
                <c:pt idx="264">
                  <c:v>-31.705367856107326</c:v>
                </c:pt>
                <c:pt idx="265">
                  <c:v>-32.03802875765787</c:v>
                </c:pt>
                <c:pt idx="266">
                  <c:v>-32.364421252964121</c:v>
                </c:pt>
                <c:pt idx="267">
                  <c:v>-32.684761100854239</c:v>
                </c:pt>
                <c:pt idx="268">
                  <c:v>-32.999254325738512</c:v>
                </c:pt>
                <c:pt idx="269">
                  <c:v>-33.308097698863683</c:v>
                </c:pt>
                <c:pt idx="270">
                  <c:v>-33.611479199926862</c:v>
                </c:pt>
                <c:pt idx="271">
                  <c:v>-33.909578458598972</c:v>
                </c:pt>
                <c:pt idx="272">
                  <c:v>-34.202567175848124</c:v>
                </c:pt>
                <c:pt idx="273">
                  <c:v>-34.490609525213038</c:v>
                </c:pt>
                <c:pt idx="274">
                  <c:v>-34.773862534373329</c:v>
                </c:pt>
                <c:pt idx="275">
                  <c:v>-35.052476447508312</c:v>
                </c:pt>
                <c:pt idx="276">
                  <c:v>-35.326595069041325</c:v>
                </c:pt>
                <c:pt idx="277">
                  <c:v>-35.596356089439219</c:v>
                </c:pt>
                <c:pt idx="278">
                  <c:v>-35.861891393784155</c:v>
                </c:pt>
                <c:pt idx="279">
                  <c:v>-36.123327353862955</c:v>
                </c:pt>
                <c:pt idx="280">
                  <c:v>-36.380785104531384</c:v>
                </c:pt>
                <c:pt idx="281">
                  <c:v>-36.634380805111107</c:v>
                </c:pt>
                <c:pt idx="282">
                  <c:v>-36.884225886569055</c:v>
                </c:pt>
                <c:pt idx="283">
                  <c:v>-37.130427285212562</c:v>
                </c:pt>
                <c:pt idx="284">
                  <c:v>-37.3730876636142</c:v>
                </c:pt>
                <c:pt idx="285">
                  <c:v>-37.612305619455384</c:v>
                </c:pt>
                <c:pt idx="286">
                  <c:v>-37.84817588295202</c:v>
                </c:pt>
                <c:pt idx="287">
                  <c:v>-38.080789503496881</c:v>
                </c:pt>
                <c:pt idx="288">
                  <c:v>-38.310234026124945</c:v>
                </c:pt>
                <c:pt idx="289">
                  <c:v>-38.536593658378678</c:v>
                </c:pt>
                <c:pt idx="290">
                  <c:v>-38.759949428120891</c:v>
                </c:pt>
                <c:pt idx="291">
                  <c:v>-38.980379332814877</c:v>
                </c:pt>
                <c:pt idx="292">
                  <c:v>-39.197958480762722</c:v>
                </c:pt>
                <c:pt idx="293">
                  <c:v>-39.412759224766546</c:v>
                </c:pt>
                <c:pt idx="294">
                  <c:v>-39.624851288650532</c:v>
                </c:pt>
                <c:pt idx="295">
                  <c:v>-39.834301887057293</c:v>
                </c:pt>
                <c:pt idx="296">
                  <c:v>-40.041175838907535</c:v>
                </c:pt>
                <c:pt idx="297">
                  <c:v>-40.245535674889766</c:v>
                </c:pt>
                <c:pt idx="298">
                  <c:v>-40.447441739324944</c:v>
                </c:pt>
                <c:pt idx="299">
                  <c:v>-40.646952286730134</c:v>
                </c:pt>
                <c:pt idx="300">
                  <c:v>-40.844123573386611</c:v>
                </c:pt>
                <c:pt idx="301">
                  <c:v>-41.039009944198654</c:v>
                </c:pt>
                <c:pt idx="302">
                  <c:v>-41.231663915112655</c:v>
                </c:pt>
                <c:pt idx="303">
                  <c:v>-41.422136251349599</c:v>
                </c:pt>
                <c:pt idx="304">
                  <c:v>-41.610476041688557</c:v>
                </c:pt>
                <c:pt idx="305">
                  <c:v>-41.796730769024947</c:v>
                </c:pt>
                <c:pt idx="306">
                  <c:v>-41.980946377413019</c:v>
                </c:pt>
                <c:pt idx="307">
                  <c:v>-42.163167335790064</c:v>
                </c:pt>
                <c:pt idx="308">
                  <c:v>-42.34343669856738</c:v>
                </c:pt>
                <c:pt idx="309">
                  <c:v>-42.521796163262266</c:v>
                </c:pt>
                <c:pt idx="310">
                  <c:v>-42.69828612533442</c:v>
                </c:pt>
                <c:pt idx="311">
                  <c:v>-42.872945730380692</c:v>
                </c:pt>
                <c:pt idx="312">
                  <c:v>-43.04581292383255</c:v>
                </c:pt>
                <c:pt idx="313">
                  <c:v>-43.216924498292251</c:v>
                </c:pt>
                <c:pt idx="314">
                  <c:v>-43.386316138635557</c:v>
                </c:pt>
                <c:pt idx="315">
                  <c:v>-43.554022465001047</c:v>
                </c:pt>
                <c:pt idx="316">
                  <c:v>-43.720077073779237</c:v>
                </c:pt>
                <c:pt idx="317">
                  <c:v>-43.884512576707934</c:v>
                </c:pt>
                <c:pt idx="318">
                  <c:v>-44.047360638173963</c:v>
                </c:pt>
                <c:pt idx="319">
                  <c:v>-44.208652010815605</c:v>
                </c:pt>
                <c:pt idx="320">
                  <c:v>-44.368416569514544</c:v>
                </c:pt>
                <c:pt idx="321">
                  <c:v>-44.526683343861094</c:v>
                </c:pt>
                <c:pt idx="322">
                  <c:v>-44.683480549171506</c:v>
                </c:pt>
                <c:pt idx="323">
                  <c:v>-44.838835616131689</c:v>
                </c:pt>
                <c:pt idx="324">
                  <c:v>-44.992775219137464</c:v>
                </c:pt>
                <c:pt idx="325">
                  <c:v>-45.145325303397364</c:v>
                </c:pt>
                <c:pt idx="326">
                  <c:v>-45.296511110860536</c:v>
                </c:pt>
                <c:pt idx="327">
                  <c:v>-45.446357205028349</c:v>
                </c:pt>
                <c:pt idx="328">
                  <c:v>-45.594887494705453</c:v>
                </c:pt>
                <c:pt idx="329">
                  <c:v>-45.742125256742732</c:v>
                </c:pt>
                <c:pt idx="330">
                  <c:v>-45.888093157821636</c:v>
                </c:pt>
                <c:pt idx="331">
                  <c:v>-46.032813275326696</c:v>
                </c:pt>
                <c:pt idx="332">
                  <c:v>-46.176307117350667</c:v>
                </c:pt>
                <c:pt idx="333">
                  <c:v>-46.318595641873948</c:v>
                </c:pt>
                <c:pt idx="334">
                  <c:v>-46.459699275157995</c:v>
                </c:pt>
                <c:pt idx="335">
                  <c:v>-46.599637929389992</c:v>
                </c:pt>
                <c:pt idx="336">
                  <c:v>-46.738431019614524</c:v>
                </c:pt>
                <c:pt idx="337">
                  <c:v>-46.876097479985475</c:v>
                </c:pt>
                <c:pt idx="338">
                  <c:v>-47.012655779370121</c:v>
                </c:pt>
                <c:pt idx="339">
                  <c:v>-47.148123936335445</c:v>
                </c:pt>
                <c:pt idx="340">
                  <c:v>-47.282519533545212</c:v>
                </c:pt>
                <c:pt idx="341">
                  <c:v>-47.415859731594779</c:v>
                </c:pt>
                <c:pt idx="342">
                  <c:v>-47.548161282309408</c:v>
                </c:pt>
                <c:pt idx="343">
                  <c:v>-47.679440541530163</c:v>
                </c:pt>
                <c:pt idx="344">
                  <c:v>-47.809713481410718</c:v>
                </c:pt>
                <c:pt idx="345">
                  <c:v>-47.938995702246672</c:v>
                </c:pt>
                <c:pt idx="346">
                  <c:v>-48.067302443858473</c:v>
                </c:pt>
                <c:pt idx="347">
                  <c:v>-48.19464859654736</c:v>
                </c:pt>
                <c:pt idx="348">
                  <c:v>-48.3210487116433</c:v>
                </c:pt>
                <c:pt idx="349">
                  <c:v>-48.446517011662593</c:v>
                </c:pt>
                <c:pt idx="350">
                  <c:v>-48.571067400092176</c:v>
                </c:pt>
                <c:pt idx="351">
                  <c:v>-48.694713470816581</c:v>
                </c:pt>
                <c:pt idx="352">
                  <c:v>-48.817468517202975</c:v>
                </c:pt>
                <c:pt idx="353">
                  <c:v>-48.939345540858795</c:v>
                </c:pt>
                <c:pt idx="354">
                  <c:v>-49.06035726007579</c:v>
                </c:pt>
                <c:pt idx="355">
                  <c:v>-49.180516117973752</c:v>
                </c:pt>
                <c:pt idx="356">
                  <c:v>-49.299834290356408</c:v>
                </c:pt>
                <c:pt idx="357">
                  <c:v>-49.418323693291406</c:v>
                </c:pt>
                <c:pt idx="358">
                  <c:v>-49.535995990425896</c:v>
                </c:pt>
                <c:pt idx="359">
                  <c:v>-49.652862600048486</c:v>
                </c:pt>
                <c:pt idx="360">
                  <c:v>-49.76893470190798</c:v>
                </c:pt>
                <c:pt idx="361">
                  <c:v>-49.884223243798552</c:v>
                </c:pt>
                <c:pt idx="362">
                  <c:v>-49.998738947921183</c:v>
                </c:pt>
                <c:pt idx="363">
                  <c:v>-50.112492317029833</c:v>
                </c:pt>
                <c:pt idx="364">
                  <c:v>-50.22549364037134</c:v>
                </c:pt>
                <c:pt idx="365">
                  <c:v>-50.337752999426961</c:v>
                </c:pt>
                <c:pt idx="366">
                  <c:v>-50.449280273463472</c:v>
                </c:pt>
                <c:pt idx="367">
                  <c:v>-50.560085144901208</c:v>
                </c:pt>
                <c:pt idx="368">
                  <c:v>-50.670177104506337</c:v>
                </c:pt>
                <c:pt idx="369">
                  <c:v>-50.77956545641382</c:v>
                </c:pt>
                <c:pt idx="370">
                  <c:v>-50.888259322988027</c:v>
                </c:pt>
                <c:pt idx="371">
                  <c:v>-50.996267649526771</c:v>
                </c:pt>
                <c:pt idx="372">
                  <c:v>-51.103599208815076</c:v>
                </c:pt>
                <c:pt idx="373">
                  <c:v>-51.210262605534098</c:v>
                </c:pt>
                <c:pt idx="374">
                  <c:v>-51.316266280530726</c:v>
                </c:pt>
                <c:pt idx="375">
                  <c:v>-51.421618514953202</c:v>
                </c:pt>
                <c:pt idx="376">
                  <c:v>-51.526327434257496</c:v>
                </c:pt>
                <c:pt idx="377">
                  <c:v>-51.630401012089386</c:v>
                </c:pt>
                <c:pt idx="378">
                  <c:v>-51.73384707404675</c:v>
                </c:pt>
                <c:pt idx="379">
                  <c:v>-51.836673301326435</c:v>
                </c:pt>
                <c:pt idx="380">
                  <c:v>-51.938887234259937</c:v>
                </c:pt>
                <c:pt idx="381">
                  <c:v>-52.040496275741873</c:v>
                </c:pt>
                <c:pt idx="382">
                  <c:v>-52.141507694555074</c:v>
                </c:pt>
                <c:pt idx="383">
                  <c:v>-52.241928628596014</c:v>
                </c:pt>
                <c:pt idx="384">
                  <c:v>-52.341766088004206</c:v>
                </c:pt>
                <c:pt idx="385">
                  <c:v>-52.441026958198776</c:v>
                </c:pt>
                <c:pt idx="386">
                  <c:v>-52.539718002825637</c:v>
                </c:pt>
                <c:pt idx="387">
                  <c:v>-52.637845866618264</c:v>
                </c:pt>
                <c:pt idx="388">
                  <c:v>-52.735417078175146</c:v>
                </c:pt>
                <c:pt idx="389">
                  <c:v>-52.832438052656869</c:v>
                </c:pt>
                <c:pt idx="390">
                  <c:v>-52.92891509440534</c:v>
                </c:pt>
                <c:pt idx="391">
                  <c:v>-53.024854399488113</c:v>
                </c:pt>
                <c:pt idx="392">
                  <c:v>-53.120262058170169</c:v>
                </c:pt>
                <c:pt idx="393">
                  <c:v>-53.215144057315683</c:v>
                </c:pt>
                <c:pt idx="394">
                  <c:v>-53.309506282722054</c:v>
                </c:pt>
                <c:pt idx="395">
                  <c:v>-53.403354521388628</c:v>
                </c:pt>
                <c:pt idx="396">
                  <c:v>-53.496694463722122</c:v>
                </c:pt>
                <c:pt idx="397">
                  <c:v>-53.589531705680912</c:v>
                </c:pt>
                <c:pt idx="398">
                  <c:v>-53.681871750860154</c:v>
                </c:pt>
                <c:pt idx="399">
                  <c:v>-53.773720012519853</c:v>
                </c:pt>
                <c:pt idx="400">
                  <c:v>-53.865081815557446</c:v>
                </c:pt>
                <c:pt idx="401">
                  <c:v>-53.955962398426976</c:v>
                </c:pt>
                <c:pt idx="402">
                  <c:v>-54.046366915006381</c:v>
                </c:pt>
                <c:pt idx="403">
                  <c:v>-54.136300436414722</c:v>
                </c:pt>
                <c:pt idx="404">
                  <c:v>-54.225767952780814</c:v>
                </c:pt>
                <c:pt idx="405">
                  <c:v>-54.31477437496487</c:v>
                </c:pt>
                <c:pt idx="406">
                  <c:v>-54.403324536234699</c:v>
                </c:pt>
                <c:pt idx="407">
                  <c:v>-54.491423193897745</c:v>
                </c:pt>
                <c:pt idx="408">
                  <c:v>-54.579075030890436</c:v>
                </c:pt>
                <c:pt idx="409">
                  <c:v>-54.666284657326287</c:v>
                </c:pt>
                <c:pt idx="410">
                  <c:v>-54.753056612003718</c:v>
                </c:pt>
                <c:pt idx="411">
                  <c:v>-54.839395363875177</c:v>
                </c:pt>
                <c:pt idx="412">
                  <c:v>-54.92530531347861</c:v>
                </c:pt>
                <c:pt idx="413">
                  <c:v>-55.01079079433228</c:v>
                </c:pt>
                <c:pt idx="414">
                  <c:v>-55.095856074294325</c:v>
                </c:pt>
                <c:pt idx="415">
                  <c:v>-55.180505356887963</c:v>
                </c:pt>
                <c:pt idx="416">
                  <c:v>-55.264742782593352</c:v>
                </c:pt>
                <c:pt idx="417">
                  <c:v>-55.34857243010719</c:v>
                </c:pt>
                <c:pt idx="418">
                  <c:v>-55.431998317570987</c:v>
                </c:pt>
                <c:pt idx="419">
                  <c:v>-55.515024403768919</c:v>
                </c:pt>
                <c:pt idx="420">
                  <c:v>-55.597654589296141</c:v>
                </c:pt>
                <c:pt idx="421">
                  <c:v>-55.679892717698529</c:v>
                </c:pt>
                <c:pt idx="422">
                  <c:v>-55.761742576584545</c:v>
                </c:pt>
                <c:pt idx="423">
                  <c:v>-55.843207898710162</c:v>
                </c:pt>
                <c:pt idx="424">
                  <c:v>-55.924292363037523</c:v>
                </c:pt>
                <c:pt idx="425">
                  <c:v>-56.004999595768226</c:v>
                </c:pt>
                <c:pt idx="426">
                  <c:v>-56.085333171351749</c:v>
                </c:pt>
                <c:pt idx="427">
                  <c:v>-56.165296613469984</c:v>
                </c:pt>
                <c:pt idx="428">
                  <c:v>-56.244893395998368</c:v>
                </c:pt>
                <c:pt idx="429">
                  <c:v>-56.32412694394435</c:v>
                </c:pt>
                <c:pt idx="430">
                  <c:v>-56.403000634363778</c:v>
                </c:pt>
                <c:pt idx="431">
                  <c:v>-56.481517797255954</c:v>
                </c:pt>
                <c:pt idx="432">
                  <c:v>-56.559681716437765</c:v>
                </c:pt>
                <c:pt idx="433">
                  <c:v>-56.637495630397609</c:v>
                </c:pt>
                <c:pt idx="434">
                  <c:v>-56.714962733129695</c:v>
                </c:pt>
                <c:pt idx="435">
                  <c:v>-56.792086174949091</c:v>
                </c:pt>
                <c:pt idx="436">
                  <c:v>-56.86886906328823</c:v>
                </c:pt>
                <c:pt idx="437">
                  <c:v>-56.945314463475221</c:v>
                </c:pt>
                <c:pt idx="438">
                  <c:v>-57.021425399494696</c:v>
                </c:pt>
                <c:pt idx="439">
                  <c:v>-57.097204854731331</c:v>
                </c:pt>
                <c:pt idx="440">
                  <c:v>-57.172655772696793</c:v>
                </c:pt>
                <c:pt idx="441">
                  <c:v>-57.247781057740482</c:v>
                </c:pt>
                <c:pt idx="442">
                  <c:v>-57.322583575744311</c:v>
                </c:pt>
                <c:pt idx="443">
                  <c:v>-57.397066154802317</c:v>
                </c:pt>
                <c:pt idx="444">
                  <c:v>-57.471231585885143</c:v>
                </c:pt>
                <c:pt idx="445">
                  <c:v>-57.545082623489954</c:v>
                </c:pt>
                <c:pt idx="446">
                  <c:v>-57.618621986276267</c:v>
                </c:pt>
                <c:pt idx="447">
                  <c:v>-57.691852357687843</c:v>
                </c:pt>
                <c:pt idx="448">
                  <c:v>-57.764776386561103</c:v>
                </c:pt>
                <c:pt idx="449">
                  <c:v>-57.837396687720499</c:v>
                </c:pt>
                <c:pt idx="450">
                  <c:v>-57.90971584256112</c:v>
                </c:pt>
                <c:pt idx="451">
                  <c:v>-57.981736399618704</c:v>
                </c:pt>
                <c:pt idx="452">
                  <c:v>-58.053460875127655</c:v>
                </c:pt>
                <c:pt idx="453">
                  <c:v>-58.124891753567184</c:v>
                </c:pt>
                <c:pt idx="454">
                  <c:v>-58.196031488195949</c:v>
                </c:pt>
                <c:pt idx="455">
                  <c:v>-58.266882501575353</c:v>
                </c:pt>
                <c:pt idx="456">
                  <c:v>-58.337447186082088</c:v>
                </c:pt>
                <c:pt idx="457">
                  <c:v>-58.407727904409796</c:v>
                </c:pt>
                <c:pt idx="458">
                  <c:v>-58.477726990060432</c:v>
                </c:pt>
                <c:pt idx="459">
                  <c:v>-58.547446747825461</c:v>
                </c:pt>
                <c:pt idx="460">
                  <c:v>-58.616889454257127</c:v>
                </c:pt>
                <c:pt idx="461">
                  <c:v>-58.686057358130086</c:v>
                </c:pt>
                <c:pt idx="462">
                  <c:v>-58.75495268089356</c:v>
                </c:pt>
                <c:pt idx="463">
                  <c:v>-58.82357761711441</c:v>
                </c:pt>
                <c:pt idx="464">
                  <c:v>-58.891934334911141</c:v>
                </c:pt>
                <c:pt idx="465">
                  <c:v>-58.96002497637916</c:v>
                </c:pt>
                <c:pt idx="466">
                  <c:v>-59.02785165800757</c:v>
                </c:pt>
                <c:pt idx="467">
                  <c:v>-59.095416471087546</c:v>
                </c:pt>
                <c:pt idx="468">
                  <c:v>-59.162721482112644</c:v>
                </c:pt>
                <c:pt idx="469">
                  <c:v>-59.229768733171106</c:v>
                </c:pt>
                <c:pt idx="470">
                  <c:v>-59.296560242330443</c:v>
                </c:pt>
                <c:pt idx="471">
                  <c:v>-59.363098004014461</c:v>
                </c:pt>
                <c:pt idx="472">
                  <c:v>-59.429383989372859</c:v>
                </c:pt>
                <c:pt idx="473">
                  <c:v>-59.495420146643653</c:v>
                </c:pt>
                <c:pt idx="474">
                  <c:v>-59.56120840150853</c:v>
                </c:pt>
                <c:pt idx="475">
                  <c:v>-59.626750657441292</c:v>
                </c:pt>
                <c:pt idx="476">
                  <c:v>-59.692048796049619</c:v>
                </c:pt>
                <c:pt idx="477">
                  <c:v>-59.75710467741024</c:v>
                </c:pt>
                <c:pt idx="478">
                  <c:v>-59.821920140397673</c:v>
                </c:pt>
                <c:pt idx="479">
                  <c:v>-59.886497003006731</c:v>
                </c:pt>
                <c:pt idx="480">
                  <c:v>-59.95083706266886</c:v>
                </c:pt>
                <c:pt idx="481">
                  <c:v>-60.014942096562507</c:v>
                </c:pt>
                <c:pt idx="482">
                  <c:v>-60.078813861917631</c:v>
                </c:pt>
                <c:pt idx="483">
                  <c:v>-60.142454096314509</c:v>
                </c:pt>
                <c:pt idx="484">
                  <c:v>-60.205864517976913</c:v>
                </c:pt>
                <c:pt idx="485">
                  <c:v>-60.269046826059885</c:v>
                </c:pt>
                <c:pt idx="486">
                  <c:v>-60.332002700932065</c:v>
                </c:pt>
                <c:pt idx="487">
                  <c:v>-60.394733804452905</c:v>
                </c:pt>
                <c:pt idx="488">
                  <c:v>-60.457241780244708</c:v>
                </c:pt>
                <c:pt idx="489">
                  <c:v>-60.519528253959663</c:v>
                </c:pt>
                <c:pt idx="490">
                  <c:v>-60.581594833542063</c:v>
                </c:pt>
                <c:pt idx="491">
                  <c:v>-60.643443109485624</c:v>
                </c:pt>
                <c:pt idx="492">
                  <c:v>-60.705074655086271</c:v>
                </c:pt>
                <c:pt idx="493">
                  <c:v>-60.766491026690225</c:v>
                </c:pt>
                <c:pt idx="494">
                  <c:v>-60.827693763937695</c:v>
                </c:pt>
                <c:pt idx="495">
                  <c:v>-60.888684390002162</c:v>
                </c:pt>
                <c:pt idx="496">
                  <c:v>-60.949464411825353</c:v>
                </c:pt>
                <c:pt idx="497">
                  <c:v>-61.010035320348109</c:v>
                </c:pt>
                <c:pt idx="498">
                  <c:v>-61.070398590737049</c:v>
                </c:pt>
                <c:pt idx="499">
                  <c:v>-61.130555682607266</c:v>
                </c:pt>
                <c:pt idx="500">
                  <c:v>-61.190508040241134</c:v>
                </c:pt>
                <c:pt idx="501">
                  <c:v>-61.25025709280316</c:v>
                </c:pt>
                <c:pt idx="502">
                  <c:v>-61.309804254551203</c:v>
                </c:pt>
                <c:pt idx="503">
                  <c:v>-61.369150925043876</c:v>
                </c:pt>
                <c:pt idx="504">
                  <c:v>-61.428298489344471</c:v>
                </c:pt>
                <c:pt idx="505">
                  <c:v>-61.487248318221226</c:v>
                </c:pt>
                <c:pt idx="506">
                  <c:v>-61.546001768344205</c:v>
                </c:pt>
                <c:pt idx="507">
                  <c:v>-61.604560182478771</c:v>
                </c:pt>
                <c:pt idx="508">
                  <c:v>-61.662924889675764</c:v>
                </c:pt>
                <c:pt idx="509">
                  <c:v>-61.721097205458364</c:v>
                </c:pt>
                <c:pt idx="510">
                  <c:v>-61.779078432005818</c:v>
                </c:pt>
                <c:pt idx="511">
                  <c:v>-61.836869858334069</c:v>
                </c:pt>
                <c:pt idx="512">
                  <c:v>-61.894472760473256</c:v>
                </c:pt>
                <c:pt idx="513">
                  <c:v>-61.951888401642314</c:v>
                </c:pt>
                <c:pt idx="514">
                  <c:v>-62.009118032420545</c:v>
                </c:pt>
                <c:pt idx="515">
                  <c:v>-62.066162890916381</c:v>
                </c:pt>
                <c:pt idx="516">
                  <c:v>-62.123024202933301</c:v>
                </c:pt>
                <c:pt idx="517">
                  <c:v>-62.179703182133011</c:v>
                </c:pt>
                <c:pt idx="518">
                  <c:v>-62.236201030195922</c:v>
                </c:pt>
                <c:pt idx="519">
                  <c:v>-62.29251893697888</c:v>
                </c:pt>
                <c:pt idx="520">
                  <c:v>-62.348658080670475</c:v>
                </c:pt>
                <c:pt idx="521">
                  <c:v>-62.404619627943639</c:v>
                </c:pt>
                <c:pt idx="522">
                  <c:v>-62.46040473410585</c:v>
                </c:pt>
                <c:pt idx="523">
                  <c:v>-62.516014543246818</c:v>
                </c:pt>
                <c:pt idx="524">
                  <c:v>-62.571450188383821</c:v>
                </c:pt>
                <c:pt idx="525">
                  <c:v>-62.626712791604653</c:v>
                </c:pt>
                <c:pt idx="526">
                  <c:v>-62.681803464208329</c:v>
                </c:pt>
                <c:pt idx="527">
                  <c:v>-62.736723306843359</c:v>
                </c:pt>
                <c:pt idx="528">
                  <c:v>-62.791473409644105</c:v>
                </c:pt>
                <c:pt idx="529">
                  <c:v>-62.846054852364574</c:v>
                </c:pt>
                <c:pt idx="530">
                  <c:v>-62.900468704510416</c:v>
                </c:pt>
                <c:pt idx="531">
                  <c:v>-62.954716025468649</c:v>
                </c:pt>
                <c:pt idx="532">
                  <c:v>-63.008797864635362</c:v>
                </c:pt>
                <c:pt idx="533">
                  <c:v>-63.062715261541385</c:v>
                </c:pt>
                <c:pt idx="534">
                  <c:v>-63.116469245976106</c:v>
                </c:pt>
                <c:pt idx="535">
                  <c:v>-63.170060838109102</c:v>
                </c:pt>
                <c:pt idx="536">
                  <c:v>-63.22349104861015</c:v>
                </c:pt>
                <c:pt idx="537">
                  <c:v>-63.276760878767121</c:v>
                </c:pt>
                <c:pt idx="538">
                  <c:v>-63.329871320602258</c:v>
                </c:pt>
                <c:pt idx="539">
                  <c:v>-63.382823356986464</c:v>
                </c:pt>
                <c:pt idx="540">
                  <c:v>-63.435617961751944</c:v>
                </c:pt>
                <c:pt idx="541">
                  <c:v>-63.488256099803102</c:v>
                </c:pt>
                <c:pt idx="542">
                  <c:v>-63.540738727225666</c:v>
                </c:pt>
                <c:pt idx="543">
                  <c:v>-63.593066791394257</c:v>
                </c:pt>
                <c:pt idx="544">
                  <c:v>-63.645241231078174</c:v>
                </c:pt>
                <c:pt idx="545">
                  <c:v>-63.697262976545744</c:v>
                </c:pt>
                <c:pt idx="546">
                  <c:v>-63.749132949666929</c:v>
                </c:pt>
                <c:pt idx="547">
                  <c:v>-63.800852064014478</c:v>
                </c:pt>
                <c:pt idx="548">
                  <c:v>-63.852421224963535</c:v>
                </c:pt>
                <c:pt idx="549">
                  <c:v>-63.903841329789742</c:v>
                </c:pt>
                <c:pt idx="550">
                  <c:v>-63.955113267765888</c:v>
                </c:pt>
                <c:pt idx="551">
                  <c:v>-64.006237920257092</c:v>
                </c:pt>
                <c:pt idx="552">
                  <c:v>-64.05721616081459</c:v>
                </c:pt>
                <c:pt idx="553">
                  <c:v>-64.108048855268137</c:v>
                </c:pt>
                <c:pt idx="554">
                  <c:v>-64.158736861817019</c:v>
                </c:pt>
                <c:pt idx="555">
                  <c:v>-64.209281031119744</c:v>
                </c:pt>
                <c:pt idx="556">
                  <c:v>-64.259682206382422</c:v>
                </c:pt>
                <c:pt idx="557">
                  <c:v>-64.309941223445776</c:v>
                </c:pt>
                <c:pt idx="558">
                  <c:v>-64.360058910871004</c:v>
                </c:pt>
                <c:pt idx="559">
                  <c:v>-64.410036090024306</c:v>
                </c:pt>
                <c:pt idx="560">
                  <c:v>-64.459873575160202</c:v>
                </c:pt>
                <c:pt idx="561">
                  <c:v>-64.509572173503642</c:v>
                </c:pt>
                <c:pt idx="562">
                  <c:v>-64.559132685330923</c:v>
                </c:pt>
                <c:pt idx="563">
                  <c:v>-64.608555904049453</c:v>
                </c:pt>
                <c:pt idx="564">
                  <c:v>-64.657842616276412</c:v>
                </c:pt>
                <c:pt idx="565">
                  <c:v>-64.706993601916182</c:v>
                </c:pt>
                <c:pt idx="566">
                  <c:v>-64.756009634236747</c:v>
                </c:pt>
                <c:pt idx="567">
                  <c:v>-64.804891479945042</c:v>
                </c:pt>
                <c:pt idx="568">
                  <c:v>-64.853639899261111</c:v>
                </c:pt>
                <c:pt idx="569">
                  <c:v>-64.902255645991318</c:v>
                </c:pt>
                <c:pt idx="570">
                  <c:v>-64.950739467600513</c:v>
                </c:pt>
                <c:pt idx="571">
                  <c:v>-64.99909210528314</c:v>
                </c:pt>
                <c:pt idx="572">
                  <c:v>-65.047314294033342</c:v>
                </c:pt>
                <c:pt idx="573">
                  <c:v>-65.095406762714234</c:v>
                </c:pt>
                <c:pt idx="574">
                  <c:v>-65.143370234125911</c:v>
                </c:pt>
                <c:pt idx="575">
                  <c:v>-65.191205425072823</c:v>
                </c:pt>
                <c:pt idx="576">
                  <c:v>-65.238913046430042</c:v>
                </c:pt>
                <c:pt idx="577">
                  <c:v>-65.286493803208671</c:v>
                </c:pt>
                <c:pt idx="578">
                  <c:v>-65.333948394620251</c:v>
                </c:pt>
                <c:pt idx="579">
                  <c:v>-65.381277514140479</c:v>
                </c:pt>
                <c:pt idx="580">
                  <c:v>-65.428481849571867</c:v>
                </c:pt>
                <c:pt idx="581">
                  <c:v>-65.475562083105615</c:v>
                </c:pt>
                <c:pt idx="582">
                  <c:v>-65.522518891382646</c:v>
                </c:pt>
                <c:pt idx="583">
                  <c:v>-65.569352945553831</c:v>
                </c:pt>
                <c:pt idx="584">
                  <c:v>-65.616064911339308</c:v>
                </c:pt>
                <c:pt idx="585">
                  <c:v>-65.66265544908714</c:v>
                </c:pt>
                <c:pt idx="586">
                  <c:v>-65.709125213830987</c:v>
                </c:pt>
                <c:pt idx="587">
                  <c:v>-65.755474855347259</c:v>
                </c:pt>
                <c:pt idx="588">
                  <c:v>-65.801705018211223</c:v>
                </c:pt>
                <c:pt idx="589">
                  <c:v>-65.847816341852607</c:v>
                </c:pt>
                <c:pt idx="590">
                  <c:v>-65.893809460610242</c:v>
                </c:pt>
                <c:pt idx="591">
                  <c:v>-65.939685003786195</c:v>
                </c:pt>
                <c:pt idx="592">
                  <c:v>-65.98544359569901</c:v>
                </c:pt>
                <c:pt idx="593">
                  <c:v>-66.031085855736279</c:v>
                </c:pt>
                <c:pt idx="594">
                  <c:v>-66.076612398406652</c:v>
                </c:pt>
                <c:pt idx="595">
                  <c:v>-66.122023833390926</c:v>
                </c:pt>
                <c:pt idx="596">
                  <c:v>-66.16732076559272</c:v>
                </c:pt>
                <c:pt idx="597">
                  <c:v>-66.212503795188283</c:v>
                </c:pt>
                <c:pt idx="598">
                  <c:v>-66.257573517675738</c:v>
                </c:pt>
                <c:pt idx="599">
                  <c:v>-66.302530523923707</c:v>
                </c:pt>
                <c:pt idx="600">
                  <c:v>-66.347375400219249</c:v>
                </c:pt>
                <c:pt idx="601">
                  <c:v>-66.392108728315222</c:v>
                </c:pt>
                <c:pt idx="602">
                  <c:v>-66.436731085476978</c:v>
                </c:pt>
                <c:pt idx="603">
                  <c:v>-66.481243044528526</c:v>
                </c:pt>
                <c:pt idx="604">
                  <c:v>-66.52564517389807</c:v>
                </c:pt>
                <c:pt idx="605">
                  <c:v>-66.569938037662922</c:v>
                </c:pt>
                <c:pt idx="606">
                  <c:v>-68.656586750464513</c:v>
                </c:pt>
                <c:pt idx="607">
                  <c:v>-70.528422037887736</c:v>
                </c:pt>
                <c:pt idx="608">
                  <c:v>-72.227421628501617</c:v>
                </c:pt>
                <c:pt idx="609">
                  <c:v>-73.784436694199883</c:v>
                </c:pt>
                <c:pt idx="610">
                  <c:v>-75.222802744765303</c:v>
                </c:pt>
                <c:pt idx="611">
                  <c:v>-76.560593014888653</c:v>
                </c:pt>
                <c:pt idx="612">
                  <c:v>-77.812084877386255</c:v>
                </c:pt>
                <c:pt idx="613">
                  <c:v>-78.988748059034762</c:v>
                </c:pt>
                <c:pt idx="614">
                  <c:v>-80.099930613129814</c:v>
                </c:pt>
                <c:pt idx="615">
                  <c:v>-81.153347354276022</c:v>
                </c:pt>
                <c:pt idx="616">
                  <c:v>-82.155435408353668</c:v>
                </c:pt>
                <c:pt idx="617">
                  <c:v>-83.111618094043649</c:v>
                </c:pt>
                <c:pt idx="618">
                  <c:v>-83.481490282332658</c:v>
                </c:pt>
                <c:pt idx="619">
                  <c:v>-83.845030084971256</c:v>
                </c:pt>
                <c:pt idx="620">
                  <c:v>-84.202486230078193</c:v>
                </c:pt>
                <c:pt idx="621">
                  <c:v>-84.554093018045961</c:v>
                </c:pt>
                <c:pt idx="622">
                  <c:v>-84.90007139203918</c:v>
                </c:pt>
                <c:pt idx="623">
                  <c:v>-85.240629911702911</c:v>
                </c:pt>
                <c:pt idx="624">
                  <c:v>-85.575965640417849</c:v>
                </c:pt>
                <c:pt idx="625">
                  <c:v>-85.906264955169775</c:v>
                </c:pt>
                <c:pt idx="626">
                  <c:v>-86.231704287007943</c:v>
                </c:pt>
                <c:pt idx="627">
                  <c:v>-86.552450799120635</c:v>
                </c:pt>
                <c:pt idx="628">
                  <c:v>-86.868663008738153</c:v>
                </c:pt>
                <c:pt idx="629">
                  <c:v>-87.180491358361024</c:v>
                </c:pt>
                <c:pt idx="630">
                  <c:v>-87.488078741191828</c:v>
                </c:pt>
                <c:pt idx="631">
                  <c:v>-87.791560985107893</c:v>
                </c:pt>
                <c:pt idx="632">
                  <c:v>-88.0910672990384</c:v>
                </c:pt>
                <c:pt idx="633">
                  <c:v>-88.386720685195115</c:v>
                </c:pt>
                <c:pt idx="634">
                  <c:v>-88.678638320239727</c:v>
                </c:pt>
                <c:pt idx="635">
                  <c:v>-88.966931908151224</c:v>
                </c:pt>
                <c:pt idx="636">
                  <c:v>-89.251708007271588</c:v>
                </c:pt>
                <c:pt idx="637">
                  <c:v>-89.533068333758749</c:v>
                </c:pt>
                <c:pt idx="638">
                  <c:v>-89.811110043452828</c:v>
                </c:pt>
                <c:pt idx="639">
                  <c:v>-90.085925993965432</c:v>
                </c:pt>
                <c:pt idx="640">
                  <c:v>-90.357604988625795</c:v>
                </c:pt>
                <c:pt idx="641">
                  <c:v>-90.62623200376251</c:v>
                </c:pt>
                <c:pt idx="642">
                  <c:v>-90.891888400659738</c:v>
                </c:pt>
                <c:pt idx="643">
                  <c:v>-91.154652123402954</c:v>
                </c:pt>
                <c:pt idx="644">
                  <c:v>-91.41459788371759</c:v>
                </c:pt>
                <c:pt idx="645">
                  <c:v>-91.671797333804918</c:v>
                </c:pt>
                <c:pt idx="646">
                  <c:v>-91.926319228089341</c:v>
                </c:pt>
                <c:pt idx="647">
                  <c:v>-92.178229574711082</c:v>
                </c:pt>
                <c:pt idx="648">
                  <c:v>-92.427591777526146</c:v>
                </c:pt>
                <c:pt idx="649">
                  <c:v>-92.67446676930939</c:v>
                </c:pt>
                <c:pt idx="650">
                  <c:v>-92.918913136798537</c:v>
                </c:pt>
                <c:pt idx="651">
                  <c:v>-93.160987238162832</c:v>
                </c:pt>
                <c:pt idx="652">
                  <c:v>-93.400743313432386</c:v>
                </c:pt>
                <c:pt idx="653">
                  <c:v>-93.638233588380359</c:v>
                </c:pt>
                <c:pt idx="654">
                  <c:v>-93.873508372310383</c:v>
                </c:pt>
                <c:pt idx="655">
                  <c:v>-94.106616150165721</c:v>
                </c:pt>
                <c:pt idx="656">
                  <c:v>-94.337603669344062</c:v>
                </c:pt>
                <c:pt idx="657">
                  <c:v>-94.566516021571488</c:v>
                </c:pt>
                <c:pt idx="658">
                  <c:v>-94.793396720162576</c:v>
                </c:pt>
                <c:pt idx="659">
                  <c:v>-95.018287772968307</c:v>
                </c:pt>
                <c:pt idx="660">
                  <c:v>-95.24122975129103</c:v>
                </c:pt>
                <c:pt idx="661">
                  <c:v>-95.462261855024877</c:v>
                </c:pt>
                <c:pt idx="662">
                  <c:v>-95.681421974260871</c:v>
                </c:pt>
                <c:pt idx="663">
                  <c:v>-95.898746747579352</c:v>
                </c:pt>
                <c:pt idx="664">
                  <c:v>-96.114271617234635</c:v>
                </c:pt>
                <c:pt idx="665">
                  <c:v>-96.328030881424638</c:v>
                </c:pt>
                <c:pt idx="666">
                  <c:v>-96.540057743822217</c:v>
                </c:pt>
                <c:pt idx="667">
                  <c:v>-96.750384360534412</c:v>
                </c:pt>
              </c:numCache>
            </c:numRef>
          </c:yVal>
          <c:smooth val="1"/>
          <c:extLst>
            <c:ext xmlns:c16="http://schemas.microsoft.com/office/drawing/2014/chart" uri="{C3380CC4-5D6E-409C-BE32-E72D297353CC}">
              <c16:uniqueId val="{00000000-BED3-43CF-9D4A-81AF6A44D307}"/>
            </c:ext>
          </c:extLst>
        </c:ser>
        <c:ser>
          <c:idx val="5"/>
          <c:order val="2"/>
          <c:tx>
            <c:v>LC Double Pole</c:v>
          </c:tx>
          <c:spPr>
            <a:ln w="28575">
              <a:solidFill>
                <a:schemeClr val="tx1"/>
              </a:solidFill>
            </a:ln>
          </c:spPr>
          <c:marker>
            <c:symbol val="x"/>
            <c:size val="8"/>
            <c:spPr>
              <a:noFill/>
              <a:ln w="22225">
                <a:solidFill>
                  <a:schemeClr val="tx1"/>
                </a:solidFill>
              </a:ln>
            </c:spPr>
          </c:marker>
          <c:dLbls>
            <c:dLbl>
              <c:idx val="0"/>
              <c:layout>
                <c:manualLayout>
                  <c:x val="5.9616632195422774E-3"/>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BED3-43CF-9D4A-81AF6A44D307}"/>
                </c:ext>
              </c:extLst>
            </c:dLbl>
            <c:spPr>
              <a:noFill/>
              <a:ln w="25400">
                <a:noFill/>
              </a:ln>
            </c:spPr>
            <c:txPr>
              <a:bodyPr rot="0"/>
              <a:lstStyle/>
              <a:p>
                <a:pPr algn="ctr" rtl="0">
                  <a:defRPr sz="1000" b="1"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Calculations'!$B$683</c:f>
              <c:numCache>
                <c:formatCode>General</c:formatCode>
                <c:ptCount val="1"/>
                <c:pt idx="0">
                  <c:v>3.121625346420803</c:v>
                </c:pt>
              </c:numCache>
            </c:numRef>
          </c:xVal>
          <c:yVal>
            <c:numRef>
              <c:f>'Bode Plots Calculations'!$BF$683</c:f>
              <c:numCache>
                <c:formatCode>General</c:formatCode>
                <c:ptCount val="1"/>
                <c:pt idx="0">
                  <c:v>36.525324981456492</c:v>
                </c:pt>
              </c:numCache>
            </c:numRef>
          </c:yVal>
          <c:smooth val="1"/>
          <c:extLst>
            <c:ext xmlns:c16="http://schemas.microsoft.com/office/drawing/2014/chart" uri="{C3380CC4-5D6E-409C-BE32-E72D297353CC}">
              <c16:uniqueId val="{00000002-BED3-43CF-9D4A-81AF6A44D307}"/>
            </c:ext>
          </c:extLst>
        </c:ser>
        <c:ser>
          <c:idx val="6"/>
          <c:order val="3"/>
          <c:tx>
            <c:v>Fz1</c:v>
          </c:tx>
          <c:spPr>
            <a:ln w="28575">
              <a:noFill/>
            </a:ln>
          </c:spPr>
          <c:marker>
            <c:symbol val="circle"/>
            <c:size val="8"/>
            <c:spPr>
              <a:noFill/>
              <a:ln w="19050">
                <a:solidFill>
                  <a:srgbClr val="000000"/>
                </a:solidFill>
                <a:prstDash val="solid"/>
              </a:ln>
            </c:spPr>
          </c:marker>
          <c:dLbls>
            <c:dLbl>
              <c:idx val="0"/>
              <c:tx>
                <c:rich>
                  <a:bodyPr/>
                  <a:lstStyle/>
                  <a:p>
                    <a:r>
                      <a:rPr lang="en-US">
                        <a:solidFill>
                          <a:srgbClr val="0000FF"/>
                        </a:solidFill>
                      </a:rPr>
                      <a:t>F</a:t>
                    </a:r>
                    <a:r>
                      <a:rPr lang="en-US" baseline="-25000"/>
                      <a:t>Z1</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Calculations'!$B$684</c:f>
              <c:numCache>
                <c:formatCode>General</c:formatCode>
                <c:ptCount val="1"/>
                <c:pt idx="0">
                  <c:v>2.0522881144262586</c:v>
                </c:pt>
              </c:numCache>
            </c:numRef>
          </c:xVal>
          <c:yVal>
            <c:numRef>
              <c:f>'Bode Plots Calculations'!$BF$684</c:f>
              <c:numCache>
                <c:formatCode>General</c:formatCode>
                <c:ptCount val="1"/>
                <c:pt idx="0">
                  <c:v>30.162188897316227</c:v>
                </c:pt>
              </c:numCache>
            </c:numRef>
          </c:yVal>
          <c:smooth val="1"/>
          <c:extLst>
            <c:ext xmlns:c16="http://schemas.microsoft.com/office/drawing/2014/chart" uri="{C3380CC4-5D6E-409C-BE32-E72D297353CC}">
              <c16:uniqueId val="{00000004-BED3-43CF-9D4A-81AF6A44D307}"/>
            </c:ext>
          </c:extLst>
        </c:ser>
        <c:ser>
          <c:idx val="7"/>
          <c:order val="4"/>
          <c:tx>
            <c:v>Fz2</c:v>
          </c:tx>
          <c:spPr>
            <a:ln w="28575">
              <a:noFill/>
            </a:ln>
          </c:spPr>
          <c:marker>
            <c:symbol val="circle"/>
            <c:size val="8"/>
            <c:spPr>
              <a:noFill/>
              <a:ln w="19050" cap="rnd">
                <a:solidFill>
                  <a:srgbClr val="000000"/>
                </a:solidFill>
                <a:prstDash val="solid"/>
                <a:round/>
              </a:ln>
            </c:spPr>
          </c:marker>
          <c:dLbls>
            <c:dLbl>
              <c:idx val="0"/>
              <c:tx>
                <c:rich>
                  <a:bodyPr/>
                  <a:lstStyle/>
                  <a:p>
                    <a:r>
                      <a:rPr lang="en-US">
                        <a:solidFill>
                          <a:srgbClr val="0000FF"/>
                        </a:solidFill>
                      </a:rPr>
                      <a:t>F</a:t>
                    </a:r>
                    <a:r>
                      <a:rPr lang="en-US" baseline="-25000"/>
                      <a:t>Z2</a:t>
                    </a:r>
                  </a:p>
                </c:rich>
              </c:tx>
              <c:dLblPos val="b"/>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Calculations'!$B$685</c:f>
              <c:numCache>
                <c:formatCode>General</c:formatCode>
                <c:ptCount val="1"/>
                <c:pt idx="0">
                  <c:v>2.6296518239907409</c:v>
                </c:pt>
              </c:numCache>
            </c:numRef>
          </c:xVal>
          <c:yVal>
            <c:numRef>
              <c:f>'Bode Plots Calculations'!$BF$685</c:f>
              <c:numCache>
                <c:formatCode>General</c:formatCode>
                <c:ptCount val="1"/>
                <c:pt idx="0">
                  <c:v>34.046864648760867</c:v>
                </c:pt>
              </c:numCache>
            </c:numRef>
          </c:yVal>
          <c:smooth val="1"/>
          <c:extLst>
            <c:ext xmlns:c16="http://schemas.microsoft.com/office/drawing/2014/chart" uri="{C3380CC4-5D6E-409C-BE32-E72D297353CC}">
              <c16:uniqueId val="{00000006-BED3-43CF-9D4A-81AF6A44D307}"/>
            </c:ext>
          </c:extLst>
        </c:ser>
        <c:ser>
          <c:idx val="8"/>
          <c:order val="5"/>
          <c:tx>
            <c:v>Fp1</c:v>
          </c:tx>
          <c:spPr>
            <a:ln w="28575">
              <a:noFill/>
            </a:ln>
          </c:spPr>
          <c:marker>
            <c:symbol val="x"/>
            <c:size val="8"/>
            <c:spPr>
              <a:noFill/>
              <a:ln w="22225">
                <a:solidFill>
                  <a:srgbClr val="000000"/>
                </a:solidFill>
                <a:prstDash val="solid"/>
              </a:ln>
            </c:spPr>
          </c:marker>
          <c:dLbls>
            <c:dLbl>
              <c:idx val="0"/>
              <c:tx>
                <c:rich>
                  <a:bodyPr/>
                  <a:lstStyle/>
                  <a:p>
                    <a:r>
                      <a:rPr lang="en-US">
                        <a:solidFill>
                          <a:srgbClr val="0000FF"/>
                        </a:solidFill>
                      </a:rPr>
                      <a:t>F</a:t>
                    </a:r>
                    <a:r>
                      <a:rPr lang="en-US" baseline="-25000"/>
                      <a:t>P1</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Calculations'!$B$686</c:f>
              <c:numCache>
                <c:formatCode>General</c:formatCode>
                <c:ptCount val="1"/>
                <c:pt idx="0">
                  <c:v>186.53884584359633</c:v>
                </c:pt>
              </c:numCache>
            </c:numRef>
          </c:xVal>
          <c:yVal>
            <c:numRef>
              <c:f>'Bode Plots Calculations'!$BF$686</c:f>
              <c:numCache>
                <c:formatCode>General</c:formatCode>
                <c:ptCount val="1"/>
                <c:pt idx="0">
                  <c:v>-22.379357325113428</c:v>
                </c:pt>
              </c:numCache>
            </c:numRef>
          </c:yVal>
          <c:smooth val="1"/>
          <c:extLst>
            <c:ext xmlns:c16="http://schemas.microsoft.com/office/drawing/2014/chart" uri="{C3380CC4-5D6E-409C-BE32-E72D297353CC}">
              <c16:uniqueId val="{00000008-BED3-43CF-9D4A-81AF6A44D307}"/>
            </c:ext>
          </c:extLst>
        </c:ser>
        <c:ser>
          <c:idx val="9"/>
          <c:order val="6"/>
          <c:tx>
            <c:v>Fp2</c:v>
          </c:tx>
          <c:spPr>
            <a:ln w="28575">
              <a:solidFill>
                <a:schemeClr val="tx1"/>
              </a:solidFill>
            </a:ln>
          </c:spPr>
          <c:marker>
            <c:symbol val="x"/>
            <c:size val="8"/>
            <c:spPr>
              <a:noFill/>
              <a:ln w="22225">
                <a:solidFill>
                  <a:schemeClr val="tx1"/>
                </a:solidFill>
              </a:ln>
            </c:spPr>
          </c:marker>
          <c:dLbls>
            <c:dLbl>
              <c:idx val="0"/>
              <c:tx>
                <c:rich>
                  <a:bodyPr/>
                  <a:lstStyle/>
                  <a:p>
                    <a:r>
                      <a:rPr lang="en-US">
                        <a:solidFill>
                          <a:srgbClr val="0000FF"/>
                        </a:solidFill>
                      </a:rPr>
                      <a:t>F</a:t>
                    </a:r>
                    <a:r>
                      <a:rPr lang="en-US" baseline="-25000"/>
                      <a:t>P2</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Calculations'!$B$687</c:f>
              <c:numCache>
                <c:formatCode>General</c:formatCode>
                <c:ptCount val="1"/>
                <c:pt idx="0">
                  <c:v>119.68343613641916</c:v>
                </c:pt>
              </c:numCache>
            </c:numRef>
          </c:xVal>
          <c:yVal>
            <c:numRef>
              <c:f>'Bode Plots Calculations'!$BF$687</c:f>
              <c:numCache>
                <c:formatCode>General</c:formatCode>
                <c:ptCount val="1"/>
                <c:pt idx="0">
                  <c:v>-13.539723516996693</c:v>
                </c:pt>
              </c:numCache>
            </c:numRef>
          </c:yVal>
          <c:smooth val="1"/>
          <c:extLst>
            <c:ext xmlns:c16="http://schemas.microsoft.com/office/drawing/2014/chart" uri="{C3380CC4-5D6E-409C-BE32-E72D297353CC}">
              <c16:uniqueId val="{0000000A-BED3-43CF-9D4A-81AF6A44D307}"/>
            </c:ext>
          </c:extLst>
        </c:ser>
        <c:ser>
          <c:idx val="4"/>
          <c:order val="7"/>
          <c:tx>
            <c:v>F_ESR</c:v>
          </c:tx>
          <c:spPr>
            <a:ln w="28575">
              <a:noFill/>
            </a:ln>
          </c:spPr>
          <c:marker>
            <c:symbol val="circle"/>
            <c:size val="8"/>
            <c:spPr>
              <a:noFill/>
              <a:ln w="19050">
                <a:solidFill>
                  <a:srgbClr val="000000"/>
                </a:solidFill>
                <a:prstDash val="solid"/>
              </a:ln>
            </c:spPr>
          </c:marker>
          <c:dLbls>
            <c:dLbl>
              <c:idx val="0"/>
              <c:tx>
                <c:rich>
                  <a:bodyPr/>
                  <a:lstStyle/>
                  <a:p>
                    <a:r>
                      <a:rPr lang="en-US" b="1"/>
                      <a:t>F</a:t>
                    </a:r>
                    <a:r>
                      <a:rPr lang="en-US" baseline="-25000"/>
                      <a:t>ESR</a:t>
                    </a:r>
                  </a:p>
                </c:rich>
              </c:tx>
              <c:dLblPos val="l"/>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ED3-43CF-9D4A-81AF6A44D307}"/>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Calculations'!$B$682</c:f>
              <c:numCache>
                <c:formatCode>General</c:formatCode>
                <c:ptCount val="1"/>
                <c:pt idx="0">
                  <c:v>198.94367909219548</c:v>
                </c:pt>
              </c:numCache>
            </c:numRef>
          </c:xVal>
          <c:yVal>
            <c:numRef>
              <c:f>'Bode Plots Calculations'!$BF$682</c:f>
              <c:numCache>
                <c:formatCode>General</c:formatCode>
                <c:ptCount val="1"/>
                <c:pt idx="0">
                  <c:v>-23.709041328680541</c:v>
                </c:pt>
              </c:numCache>
            </c:numRef>
          </c:yVal>
          <c:smooth val="1"/>
          <c:extLst>
            <c:ext xmlns:c16="http://schemas.microsoft.com/office/drawing/2014/chart" uri="{C3380CC4-5D6E-409C-BE32-E72D297353CC}">
              <c16:uniqueId val="{0000000C-BED3-43CF-9D4A-81AF6A44D307}"/>
            </c:ext>
          </c:extLst>
        </c:ser>
        <c:dLbls>
          <c:showLegendKey val="0"/>
          <c:showVal val="0"/>
          <c:showCatName val="0"/>
          <c:showSerName val="0"/>
          <c:showPercent val="0"/>
          <c:showBubbleSize val="0"/>
        </c:dLbls>
        <c:axId val="315151872"/>
        <c:axId val="315545856"/>
      </c:scatterChart>
      <c:scatterChart>
        <c:scatterStyle val="lineMarker"/>
        <c:varyColors val="0"/>
        <c:ser>
          <c:idx val="3"/>
          <c:order val="1"/>
          <c:tx>
            <c:v>Loop Phase</c:v>
          </c:tx>
          <c:spPr>
            <a:ln w="34925">
              <a:solidFill>
                <a:srgbClr val="002060"/>
              </a:solidFill>
              <a:prstDash val="sysDash"/>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Calculations'!$BG$9:$BG$676</c:f>
              <c:numCache>
                <c:formatCode>General</c:formatCode>
                <c:ptCount val="668"/>
                <c:pt idx="0">
                  <c:v>-46.76132651049241</c:v>
                </c:pt>
                <c:pt idx="1">
                  <c:v>-64.765012298792115</c:v>
                </c:pt>
                <c:pt idx="2">
                  <c:v>-72.490682632520247</c:v>
                </c:pt>
                <c:pt idx="3">
                  <c:v>-76.615789847450273</c:v>
                </c:pt>
                <c:pt idx="4">
                  <c:v>-79.14660245421959</c:v>
                </c:pt>
                <c:pt idx="5">
                  <c:v>-80.844393195276098</c:v>
                </c:pt>
                <c:pt idx="6">
                  <c:v>-82.055043635644211</c:v>
                </c:pt>
                <c:pt idx="7">
                  <c:v>-82.957043822954716</c:v>
                </c:pt>
                <c:pt idx="8">
                  <c:v>-83.651467544085506</c:v>
                </c:pt>
                <c:pt idx="9">
                  <c:v>-84.199720152544458</c:v>
                </c:pt>
                <c:pt idx="10">
                  <c:v>-86.439230662052594</c:v>
                </c:pt>
                <c:pt idx="11">
                  <c:v>-86.897984510483326</c:v>
                </c:pt>
                <c:pt idx="12">
                  <c:v>-86.909565577483534</c:v>
                </c:pt>
                <c:pt idx="13">
                  <c:v>-86.742139174033014</c:v>
                </c:pt>
                <c:pt idx="14">
                  <c:v>-86.4852358348965</c:v>
                </c:pt>
                <c:pt idx="15">
                  <c:v>-86.177262253900537</c:v>
                </c:pt>
                <c:pt idx="16">
                  <c:v>-85.837439374093748</c:v>
                </c:pt>
                <c:pt idx="17">
                  <c:v>-85.476457655193983</c:v>
                </c:pt>
                <c:pt idx="18">
                  <c:v>-85.100741236557795</c:v>
                </c:pt>
                <c:pt idx="19">
                  <c:v>-81.031110308912574</c:v>
                </c:pt>
                <c:pt idx="20">
                  <c:v>-76.82722939080719</c:v>
                </c:pt>
                <c:pt idx="21">
                  <c:v>-72.645102817116978</c:v>
                </c:pt>
                <c:pt idx="22">
                  <c:v>-68.532045033525293</c:v>
                </c:pt>
                <c:pt idx="23">
                  <c:v>-64.516095750275923</c:v>
                </c:pt>
                <c:pt idx="24">
                  <c:v>-60.618694789115985</c:v>
                </c:pt>
                <c:pt idx="25">
                  <c:v>-56.857859261390317</c:v>
                </c:pt>
                <c:pt idx="26">
                  <c:v>-53.24933548082268</c:v>
                </c:pt>
                <c:pt idx="27">
                  <c:v>-49.807216977584005</c:v>
                </c:pt>
                <c:pt idx="28">
                  <c:v>-35.533726198332893</c:v>
                </c:pt>
                <c:pt idx="29">
                  <c:v>-27.599571658216696</c:v>
                </c:pt>
                <c:pt idx="30">
                  <c:v>-30.986690051285542</c:v>
                </c:pt>
                <c:pt idx="31">
                  <c:v>-62.516786902035349</c:v>
                </c:pt>
                <c:pt idx="32">
                  <c:v>-106.8612480431823</c:v>
                </c:pt>
                <c:pt idx="33">
                  <c:v>-121.96348090455611</c:v>
                </c:pt>
                <c:pt idx="34">
                  <c:v>-125.60408623101438</c:v>
                </c:pt>
                <c:pt idx="35">
                  <c:v>-125.90502422373046</c:v>
                </c:pt>
                <c:pt idx="36">
                  <c:v>-125.09997197999751</c:v>
                </c:pt>
                <c:pt idx="37">
                  <c:v>-123.93182227548412</c:v>
                </c:pt>
                <c:pt idx="38">
                  <c:v>-122.68431515250383</c:v>
                </c:pt>
                <c:pt idx="39">
                  <c:v>-121.47291828323117</c:v>
                </c:pt>
                <c:pt idx="40">
                  <c:v>-120.34396810704602</c:v>
                </c:pt>
                <c:pt idx="41">
                  <c:v>-119.31337253268404</c:v>
                </c:pt>
                <c:pt idx="42">
                  <c:v>-118.38321804347493</c:v>
                </c:pt>
                <c:pt idx="43">
                  <c:v>-117.54937200353365</c:v>
                </c:pt>
                <c:pt idx="44">
                  <c:v>-116.80510920031109</c:v>
                </c:pt>
                <c:pt idx="45">
                  <c:v>-116.14287629291017</c:v>
                </c:pt>
                <c:pt idx="46">
                  <c:v>-115.55514624059278</c:v>
                </c:pt>
                <c:pt idx="47">
                  <c:v>-115.03481520174982</c:v>
                </c:pt>
                <c:pt idx="48">
                  <c:v>-114.57536602584672</c:v>
                </c:pt>
                <c:pt idx="49">
                  <c:v>-114.17091283404862</c:v>
                </c:pt>
                <c:pt idx="50">
                  <c:v>-113.81618644930693</c:v>
                </c:pt>
                <c:pt idx="51">
                  <c:v>-113.50649224192284</c:v>
                </c:pt>
                <c:pt idx="52">
                  <c:v>-113.23765707911988</c:v>
                </c:pt>
                <c:pt idx="53">
                  <c:v>-113.00597407953911</c:v>
                </c:pt>
                <c:pt idx="54">
                  <c:v>-112.80814954034848</c:v>
                </c:pt>
                <c:pt idx="55">
                  <c:v>-112.64125404825923</c:v>
                </c:pt>
                <c:pt idx="56">
                  <c:v>-112.50267851446068</c:v>
                </c:pt>
                <c:pt idx="57">
                  <c:v>-112.39009520345519</c:v>
                </c:pt>
                <c:pt idx="58">
                  <c:v>-112.30142349001368</c:v>
                </c:pt>
                <c:pt idx="59">
                  <c:v>-112.23479992780183</c:v>
                </c:pt>
                <c:pt idx="60">
                  <c:v>-112.18855216353138</c:v>
                </c:pt>
                <c:pt idx="61">
                  <c:v>-112.1611762341862</c:v>
                </c:pt>
                <c:pt idx="62">
                  <c:v>-112.15131681505535</c:v>
                </c:pt>
                <c:pt idx="63">
                  <c:v>-112.15775002792167</c:v>
                </c:pt>
                <c:pt idx="64">
                  <c:v>-112.17936846354161</c:v>
                </c:pt>
                <c:pt idx="65">
                  <c:v>-112.21516811615703</c:v>
                </c:pt>
                <c:pt idx="66">
                  <c:v>-112.26423696807653</c:v>
                </c:pt>
                <c:pt idx="67">
                  <c:v>-112.3257449984862</c:v>
                </c:pt>
                <c:pt idx="68">
                  <c:v>-112.39893542241796</c:v>
                </c:pt>
                <c:pt idx="69">
                  <c:v>-112.48311699340289</c:v>
                </c:pt>
                <c:pt idx="70">
                  <c:v>-112.57765722712257</c:v>
                </c:pt>
                <c:pt idx="71">
                  <c:v>-112.68197642376084</c:v>
                </c:pt>
                <c:pt idx="72">
                  <c:v>-112.79554238418579</c:v>
                </c:pt>
                <c:pt idx="73">
                  <c:v>-112.91786572995066</c:v>
                </c:pt>
                <c:pt idx="74">
                  <c:v>-113.04849574976633</c:v>
                </c:pt>
                <c:pt idx="75">
                  <c:v>-113.18701670588753</c:v>
                </c:pt>
                <c:pt idx="76">
                  <c:v>-113.33304454304626</c:v>
                </c:pt>
                <c:pt idx="77">
                  <c:v>-113.48622395040982</c:v>
                </c:pt>
                <c:pt idx="78">
                  <c:v>-113.64622573373282</c:v>
                </c:pt>
                <c:pt idx="79">
                  <c:v>-113.81274446059675</c:v>
                </c:pt>
                <c:pt idx="80">
                  <c:v>-113.98549634652744</c:v>
                </c:pt>
                <c:pt idx="81">
                  <c:v>-114.16421735398339</c:v>
                </c:pt>
                <c:pt idx="82">
                  <c:v>-114.34866147981205</c:v>
                </c:pt>
                <c:pt idx="83">
                  <c:v>-114.53859920987672</c:v>
                </c:pt>
                <c:pt idx="84">
                  <c:v>-114.73381612222967</c:v>
                </c:pt>
                <c:pt idx="85">
                  <c:v>-114.93411162251607</c:v>
                </c:pt>
                <c:pt idx="86">
                  <c:v>-115.13929779729033</c:v>
                </c:pt>
                <c:pt idx="87">
                  <c:v>-115.34919837265713</c:v>
                </c:pt>
                <c:pt idx="88">
                  <c:v>-115.56364776715</c:v>
                </c:pt>
                <c:pt idx="89">
                  <c:v>-115.78249022906795</c:v>
                </c:pt>
                <c:pt idx="90">
                  <c:v>-116.00557904962757</c:v>
                </c:pt>
                <c:pt idx="91">
                  <c:v>-116.2327758442804</c:v>
                </c:pt>
                <c:pt idx="92">
                  <c:v>-116.46394989541506</c:v>
                </c:pt>
                <c:pt idx="93">
                  <c:v>-116.69897755042135</c:v>
                </c:pt>
                <c:pt idx="94">
                  <c:v>-116.9377416697629</c:v>
                </c:pt>
                <c:pt idx="95">
                  <c:v>-117.18013112028842</c:v>
                </c:pt>
                <c:pt idx="96">
                  <c:v>-117.42604030952876</c:v>
                </c:pt>
                <c:pt idx="97">
                  <c:v>-117.67536875718032</c:v>
                </c:pt>
                <c:pt idx="98">
                  <c:v>-117.92802070037804</c:v>
                </c:pt>
                <c:pt idx="99">
                  <c:v>-118.18390472971409</c:v>
                </c:pt>
                <c:pt idx="100">
                  <c:v>-118.44293345327371</c:v>
                </c:pt>
                <c:pt idx="101">
                  <c:v>-118.70502318623853</c:v>
                </c:pt>
                <c:pt idx="102">
                  <c:v>-118.97009366385382</c:v>
                </c:pt>
                <c:pt idx="103">
                  <c:v>-119.2380677757774</c:v>
                </c:pt>
                <c:pt idx="104">
                  <c:v>-119.50887132002281</c:v>
                </c:pt>
                <c:pt idx="105">
                  <c:v>-119.78243277488563</c:v>
                </c:pt>
                <c:pt idx="106">
                  <c:v>-120.05868308739558</c:v>
                </c:pt>
                <c:pt idx="107">
                  <c:v>-120.33755547697812</c:v>
                </c:pt>
                <c:pt idx="108">
                  <c:v>-120.6189852531344</c:v>
                </c:pt>
                <c:pt idx="109">
                  <c:v>-120.90290964605808</c:v>
                </c:pt>
                <c:pt idx="110">
                  <c:v>-121.18926764921017</c:v>
                </c:pt>
                <c:pt idx="111">
                  <c:v>-121.47799987296145</c:v>
                </c:pt>
                <c:pt idx="112">
                  <c:v>-121.76904840849468</c:v>
                </c:pt>
                <c:pt idx="113">
                  <c:v>-122.06235670122868</c:v>
                </c:pt>
                <c:pt idx="114">
                  <c:v>-122.35786943309586</c:v>
                </c:pt>
                <c:pt idx="115">
                  <c:v>-122.65553241306039</c:v>
                </c:pt>
                <c:pt idx="116">
                  <c:v>-122.95529247531935</c:v>
                </c:pt>
                <c:pt idx="117">
                  <c:v>-123.25709738467697</c:v>
                </c:pt>
                <c:pt idx="118">
                  <c:v>-123.5608957486251</c:v>
                </c:pt>
                <c:pt idx="119">
                  <c:v>-123.86663693570237</c:v>
                </c:pt>
                <c:pt idx="120">
                  <c:v>-124.1742709997411</c:v>
                </c:pt>
                <c:pt idx="121">
                  <c:v>-124.48374860964086</c:v>
                </c:pt>
                <c:pt idx="122">
                  <c:v>-124.79502098433862</c:v>
                </c:pt>
                <c:pt idx="123">
                  <c:v>-125.10803983267131</c:v>
                </c:pt>
                <c:pt idx="124">
                  <c:v>-125.42275729784913</c:v>
                </c:pt>
                <c:pt idx="125">
                  <c:v>-125.73912590628142</c:v>
                </c:pt>
                <c:pt idx="126">
                  <c:v>-126.05709852051473</c:v>
                </c:pt>
                <c:pt idx="127">
                  <c:v>-126.3766282960612</c:v>
                </c:pt>
                <c:pt idx="128">
                  <c:v>-126.69766864191143</c:v>
                </c:pt>
                <c:pt idx="129">
                  <c:v>-127.02017318453987</c:v>
                </c:pt>
                <c:pt idx="130">
                  <c:v>-127.34409573522417</c:v>
                </c:pt>
                <c:pt idx="131">
                  <c:v>-127.6693902605122</c:v>
                </c:pt>
                <c:pt idx="132">
                  <c:v>-127.99601085568007</c:v>
                </c:pt>
                <c:pt idx="133">
                  <c:v>-128.32391172103527</c:v>
                </c:pt>
                <c:pt idx="134">
                  <c:v>-128.65304714092673</c:v>
                </c:pt>
                <c:pt idx="135">
                  <c:v>-128.98337146533282</c:v>
                </c:pt>
                <c:pt idx="136">
                  <c:v>-129.31483909390306</c:v>
                </c:pt>
                <c:pt idx="137">
                  <c:v>-129.64740446233904</c:v>
                </c:pt>
                <c:pt idx="138">
                  <c:v>-129.98102203100237</c:v>
                </c:pt>
                <c:pt idx="139">
                  <c:v>-130.31564627564532</c:v>
                </c:pt>
                <c:pt idx="140">
                  <c:v>-130.65123168016237</c:v>
                </c:pt>
                <c:pt idx="141">
                  <c:v>-130.98773273126682</c:v>
                </c:pt>
                <c:pt idx="142">
                  <c:v>-131.32510391499974</c:v>
                </c:pt>
                <c:pt idx="143">
                  <c:v>-131.66329971498061</c:v>
                </c:pt>
                <c:pt idx="144">
                  <c:v>-132.00227461231461</c:v>
                </c:pt>
                <c:pt idx="145">
                  <c:v>-132.34198308707192</c:v>
                </c:pt>
                <c:pt idx="146">
                  <c:v>-132.68237962125804</c:v>
                </c:pt>
                <c:pt idx="147">
                  <c:v>-133.02341870319623</c:v>
                </c:pt>
                <c:pt idx="148">
                  <c:v>-133.36505483324459</c:v>
                </c:pt>
                <c:pt idx="149">
                  <c:v>-133.70724253077319</c:v>
                </c:pt>
                <c:pt idx="150">
                  <c:v>-134.04993634232676</c:v>
                </c:pt>
                <c:pt idx="151">
                  <c:v>-134.39309085090207</c:v>
                </c:pt>
                <c:pt idx="152">
                  <c:v>-134.73666068626841</c:v>
                </c:pt>
                <c:pt idx="153">
                  <c:v>-135.08060053626204</c:v>
                </c:pt>
                <c:pt idx="154">
                  <c:v>-135.4248651589871</c:v>
                </c:pt>
                <c:pt idx="155">
                  <c:v>-135.76940939585558</c:v>
                </c:pt>
                <c:pt idx="156">
                  <c:v>-136.11418818540034</c:v>
                </c:pt>
                <c:pt idx="157">
                  <c:v>-136.45915657779773</c:v>
                </c:pt>
                <c:pt idx="158">
                  <c:v>-136.80426975003428</c:v>
                </c:pt>
                <c:pt idx="159">
                  <c:v>-137.14948302165752</c:v>
                </c:pt>
                <c:pt idx="160">
                  <c:v>-137.49475187104682</c:v>
                </c:pt>
                <c:pt idx="161">
                  <c:v>-137.84003195214632</c:v>
                </c:pt>
                <c:pt idx="162">
                  <c:v>-138.18527911159896</c:v>
                </c:pt>
                <c:pt idx="163">
                  <c:v>-138.53044940622519</c:v>
                </c:pt>
                <c:pt idx="164">
                  <c:v>-138.87549912078748</c:v>
                </c:pt>
                <c:pt idx="165">
                  <c:v>-139.22038478598756</c:v>
                </c:pt>
                <c:pt idx="166">
                  <c:v>-139.5650631966393</c:v>
                </c:pt>
                <c:pt idx="167">
                  <c:v>-139.90949142996632</c:v>
                </c:pt>
                <c:pt idx="168">
                  <c:v>-140.25362686397139</c:v>
                </c:pt>
                <c:pt idx="169">
                  <c:v>-140.59742719582755</c:v>
                </c:pt>
                <c:pt idx="170">
                  <c:v>-140.94085046024219</c:v>
                </c:pt>
                <c:pt idx="171">
                  <c:v>-141.28385504774693</c:v>
                </c:pt>
                <c:pt idx="172">
                  <c:v>-141.62639972286684</c:v>
                </c:pt>
                <c:pt idx="173">
                  <c:v>-141.96844364212538</c:v>
                </c:pt>
                <c:pt idx="174">
                  <c:v>-142.30994637184233</c:v>
                </c:pt>
                <c:pt idx="175">
                  <c:v>-142.65086790568355</c:v>
                </c:pt>
                <c:pt idx="176">
                  <c:v>-142.99116868192414</c:v>
                </c:pt>
                <c:pt idx="177">
                  <c:v>-143.33080960038683</c:v>
                </c:pt>
                <c:pt idx="178">
                  <c:v>-143.66975203902089</c:v>
                </c:pt>
                <c:pt idx="179">
                  <c:v>-144.00795787008701</c:v>
                </c:pt>
                <c:pt idx="180">
                  <c:v>-144.34538947591727</c:v>
                </c:pt>
                <c:pt idx="181">
                  <c:v>-144.68200976421983</c:v>
                </c:pt>
                <c:pt idx="182">
                  <c:v>-145.01778218290022</c:v>
                </c:pt>
                <c:pt idx="183">
                  <c:v>-145.35267073437362</c:v>
                </c:pt>
                <c:pt idx="184">
                  <c:v>-145.68663998934389</c:v>
                </c:pt>
                <c:pt idx="185">
                  <c:v>-146.01965510002699</c:v>
                </c:pt>
                <c:pt idx="186">
                  <c:v>-146.35168181279906</c:v>
                </c:pt>
                <c:pt idx="187">
                  <c:v>-146.68268648025042</c:v>
                </c:pt>
                <c:pt idx="188">
                  <c:v>-147.01263607262996</c:v>
                </c:pt>
                <c:pt idx="189">
                  <c:v>-147.34149818866405</c:v>
                </c:pt>
                <c:pt idx="190">
                  <c:v>-147.66924106573967</c:v>
                </c:pt>
                <c:pt idx="191">
                  <c:v>-147.99583358943892</c:v>
                </c:pt>
                <c:pt idx="192">
                  <c:v>-148.32124530241759</c:v>
                </c:pt>
                <c:pt idx="193">
                  <c:v>-148.64544641262049</c:v>
                </c:pt>
                <c:pt idx="194">
                  <c:v>-148.96840780082766</c:v>
                </c:pt>
                <c:pt idx="195">
                  <c:v>-149.29010102752909</c:v>
                </c:pt>
                <c:pt idx="196">
                  <c:v>-149.61049833912509</c:v>
                </c:pt>
                <c:pt idx="197">
                  <c:v>-149.9295726734529</c:v>
                </c:pt>
                <c:pt idx="198">
                  <c:v>-150.24729766464026</c:v>
                </c:pt>
                <c:pt idx="199">
                  <c:v>-150.5636476472894</c:v>
                </c:pt>
                <c:pt idx="200">
                  <c:v>-150.87859765999562</c:v>
                </c:pt>
                <c:pt idx="201">
                  <c:v>-151.19212344820545</c:v>
                </c:pt>
                <c:pt idx="202">
                  <c:v>-151.5042014664231</c:v>
                </c:pt>
                <c:pt idx="203">
                  <c:v>-151.81480887977168</c:v>
                </c:pt>
                <c:pt idx="204">
                  <c:v>-152.12392356491998</c:v>
                </c:pt>
                <c:pt idx="205">
                  <c:v>-152.43152411038469</c:v>
                </c:pt>
                <c:pt idx="206">
                  <c:v>-152.73758981622035</c:v>
                </c:pt>
                <c:pt idx="207">
                  <c:v>-153.04210069310909</c:v>
                </c:pt>
                <c:pt idx="208">
                  <c:v>-153.3450374608644</c:v>
                </c:pt>
                <c:pt idx="209">
                  <c:v>-153.64638154636233</c:v>
                </c:pt>
                <c:pt idx="210">
                  <c:v>-153.94611508091677</c:v>
                </c:pt>
                <c:pt idx="211">
                  <c:v>-154.24422089711322</c:v>
                </c:pt>
                <c:pt idx="212">
                  <c:v>-154.54068252511891</c:v>
                </c:pt>
                <c:pt idx="213">
                  <c:v>-154.83548418848471</c:v>
                </c:pt>
                <c:pt idx="214">
                  <c:v>-155.12861079945876</c:v>
                </c:pt>
                <c:pt idx="215">
                  <c:v>-155.42004795382707</c:v>
                </c:pt>
                <c:pt idx="216">
                  <c:v>-155.70978192530208</c:v>
                </c:pt>
                <c:pt idx="217">
                  <c:v>-155.99779965947582</c:v>
                </c:pt>
                <c:pt idx="218">
                  <c:v>-156.28408876735813</c:v>
                </c:pt>
                <c:pt idx="219">
                  <c:v>-156.56863751851773</c:v>
                </c:pt>
                <c:pt idx="220">
                  <c:v>-156.85143483384684</c:v>
                </c:pt>
                <c:pt idx="221">
                  <c:v>-157.13247027796709</c:v>
                </c:pt>
                <c:pt idx="222">
                  <c:v>-157.41173405129732</c:v>
                </c:pt>
                <c:pt idx="223">
                  <c:v>-157.6892169818025</c:v>
                </c:pt>
                <c:pt idx="224">
                  <c:v>-157.96491051644145</c:v>
                </c:pt>
                <c:pt idx="225">
                  <c:v>-158.23880671233533</c:v>
                </c:pt>
                <c:pt idx="226">
                  <c:v>-160.87758499867937</c:v>
                </c:pt>
                <c:pt idx="227">
                  <c:v>-163.33204735897914</c:v>
                </c:pt>
                <c:pt idx="228">
                  <c:v>-165.60273716664341</c:v>
                </c:pt>
                <c:pt idx="229">
                  <c:v>-167.69400559128664</c:v>
                </c:pt>
                <c:pt idx="230">
                  <c:v>-169.61298945985973</c:v>
                </c:pt>
                <c:pt idx="231">
                  <c:v>-171.3687105540015</c:v>
                </c:pt>
                <c:pt idx="232">
                  <c:v>-172.97132934456093</c:v>
                </c:pt>
                <c:pt idx="233">
                  <c:v>-174.43155778129653</c:v>
                </c:pt>
                <c:pt idx="234">
                  <c:v>-175.76021844535592</c:v>
                </c:pt>
                <c:pt idx="235">
                  <c:v>-176.9679288694571</c:v>
                </c:pt>
                <c:pt idx="236">
                  <c:v>-178.06488734647988</c:v>
                </c:pt>
                <c:pt idx="237">
                  <c:v>-179.06073763673203</c:v>
                </c:pt>
                <c:pt idx="238">
                  <c:v>-179.96449284791325</c:v>
                </c:pt>
                <c:pt idx="239">
                  <c:v>-180.78450223343262</c:v>
                </c:pt>
                <c:pt idx="240">
                  <c:v>-181.52844806479496</c:v>
                </c:pt>
                <c:pt idx="241">
                  <c:v>-182.20336275354344</c:v>
                </c:pt>
                <c:pt idx="242">
                  <c:v>-182.81565890937222</c:v>
                </c:pt>
                <c:pt idx="243">
                  <c:v>-183.37116702183732</c:v>
                </c:pt>
                <c:pt idx="244">
                  <c:v>-183.87517699819034</c:v>
                </c:pt>
                <c:pt idx="245">
                  <c:v>-184.33248095424511</c:v>
                </c:pt>
                <c:pt idx="246">
                  <c:v>-184.74741551506125</c:v>
                </c:pt>
                <c:pt idx="247">
                  <c:v>-185.12390250587643</c:v>
                </c:pt>
                <c:pt idx="248">
                  <c:v>-185.46548735826187</c:v>
                </c:pt>
                <c:pt idx="249">
                  <c:v>-185.77537486765547</c:v>
                </c:pt>
                <c:pt idx="250">
                  <c:v>-186.05646215178206</c:v>
                </c:pt>
                <c:pt idx="251">
                  <c:v>-186.31136880202405</c:v>
                </c:pt>
                <c:pt idx="252">
                  <c:v>-186.54246431176077</c:v>
                </c:pt>
                <c:pt idx="253">
                  <c:v>-186.75189292196413</c:v>
                </c:pt>
                <c:pt idx="254">
                  <c:v>-186.9415960557921</c:v>
                </c:pt>
                <c:pt idx="255">
                  <c:v>-187.11333252842996</c:v>
                </c:pt>
                <c:pt idx="256">
                  <c:v>-187.26869672160808</c:v>
                </c:pt>
                <c:pt idx="257">
                  <c:v>-187.40913490806867</c:v>
                </c:pt>
                <c:pt idx="258">
                  <c:v>-187.53595990255681</c:v>
                </c:pt>
                <c:pt idx="259">
                  <c:v>-187.65036420461354</c:v>
                </c:pt>
                <c:pt idx="260">
                  <c:v>-187.75343178587065</c:v>
                </c:pt>
                <c:pt idx="261">
                  <c:v>-187.84614866157813</c:v>
                </c:pt>
                <c:pt idx="262">
                  <c:v>-187.92941237330828</c:v>
                </c:pt>
                <c:pt idx="263">
                  <c:v>-188.00404049753573</c:v>
                </c:pt>
                <c:pt idx="264">
                  <c:v>-188.07077828330105</c:v>
                </c:pt>
                <c:pt idx="265">
                  <c:v>-188.13030551153412</c:v>
                </c:pt>
                <c:pt idx="266">
                  <c:v>-188.18324265887998</c:v>
                </c:pt>
                <c:pt idx="267">
                  <c:v>-188.23015644003186</c:v>
                </c:pt>
                <c:pt idx="268">
                  <c:v>-188.27156479459506</c:v>
                </c:pt>
                <c:pt idx="269">
                  <c:v>-188.30794137733648</c:v>
                </c:pt>
                <c:pt idx="270">
                  <c:v>-188.33971960425012</c:v>
                </c:pt>
                <c:pt idx="271">
                  <c:v>-188.36729630113723</c:v>
                </c:pt>
                <c:pt idx="272">
                  <c:v>-188.39103499628524</c:v>
                </c:pt>
                <c:pt idx="273">
                  <c:v>-188.41126889428148</c:v>
                </c:pt>
                <c:pt idx="274">
                  <c:v>-188.42830356395285</c:v>
                </c:pt>
                <c:pt idx="275">
                  <c:v>-188.44241936982817</c:v>
                </c:pt>
                <c:pt idx="276">
                  <c:v>-188.45387367333112</c:v>
                </c:pt>
                <c:pt idx="277">
                  <c:v>-188.46290282707682</c:v>
                </c:pt>
                <c:pt idx="278">
                  <c:v>-188.46972398313071</c:v>
                </c:pt>
                <c:pt idx="279">
                  <c:v>-188.4745367338567</c:v>
                </c:pt>
                <c:pt idx="280">
                  <c:v>-188.47752460199729</c:v>
                </c:pt>
                <c:pt idx="281">
                  <c:v>-188.47885639486663</c:v>
                </c:pt>
                <c:pt idx="282">
                  <c:v>-188.47868743597377</c:v>
                </c:pt>
                <c:pt idx="283">
                  <c:v>-188.47716068599891</c:v>
                </c:pt>
                <c:pt idx="284">
                  <c:v>-188.4744077638087</c:v>
                </c:pt>
                <c:pt idx="285">
                  <c:v>-188.47054987709313</c:v>
                </c:pt>
                <c:pt idx="286">
                  <c:v>-188.46569867122452</c:v>
                </c:pt>
                <c:pt idx="287">
                  <c:v>-188.45995700406442</c:v>
                </c:pt>
                <c:pt idx="288">
                  <c:v>-188.45341965366197</c:v>
                </c:pt>
                <c:pt idx="289">
                  <c:v>-188.44617396509113</c:v>
                </c:pt>
                <c:pt idx="290">
                  <c:v>-188.43830044205154</c:v>
                </c:pt>
                <c:pt idx="291">
                  <c:v>-188.42987328829989</c:v>
                </c:pt>
                <c:pt idx="292">
                  <c:v>-188.42096090348213</c:v>
                </c:pt>
                <c:pt idx="293">
                  <c:v>-188.41162633748937</c:v>
                </c:pt>
                <c:pt idx="294">
                  <c:v>-188.40192770706213</c:v>
                </c:pt>
                <c:pt idx="295">
                  <c:v>-188.39191857800813</c:v>
                </c:pt>
                <c:pt idx="296">
                  <c:v>-188.38164831607779</c:v>
                </c:pt>
                <c:pt idx="297">
                  <c:v>-188.3711624092528</c:v>
                </c:pt>
                <c:pt idx="298">
                  <c:v>-188.36050276394349</c:v>
                </c:pt>
                <c:pt idx="299">
                  <c:v>-188.34970797735664</c:v>
                </c:pt>
                <c:pt idx="300">
                  <c:v>-188.33881358808677</c:v>
                </c:pt>
                <c:pt idx="301">
                  <c:v>-188.32785230679235</c:v>
                </c:pt>
                <c:pt idx="302">
                  <c:v>-188.31685422865016</c:v>
                </c:pt>
                <c:pt idx="303">
                  <c:v>-188.30584702912469</c:v>
                </c:pt>
                <c:pt idx="304">
                  <c:v>-188.29485614445244</c:v>
                </c:pt>
                <c:pt idx="305">
                  <c:v>-188.28390493811398</c:v>
                </c:pt>
                <c:pt idx="306">
                  <c:v>-188.27301485445378</c:v>
                </c:pt>
                <c:pt idx="307">
                  <c:v>-188.26220556050501</c:v>
                </c:pt>
                <c:pt idx="308">
                  <c:v>-188.25149507698296</c:v>
                </c:pt>
                <c:pt idx="309">
                  <c:v>-188.24089989932747</c:v>
                </c:pt>
                <c:pt idx="310">
                  <c:v>-188.23043510959687</c:v>
                </c:pt>
                <c:pt idx="311">
                  <c:v>-188.22011447994839</c:v>
                </c:pt>
                <c:pt idx="312">
                  <c:v>-188.20995056837552</c:v>
                </c:pt>
                <c:pt idx="313">
                  <c:v>-188.199954807316</c:v>
                </c:pt>
                <c:pt idx="314">
                  <c:v>-188.19013758569329</c:v>
                </c:pt>
                <c:pt idx="315">
                  <c:v>-188.18050832490539</c:v>
                </c:pt>
                <c:pt idx="316">
                  <c:v>-188.17107554923248</c:v>
                </c:pt>
                <c:pt idx="317">
                  <c:v>-188.16184695109658</c:v>
                </c:pt>
                <c:pt idx="318">
                  <c:v>-188.15282945156943</c:v>
                </c:pt>
                <c:pt idx="319">
                  <c:v>-188.14402925649225</c:v>
                </c:pt>
                <c:pt idx="320">
                  <c:v>-188.13545190854322</c:v>
                </c:pt>
                <c:pt idx="321">
                  <c:v>-188.12710233555796</c:v>
                </c:pt>
                <c:pt idx="322">
                  <c:v>-188.11898489538734</c:v>
                </c:pt>
                <c:pt idx="323">
                  <c:v>-188.11110341755142</c:v>
                </c:pt>
                <c:pt idx="324">
                  <c:v>-188.10346124192873</c:v>
                </c:pt>
                <c:pt idx="325">
                  <c:v>-188.09606125470143</c:v>
                </c:pt>
                <c:pt idx="326">
                  <c:v>-188.08890592175885</c:v>
                </c:pt>
                <c:pt idx="327">
                  <c:v>-188.08199731974636</c:v>
                </c:pt>
                <c:pt idx="328">
                  <c:v>-188.07533716493191</c:v>
                </c:pt>
                <c:pt idx="329">
                  <c:v>-188.06892684004919</c:v>
                </c:pt>
                <c:pt idx="330">
                  <c:v>-188.06276741926447</c:v>
                </c:pt>
                <c:pt idx="331">
                  <c:v>-188.05685969140168</c:v>
                </c:pt>
                <c:pt idx="332">
                  <c:v>-188.05120418155187</c:v>
                </c:pt>
                <c:pt idx="333">
                  <c:v>-188.04580117118212</c:v>
                </c:pt>
                <c:pt idx="334">
                  <c:v>-188.04065071685096</c:v>
                </c:pt>
                <c:pt idx="335">
                  <c:v>-188.03575266762871</c:v>
                </c:pt>
                <c:pt idx="336">
                  <c:v>-188.03110668131512</c:v>
                </c:pt>
                <c:pt idx="337">
                  <c:v>-188.02671223953806</c:v>
                </c:pt>
                <c:pt idx="338">
                  <c:v>-188.02256866181219</c:v>
                </c:pt>
                <c:pt idx="339">
                  <c:v>-188.01867511863014</c:v>
                </c:pt>
                <c:pt idx="340">
                  <c:v>-188.01503064365323</c:v>
                </c:pt>
                <c:pt idx="341">
                  <c:v>-188.01163414506456</c:v>
                </c:pt>
                <c:pt idx="342">
                  <c:v>-188.00848441614201</c:v>
                </c:pt>
                <c:pt idx="343">
                  <c:v>-188.00558014510489</c:v>
                </c:pt>
                <c:pt idx="344">
                  <c:v>-188.00291992428401</c:v>
                </c:pt>
                <c:pt idx="345">
                  <c:v>-188.00050225866195</c:v>
                </c:pt>
                <c:pt idx="346">
                  <c:v>-187.99832557382533</c:v>
                </c:pt>
                <c:pt idx="347">
                  <c:v>-187.99638822337019</c:v>
                </c:pt>
                <c:pt idx="348">
                  <c:v>-187.99468849579694</c:v>
                </c:pt>
                <c:pt idx="349">
                  <c:v>-187.99322462092937</c:v>
                </c:pt>
                <c:pt idx="350">
                  <c:v>-187.99199477588985</c:v>
                </c:pt>
                <c:pt idx="351">
                  <c:v>-187.99099709066081</c:v>
                </c:pt>
                <c:pt idx="352">
                  <c:v>-187.9902296532596</c:v>
                </c:pt>
                <c:pt idx="353">
                  <c:v>-187.98969051455327</c:v>
                </c:pt>
                <c:pt idx="354">
                  <c:v>-187.98937769273689</c:v>
                </c:pt>
                <c:pt idx="355">
                  <c:v>-187.98928917749765</c:v>
                </c:pt>
                <c:pt idx="356">
                  <c:v>-187.98942293388635</c:v>
                </c:pt>
                <c:pt idx="357">
                  <c:v>-187.98977690591468</c:v>
                </c:pt>
                <c:pt idx="358">
                  <c:v>-187.99034901989725</c:v>
                </c:pt>
                <c:pt idx="359">
                  <c:v>-187.99113718755487</c:v>
                </c:pt>
                <c:pt idx="360">
                  <c:v>-187.99213930889485</c:v>
                </c:pt>
                <c:pt idx="361">
                  <c:v>-187.99335327488322</c:v>
                </c:pt>
                <c:pt idx="362">
                  <c:v>-187.99477696992204</c:v>
                </c:pt>
                <c:pt idx="363">
                  <c:v>-187.99640827414552</c:v>
                </c:pt>
                <c:pt idx="364">
                  <c:v>-187.99824506554575</c:v>
                </c:pt>
                <c:pt idx="365">
                  <c:v>-188.00028522194043</c:v>
                </c:pt>
                <c:pt idx="366">
                  <c:v>-188.00252662279152</c:v>
                </c:pt>
                <c:pt idx="367">
                  <c:v>-188.0049671508863</c:v>
                </c:pt>
                <c:pt idx="368">
                  <c:v>-188.00760469388823</c:v>
                </c:pt>
                <c:pt idx="369">
                  <c:v>-188.01043714576718</c:v>
                </c:pt>
                <c:pt idx="370">
                  <c:v>-188.01346240811688</c:v>
                </c:pt>
                <c:pt idx="371">
                  <c:v>-188.01667839136601</c:v>
                </c:pt>
                <c:pt idx="372">
                  <c:v>-188.02008301589174</c:v>
                </c:pt>
                <c:pt idx="373">
                  <c:v>-188.02367421303981</c:v>
                </c:pt>
                <c:pt idx="374">
                  <c:v>-188.02744992605975</c:v>
                </c:pt>
                <c:pt idx="375">
                  <c:v>-188.03140811095841</c:v>
                </c:pt>
                <c:pt idx="376">
                  <c:v>-188.03554673727953</c:v>
                </c:pt>
                <c:pt idx="377">
                  <c:v>-188.0398637888122</c:v>
                </c:pt>
                <c:pt idx="378">
                  <c:v>-188.04435726423432</c:v>
                </c:pt>
                <c:pt idx="379">
                  <c:v>-188.04902517769449</c:v>
                </c:pt>
                <c:pt idx="380">
                  <c:v>-188.05386555933734</c:v>
                </c:pt>
                <c:pt idx="381">
                  <c:v>-188.05887645577477</c:v>
                </c:pt>
                <c:pt idx="382">
                  <c:v>-188.06405593050832</c:v>
                </c:pt>
                <c:pt idx="383">
                  <c:v>-188.06940206430443</c:v>
                </c:pt>
                <c:pt idx="384">
                  <c:v>-188.0749129555268</c:v>
                </c:pt>
                <c:pt idx="385">
                  <c:v>-188.08058672042833</c:v>
                </c:pt>
                <c:pt idx="386">
                  <c:v>-188.08642149340542</c:v>
                </c:pt>
                <c:pt idx="387">
                  <c:v>-188.09241542721739</c:v>
                </c:pt>
                <c:pt idx="388">
                  <c:v>-188.0985666931731</c:v>
                </c:pt>
                <c:pt idx="389">
                  <c:v>-188.10487348128726</c:v>
                </c:pt>
                <c:pt idx="390">
                  <c:v>-188.11133400040865</c:v>
                </c:pt>
                <c:pt idx="391">
                  <c:v>-188.11794647832187</c:v>
                </c:pt>
                <c:pt idx="392">
                  <c:v>-188.12470916182463</c:v>
                </c:pt>
                <c:pt idx="393">
                  <c:v>-188.13162031678289</c:v>
                </c:pt>
                <c:pt idx="394">
                  <c:v>-188.13867822816414</c:v>
                </c:pt>
                <c:pt idx="395">
                  <c:v>-188.14588120005172</c:v>
                </c:pt>
                <c:pt idx="396">
                  <c:v>-188.15322755564114</c:v>
                </c:pt>
                <c:pt idx="397">
                  <c:v>-188.160715637219</c:v>
                </c:pt>
                <c:pt idx="398">
                  <c:v>-188.16834380612721</c:v>
                </c:pt>
                <c:pt idx="399">
                  <c:v>-188.17611044271229</c:v>
                </c:pt>
                <c:pt idx="400">
                  <c:v>-188.18401394626176</c:v>
                </c:pt>
                <c:pt idx="401">
                  <c:v>-188.19205273492827</c:v>
                </c:pt>
                <c:pt idx="402">
                  <c:v>-188.20022524564243</c:v>
                </c:pt>
                <c:pt idx="403">
                  <c:v>-188.20852993401544</c:v>
                </c:pt>
                <c:pt idx="404">
                  <c:v>-188.21696527423217</c:v>
                </c:pt>
                <c:pt idx="405">
                  <c:v>-188.22552975893552</c:v>
                </c:pt>
                <c:pt idx="406">
                  <c:v>-188.23422189910303</c:v>
                </c:pt>
                <c:pt idx="407">
                  <c:v>-188.24304022391604</c:v>
                </c:pt>
                <c:pt idx="408">
                  <c:v>-188.25198328062237</c:v>
                </c:pt>
                <c:pt idx="409">
                  <c:v>-188.26104963439298</c:v>
                </c:pt>
                <c:pt idx="410">
                  <c:v>-188.27023786817324</c:v>
                </c:pt>
                <c:pt idx="411">
                  <c:v>-188.27954658252932</c:v>
                </c:pt>
                <c:pt idx="412">
                  <c:v>-188.28897439549019</c:v>
                </c:pt>
                <c:pt idx="413">
                  <c:v>-188.29851994238558</c:v>
                </c:pt>
                <c:pt idx="414">
                  <c:v>-188.30818187568073</c:v>
                </c:pt>
                <c:pt idx="415">
                  <c:v>-188.31795886480793</c:v>
                </c:pt>
                <c:pt idx="416">
                  <c:v>-188.3278495959951</c:v>
                </c:pt>
                <c:pt idx="417">
                  <c:v>-188.33785277209256</c:v>
                </c:pt>
                <c:pt idx="418">
                  <c:v>-188.34796711239724</c:v>
                </c:pt>
                <c:pt idx="419">
                  <c:v>-188.35819135247567</c:v>
                </c:pt>
                <c:pt idx="420">
                  <c:v>-188.36852424398501</c:v>
                </c:pt>
                <c:pt idx="421">
                  <c:v>-188.37896455449354</c:v>
                </c:pt>
                <c:pt idx="422">
                  <c:v>-188.38951106729982</c:v>
                </c:pt>
                <c:pt idx="423">
                  <c:v>-188.40016258125115</c:v>
                </c:pt>
                <c:pt idx="424">
                  <c:v>-188.41091791056206</c:v>
                </c:pt>
                <c:pt idx="425">
                  <c:v>-188.42177588463187</c:v>
                </c:pt>
                <c:pt idx="426">
                  <c:v>-188.43273534786269</c:v>
                </c:pt>
                <c:pt idx="427">
                  <c:v>-188.4437951594773</c:v>
                </c:pt>
                <c:pt idx="428">
                  <c:v>-188.45495419333756</c:v>
                </c:pt>
                <c:pt idx="429">
                  <c:v>-188.46621133776245</c:v>
                </c:pt>
                <c:pt idx="430">
                  <c:v>-188.47756549534793</c:v>
                </c:pt>
                <c:pt idx="431">
                  <c:v>-188.48901558278624</c:v>
                </c:pt>
                <c:pt idx="432">
                  <c:v>-188.50056053068681</c:v>
                </c:pt>
                <c:pt idx="433">
                  <c:v>-188.51219928339754</c:v>
                </c:pt>
                <c:pt idx="434">
                  <c:v>-188.52393079882759</c:v>
                </c:pt>
                <c:pt idx="435">
                  <c:v>-188.53575404827072</c:v>
                </c:pt>
                <c:pt idx="436">
                  <c:v>-188.54766801623026</c:v>
                </c:pt>
                <c:pt idx="437">
                  <c:v>-188.55967170024491</c:v>
                </c:pt>
                <c:pt idx="438">
                  <c:v>-188.57176411071632</c:v>
                </c:pt>
                <c:pt idx="439">
                  <c:v>-188.58394427073762</c:v>
                </c:pt>
                <c:pt idx="440">
                  <c:v>-188.59621121592355</c:v>
                </c:pt>
                <c:pt idx="441">
                  <c:v>-188.6085639942423</c:v>
                </c:pt>
                <c:pt idx="442">
                  <c:v>-188.62100166584847</c:v>
                </c:pt>
                <c:pt idx="443">
                  <c:v>-188.63352330291792</c:v>
                </c:pt>
                <c:pt idx="444">
                  <c:v>-188.64612798948409</c:v>
                </c:pt>
                <c:pt idx="445">
                  <c:v>-188.65881482127602</c:v>
                </c:pt>
                <c:pt idx="446">
                  <c:v>-188.67158290555807</c:v>
                </c:pt>
                <c:pt idx="447">
                  <c:v>-188.68443136097122</c:v>
                </c:pt>
                <c:pt idx="448">
                  <c:v>-188.69735931737631</c:v>
                </c:pt>
                <c:pt idx="449">
                  <c:v>-188.71036591569882</c:v>
                </c:pt>
                <c:pt idx="450">
                  <c:v>-188.72345030777535</c:v>
                </c:pt>
                <c:pt idx="451">
                  <c:v>-188.73661165620231</c:v>
                </c:pt>
                <c:pt idx="452">
                  <c:v>-188.74984913418595</c:v>
                </c:pt>
                <c:pt idx="453">
                  <c:v>-188.76316192539403</c:v>
                </c:pt>
                <c:pt idx="454">
                  <c:v>-188.77654922381018</c:v>
                </c:pt>
                <c:pt idx="455">
                  <c:v>-188.79001023358887</c:v>
                </c:pt>
                <c:pt idx="456">
                  <c:v>-188.80354416891311</c:v>
                </c:pt>
                <c:pt idx="457">
                  <c:v>-188.81715025385347</c:v>
                </c:pt>
                <c:pt idx="458">
                  <c:v>-188.83082772222917</c:v>
                </c:pt>
                <c:pt idx="459">
                  <c:v>-188.84457581747068</c:v>
                </c:pt>
                <c:pt idx="460">
                  <c:v>-188.85839379248438</c:v>
                </c:pt>
                <c:pt idx="461">
                  <c:v>-188.87228090951885</c:v>
                </c:pt>
                <c:pt idx="462">
                  <c:v>-188.88623644003303</c:v>
                </c:pt>
                <c:pt idx="463">
                  <c:v>-188.90025966456605</c:v>
                </c:pt>
                <c:pt idx="464">
                  <c:v>-188.91434987260888</c:v>
                </c:pt>
                <c:pt idx="465">
                  <c:v>-188.92850636247786</c:v>
                </c:pt>
                <c:pt idx="466">
                  <c:v>-188.94272844118959</c:v>
                </c:pt>
                <c:pt idx="467">
                  <c:v>-188.95701542433807</c:v>
                </c:pt>
                <c:pt idx="468">
                  <c:v>-188.97136663597303</c:v>
                </c:pt>
                <c:pt idx="469">
                  <c:v>-188.98578140848028</c:v>
                </c:pt>
                <c:pt idx="470">
                  <c:v>-189.00025908246394</c:v>
                </c:pt>
                <c:pt idx="471">
                  <c:v>-189.0147990066296</c:v>
                </c:pt>
                <c:pt idx="472">
                  <c:v>-189.02940053767003</c:v>
                </c:pt>
                <c:pt idx="473">
                  <c:v>-189.04406304015183</c:v>
                </c:pt>
                <c:pt idx="474">
                  <c:v>-189.05878588640408</c:v>
                </c:pt>
                <c:pt idx="475">
                  <c:v>-189.07356845640865</c:v>
                </c:pt>
                <c:pt idx="476">
                  <c:v>-189.08841013769165</c:v>
                </c:pt>
                <c:pt idx="477">
                  <c:v>-189.10331032521702</c:v>
                </c:pt>
                <c:pt idx="478">
                  <c:v>-189.11826842128133</c:v>
                </c:pt>
                <c:pt idx="479">
                  <c:v>-189.13328383541003</c:v>
                </c:pt>
                <c:pt idx="480">
                  <c:v>-189.1483559842558</c:v>
                </c:pt>
                <c:pt idx="481">
                  <c:v>-189.16348429149747</c:v>
                </c:pt>
                <c:pt idx="482">
                  <c:v>-189.17866818774132</c:v>
                </c:pt>
                <c:pt idx="483">
                  <c:v>-189.1939071104234</c:v>
                </c:pt>
                <c:pt idx="484">
                  <c:v>-189.20920050371322</c:v>
                </c:pt>
                <c:pt idx="485">
                  <c:v>-189.22454781841924</c:v>
                </c:pt>
                <c:pt idx="486">
                  <c:v>-189.23994851189545</c:v>
                </c:pt>
                <c:pt idx="487">
                  <c:v>-189.25540204794933</c:v>
                </c:pt>
                <c:pt idx="488">
                  <c:v>-189.27090789675145</c:v>
                </c:pt>
                <c:pt idx="489">
                  <c:v>-189.28646553474633</c:v>
                </c:pt>
                <c:pt idx="490">
                  <c:v>-189.30207444456431</c:v>
                </c:pt>
                <c:pt idx="491">
                  <c:v>-189.31773411493535</c:v>
                </c:pt>
                <c:pt idx="492">
                  <c:v>-189.33344404060352</c:v>
                </c:pt>
                <c:pt idx="493">
                  <c:v>-189.34920372224326</c:v>
                </c:pt>
                <c:pt idx="494">
                  <c:v>-189.36501266637657</c:v>
                </c:pt>
                <c:pt idx="495">
                  <c:v>-189.38087038529156</c:v>
                </c:pt>
                <c:pt idx="496">
                  <c:v>-189.39677639696228</c:v>
                </c:pt>
                <c:pt idx="497">
                  <c:v>-189.41273022496983</c:v>
                </c:pt>
                <c:pt idx="498">
                  <c:v>-189.42873139842439</c:v>
                </c:pt>
                <c:pt idx="499">
                  <c:v>-189.44477945188865</c:v>
                </c:pt>
                <c:pt idx="500">
                  <c:v>-189.46087392530248</c:v>
                </c:pt>
                <c:pt idx="501">
                  <c:v>-189.47701436390838</c:v>
                </c:pt>
                <c:pt idx="502">
                  <c:v>-189.49320031817848</c:v>
                </c:pt>
                <c:pt idx="503">
                  <c:v>-189.50943134374239</c:v>
                </c:pt>
                <c:pt idx="504">
                  <c:v>-189.52570700131625</c:v>
                </c:pt>
                <c:pt idx="505">
                  <c:v>-189.54202685663273</c:v>
                </c:pt>
                <c:pt idx="506">
                  <c:v>-189.55839048037225</c:v>
                </c:pt>
                <c:pt idx="507">
                  <c:v>-189.57479744809521</c:v>
                </c:pt>
                <c:pt idx="508">
                  <c:v>-189.59124734017504</c:v>
                </c:pt>
                <c:pt idx="509">
                  <c:v>-189.60773974173279</c:v>
                </c:pt>
                <c:pt idx="510">
                  <c:v>-189.62427424257191</c:v>
                </c:pt>
                <c:pt idx="511">
                  <c:v>-189.64085043711481</c:v>
                </c:pt>
                <c:pt idx="512">
                  <c:v>-189.6574679243399</c:v>
                </c:pt>
                <c:pt idx="513">
                  <c:v>-189.67412630771977</c:v>
                </c:pt>
                <c:pt idx="514">
                  <c:v>-189.6908251951603</c:v>
                </c:pt>
                <c:pt idx="515">
                  <c:v>-189.70756419894042</c:v>
                </c:pt>
                <c:pt idx="516">
                  <c:v>-189.72434293565345</c:v>
                </c:pt>
                <c:pt idx="517">
                  <c:v>-189.74116102614846</c:v>
                </c:pt>
                <c:pt idx="518">
                  <c:v>-189.7580180954732</c:v>
                </c:pt>
                <c:pt idx="519">
                  <c:v>-189.7749137728176</c:v>
                </c:pt>
                <c:pt idx="520">
                  <c:v>-189.79184769145814</c:v>
                </c:pt>
                <c:pt idx="521">
                  <c:v>-189.80881948870308</c:v>
                </c:pt>
                <c:pt idx="522">
                  <c:v>-189.82582880583854</c:v>
                </c:pt>
                <c:pt idx="523">
                  <c:v>-189.84287528807545</c:v>
                </c:pt>
                <c:pt idx="524">
                  <c:v>-189.85995858449704</c:v>
                </c:pt>
                <c:pt idx="525">
                  <c:v>-189.87707834800753</c:v>
                </c:pt>
                <c:pt idx="526">
                  <c:v>-189.89423423528123</c:v>
                </c:pt>
                <c:pt idx="527">
                  <c:v>-189.91142590671257</c:v>
                </c:pt>
                <c:pt idx="528">
                  <c:v>-189.92865302636682</c:v>
                </c:pt>
                <c:pt idx="529">
                  <c:v>-189.94591526193173</c:v>
                </c:pt>
                <c:pt idx="530">
                  <c:v>-189.96321228466954</c:v>
                </c:pt>
                <c:pt idx="531">
                  <c:v>-189.98054376937003</c:v>
                </c:pt>
                <c:pt idx="532">
                  <c:v>-189.99790939430423</c:v>
                </c:pt>
                <c:pt idx="533">
                  <c:v>-190.01530884117864</c:v>
                </c:pt>
                <c:pt idx="534">
                  <c:v>-190.03274179509017</c:v>
                </c:pt>
                <c:pt idx="535">
                  <c:v>-190.050207944482</c:v>
                </c:pt>
                <c:pt idx="536">
                  <c:v>-190.06770698109989</c:v>
                </c:pt>
                <c:pt idx="537">
                  <c:v>-190.08523859994912</c:v>
                </c:pt>
                <c:pt idx="538">
                  <c:v>-190.10280249925205</c:v>
                </c:pt>
                <c:pt idx="539">
                  <c:v>-190.12039838040656</c:v>
                </c:pt>
                <c:pt idx="540">
                  <c:v>-190.13802594794475</c:v>
                </c:pt>
                <c:pt idx="541">
                  <c:v>-190.15568490949272</c:v>
                </c:pt>
                <c:pt idx="542">
                  <c:v>-190.17337497573018</c:v>
                </c:pt>
                <c:pt idx="543">
                  <c:v>-190.1910958603516</c:v>
                </c:pt>
                <c:pt idx="544">
                  <c:v>-190.20884728002716</c:v>
                </c:pt>
                <c:pt idx="545">
                  <c:v>-190.22662895436477</c:v>
                </c:pt>
                <c:pt idx="546">
                  <c:v>-190.2444406058724</c:v>
                </c:pt>
                <c:pt idx="547">
                  <c:v>-190.2622819599209</c:v>
                </c:pt>
                <c:pt idx="548">
                  <c:v>-190.28015274470766</c:v>
                </c:pt>
                <c:pt idx="549">
                  <c:v>-190.29805269122059</c:v>
                </c:pt>
                <c:pt idx="550">
                  <c:v>-190.3159815332026</c:v>
                </c:pt>
                <c:pt idx="551">
                  <c:v>-190.33393900711675</c:v>
                </c:pt>
                <c:pt idx="552">
                  <c:v>-190.35192485211175</c:v>
                </c:pt>
                <c:pt idx="553">
                  <c:v>-190.36993880998818</c:v>
                </c:pt>
                <c:pt idx="554">
                  <c:v>-190.38798062516477</c:v>
                </c:pt>
                <c:pt idx="555">
                  <c:v>-190.40605004464581</c:v>
                </c:pt>
                <c:pt idx="556">
                  <c:v>-190.42414681798851</c:v>
                </c:pt>
                <c:pt idx="557">
                  <c:v>-190.44227069727097</c:v>
                </c:pt>
                <c:pt idx="558">
                  <c:v>-190.46042143706077</c:v>
                </c:pt>
                <c:pt idx="559">
                  <c:v>-190.47859879438377</c:v>
                </c:pt>
                <c:pt idx="560">
                  <c:v>-190.49680252869359</c:v>
                </c:pt>
                <c:pt idx="561">
                  <c:v>-190.51503240184132</c:v>
                </c:pt>
                <c:pt idx="562">
                  <c:v>-190.53328817804598</c:v>
                </c:pt>
                <c:pt idx="563">
                  <c:v>-190.55156962386485</c:v>
                </c:pt>
                <c:pt idx="564">
                  <c:v>-190.56987650816492</c:v>
                </c:pt>
                <c:pt idx="565">
                  <c:v>-190.5882086020942</c:v>
                </c:pt>
                <c:pt idx="566">
                  <c:v>-190.60656567905369</c:v>
                </c:pt>
                <c:pt idx="567">
                  <c:v>-190.62494751466966</c:v>
                </c:pt>
                <c:pt idx="568">
                  <c:v>-190.64335388676642</c:v>
                </c:pt>
                <c:pt idx="569">
                  <c:v>-190.66178457533951</c:v>
                </c:pt>
                <c:pt idx="570">
                  <c:v>-190.68023936252899</c:v>
                </c:pt>
                <c:pt idx="571">
                  <c:v>-190.69871803259335</c:v>
                </c:pt>
                <c:pt idx="572">
                  <c:v>-190.71722037188383</c:v>
                </c:pt>
                <c:pt idx="573">
                  <c:v>-190.73574616881905</c:v>
                </c:pt>
                <c:pt idx="574">
                  <c:v>-190.75429521385973</c:v>
                </c:pt>
                <c:pt idx="575">
                  <c:v>-190.77286729948432</c:v>
                </c:pt>
                <c:pt idx="576">
                  <c:v>-190.79146222016433</c:v>
                </c:pt>
                <c:pt idx="577">
                  <c:v>-190.81007977234066</c:v>
                </c:pt>
                <c:pt idx="578">
                  <c:v>-190.82871975439963</c:v>
                </c:pt>
                <c:pt idx="579">
                  <c:v>-190.84738196664975</c:v>
                </c:pt>
                <c:pt idx="580">
                  <c:v>-190.86606621129889</c:v>
                </c:pt>
                <c:pt idx="581">
                  <c:v>-190.88477229243131</c:v>
                </c:pt>
                <c:pt idx="582">
                  <c:v>-190.90350001598549</c:v>
                </c:pt>
                <c:pt idx="583">
                  <c:v>-190.92224918973196</c:v>
                </c:pt>
                <c:pt idx="584">
                  <c:v>-190.94101962325161</c:v>
                </c:pt>
                <c:pt idx="585">
                  <c:v>-190.95981112791424</c:v>
                </c:pt>
                <c:pt idx="586">
                  <c:v>-190.97862351685728</c:v>
                </c:pt>
                <c:pt idx="587">
                  <c:v>-190.99745660496521</c:v>
                </c:pt>
                <c:pt idx="588">
                  <c:v>-191.01631020884864</c:v>
                </c:pt>
                <c:pt idx="589">
                  <c:v>-191.03518414682429</c:v>
                </c:pt>
                <c:pt idx="590">
                  <c:v>-191.05407823889485</c:v>
                </c:pt>
                <c:pt idx="591">
                  <c:v>-191.07299230672919</c:v>
                </c:pt>
                <c:pt idx="592">
                  <c:v>-191.09192617364303</c:v>
                </c:pt>
                <c:pt idx="593">
                  <c:v>-191.11087966457978</c:v>
                </c:pt>
                <c:pt idx="594">
                  <c:v>-191.12985260609128</c:v>
                </c:pt>
                <c:pt idx="595">
                  <c:v>-191.14884482631953</c:v>
                </c:pt>
                <c:pt idx="596">
                  <c:v>-191.16785615497807</c:v>
                </c:pt>
                <c:pt idx="597">
                  <c:v>-191.18688642333365</c:v>
                </c:pt>
                <c:pt idx="598">
                  <c:v>-191.20593546418866</c:v>
                </c:pt>
                <c:pt idx="599">
                  <c:v>-191.22500311186306</c:v>
                </c:pt>
                <c:pt idx="600">
                  <c:v>-191.24408920217732</c:v>
                </c:pt>
                <c:pt idx="601">
                  <c:v>-191.2631935724348</c:v>
                </c:pt>
                <c:pt idx="602">
                  <c:v>-191.28231606140517</c:v>
                </c:pt>
                <c:pt idx="603">
                  <c:v>-191.30145650930743</c:v>
                </c:pt>
                <c:pt idx="604">
                  <c:v>-191.32061475779318</c:v>
                </c:pt>
                <c:pt idx="605">
                  <c:v>-191.33979064993096</c:v>
                </c:pt>
                <c:pt idx="606">
                  <c:v>-192.3179816726678</c:v>
                </c:pt>
                <c:pt idx="607">
                  <c:v>-193.32458744167829</c:v>
                </c:pt>
                <c:pt idx="608">
                  <c:v>-194.34888436104518</c:v>
                </c:pt>
                <c:pt idx="609">
                  <c:v>-195.38337326147689</c:v>
                </c:pt>
                <c:pt idx="610">
                  <c:v>-196.42260648480351</c:v>
                </c:pt>
                <c:pt idx="611">
                  <c:v>-197.46249719219756</c:v>
                </c:pt>
                <c:pt idx="612">
                  <c:v>-198.49989562216558</c:v>
                </c:pt>
                <c:pt idx="613">
                  <c:v>-199.53231961502971</c:v>
                </c:pt>
                <c:pt idx="614">
                  <c:v>-200.55777769344496</c:v>
                </c:pt>
                <c:pt idx="615">
                  <c:v>-201.57464952363998</c:v>
                </c:pt>
                <c:pt idx="616">
                  <c:v>-202.58160298680284</c:v>
                </c:pt>
                <c:pt idx="617">
                  <c:v>-203.57753520793199</c:v>
                </c:pt>
                <c:pt idx="618">
                  <c:v>-203.98890697536308</c:v>
                </c:pt>
                <c:pt idx="619">
                  <c:v>-204.39784572620778</c:v>
                </c:pt>
                <c:pt idx="620">
                  <c:v>-204.80433203164043</c:v>
                </c:pt>
                <c:pt idx="621">
                  <c:v>-205.20834763728615</c:v>
                </c:pt>
                <c:pt idx="622">
                  <c:v>-205.60987545348917</c:v>
                </c:pt>
                <c:pt idx="623">
                  <c:v>-206.00889954373801</c:v>
                </c:pt>
                <c:pt idx="624">
                  <c:v>-206.40540511145343</c:v>
                </c:pt>
                <c:pt idx="625">
                  <c:v>-206.79937848532234</c:v>
                </c:pt>
                <c:pt idx="626">
                  <c:v>-207.19080710333765</c:v>
                </c:pt>
                <c:pt idx="627">
                  <c:v>-207.5796794956895</c:v>
                </c:pt>
                <c:pt idx="628">
                  <c:v>-207.96598526663519</c:v>
                </c:pt>
                <c:pt idx="629">
                  <c:v>-208.34971507546672</c:v>
                </c:pt>
                <c:pt idx="630">
                  <c:v>-208.73086061668158</c:v>
                </c:pt>
                <c:pt idx="631">
                  <c:v>-209.10941459945391</c:v>
                </c:pt>
                <c:pt idx="632">
                  <c:v>-209.48537072649657</c:v>
                </c:pt>
                <c:pt idx="633">
                  <c:v>-209.85872367239608</c:v>
                </c:pt>
                <c:pt idx="634">
                  <c:v>-210.22946906149639</c:v>
                </c:pt>
                <c:pt idx="635">
                  <c:v>-210.59760344540459</c:v>
                </c:pt>
                <c:pt idx="636">
                  <c:v>-210.96312428018186</c:v>
                </c:pt>
                <c:pt idx="637">
                  <c:v>-211.32602990328323</c:v>
                </c:pt>
                <c:pt idx="638">
                  <c:v>-211.68631951030318</c:v>
                </c:pt>
                <c:pt idx="639">
                  <c:v>-212.04399313158009</c:v>
                </c:pt>
                <c:pt idx="640">
                  <c:v>-212.39905160871021</c:v>
                </c:pt>
                <c:pt idx="641">
                  <c:v>-212.75149657101824</c:v>
                </c:pt>
                <c:pt idx="642">
                  <c:v>-213.10133041202704</c:v>
                </c:pt>
                <c:pt idx="643">
                  <c:v>-213.44855626596873</c:v>
                </c:pt>
                <c:pt idx="644">
                  <c:v>-213.79317798437393</c:v>
                </c:pt>
                <c:pt idx="645">
                  <c:v>-214.1352001127751</c:v>
                </c:pt>
                <c:pt idx="646">
                  <c:v>-214.47462786755725</c:v>
                </c:pt>
                <c:pt idx="647">
                  <c:v>-214.81146711298516</c:v>
                </c:pt>
                <c:pt idx="648">
                  <c:v>-215.14572433843682</c:v>
                </c:pt>
                <c:pt idx="649">
                  <c:v>-215.47740663586796</c:v>
                </c:pt>
                <c:pt idx="650">
                  <c:v>-215.80652167753249</c:v>
                </c:pt>
                <c:pt idx="651">
                  <c:v>-216.13307769398031</c:v>
                </c:pt>
                <c:pt idx="652">
                  <c:v>-216.45708345235241</c:v>
                </c:pt>
                <c:pt idx="653">
                  <c:v>-216.77854823499209</c:v>
                </c:pt>
                <c:pt idx="654">
                  <c:v>-217.0974818183885</c:v>
                </c:pt>
                <c:pt idx="655">
                  <c:v>-217.41389445246722</c:v>
                </c:pt>
                <c:pt idx="656">
                  <c:v>-217.72779684024147</c:v>
                </c:pt>
                <c:pt idx="657">
                  <c:v>-218.0392001178358</c:v>
                </c:pt>
                <c:pt idx="658">
                  <c:v>-218.34811583489218</c:v>
                </c:pt>
                <c:pt idx="659">
                  <c:v>-218.65455593536817</c:v>
                </c:pt>
                <c:pt idx="660">
                  <c:v>-218.95853273873433</c:v>
                </c:pt>
                <c:pt idx="661">
                  <c:v>-219.26005892157789</c:v>
                </c:pt>
                <c:pt idx="662">
                  <c:v>-219.55914749961764</c:v>
                </c:pt>
                <c:pt idx="663">
                  <c:v>-219.85581181013464</c:v>
                </c:pt>
                <c:pt idx="664">
                  <c:v>-220.15006549482177</c:v>
                </c:pt>
                <c:pt idx="665">
                  <c:v>-220.44192248305487</c:v>
                </c:pt>
                <c:pt idx="666">
                  <c:v>-220.73139697558605</c:v>
                </c:pt>
                <c:pt idx="667">
                  <c:v>-221.01850342866064</c:v>
                </c:pt>
              </c:numCache>
            </c:numRef>
          </c:yVal>
          <c:smooth val="0"/>
          <c:extLst>
            <c:ext xmlns:c16="http://schemas.microsoft.com/office/drawing/2014/chart" uri="{C3380CC4-5D6E-409C-BE32-E72D297353CC}">
              <c16:uniqueId val="{0000000D-BED3-43CF-9D4A-81AF6A44D307}"/>
            </c:ext>
          </c:extLst>
        </c:ser>
        <c:ser>
          <c:idx val="1"/>
          <c:order val="8"/>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BED3-43CF-9D4A-81AF6A44D307}"/>
              </c:ext>
            </c:extLst>
          </c:dPt>
          <c:xVal>
            <c:numRef>
              <c:f>'Bode Plots Calculations'!$B$690:$B$691</c:f>
              <c:numCache>
                <c:formatCode>General</c:formatCode>
                <c:ptCount val="2"/>
                <c:pt idx="0">
                  <c:v>40</c:v>
                </c:pt>
                <c:pt idx="1">
                  <c:v>40</c:v>
                </c:pt>
              </c:numCache>
            </c:numRef>
          </c:xVal>
          <c:yVal>
            <c:numRef>
              <c:f>'Bode Plots Calculations'!$BG$690:$BG$691</c:f>
              <c:numCache>
                <c:formatCode>General</c:formatCode>
                <c:ptCount val="2"/>
                <c:pt idx="0">
                  <c:v>-119.78243277488561</c:v>
                </c:pt>
                <c:pt idx="1">
                  <c:v>-90</c:v>
                </c:pt>
              </c:numCache>
            </c:numRef>
          </c:yVal>
          <c:smooth val="0"/>
          <c:extLst>
            <c:ext xmlns:c16="http://schemas.microsoft.com/office/drawing/2014/chart" uri="{C3380CC4-5D6E-409C-BE32-E72D297353CC}">
              <c16:uniqueId val="{0000000F-BED3-43CF-9D4A-81AF6A44D307}"/>
            </c:ext>
          </c:extLst>
        </c:ser>
        <c:ser>
          <c:idx val="0"/>
          <c:order val="9"/>
          <c:tx>
            <c:v>Fc2</c:v>
          </c:tx>
          <c:spPr>
            <a:ln w="25400">
              <a:solidFill>
                <a:schemeClr val="tx1">
                  <a:lumMod val="50000"/>
                  <a:lumOff val="50000"/>
                </a:schemeClr>
              </a:solidFill>
              <a:prstDash val="sysDash"/>
            </a:ln>
          </c:spPr>
          <c:marker>
            <c:symbol val="none"/>
          </c:marker>
          <c:xVal>
            <c:numRef>
              <c:f>'Bode Plots Calculations'!$B$688:$B$689</c:f>
              <c:numCache>
                <c:formatCode>General</c:formatCode>
                <c:ptCount val="2"/>
                <c:pt idx="0">
                  <c:v>40</c:v>
                </c:pt>
                <c:pt idx="1">
                  <c:v>1000</c:v>
                </c:pt>
              </c:numCache>
            </c:numRef>
          </c:xVal>
          <c:yVal>
            <c:numRef>
              <c:f>'Bode Plots Calculations'!$BG$688:$BG$689</c:f>
              <c:numCache>
                <c:formatCode>General</c:formatCode>
                <c:ptCount val="2"/>
                <c:pt idx="0">
                  <c:v>-119.78243277488561</c:v>
                </c:pt>
                <c:pt idx="1">
                  <c:v>-119.78243277488561</c:v>
                </c:pt>
              </c:numCache>
            </c:numRef>
          </c:yVal>
          <c:smooth val="0"/>
          <c:extLst>
            <c:ext xmlns:c16="http://schemas.microsoft.com/office/drawing/2014/chart" uri="{C3380CC4-5D6E-409C-BE32-E72D297353CC}">
              <c16:uniqueId val="{00000010-BED3-43CF-9D4A-81AF6A44D307}"/>
            </c:ext>
          </c:extLst>
        </c:ser>
        <c:dLbls>
          <c:showLegendKey val="0"/>
          <c:showVal val="0"/>
          <c:showCatName val="0"/>
          <c:showSerName val="0"/>
          <c:showPercent val="0"/>
          <c:showBubbleSize val="0"/>
        </c:dLbls>
        <c:axId val="330383744"/>
        <c:axId val="330385280"/>
      </c:scatterChart>
      <c:valAx>
        <c:axId val="315151872"/>
        <c:scaling>
          <c:logBase val="10"/>
          <c:orientation val="minMax"/>
          <c:max val="1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(kHz)</a:t>
                </a:r>
              </a:p>
            </c:rich>
          </c:tx>
          <c:layout>
            <c:manualLayout>
              <c:xMode val="edge"/>
              <c:yMode val="edge"/>
              <c:x val="0.43129335085799175"/>
              <c:y val="0.92232197841820085"/>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15545856"/>
        <c:crossesAt val="-80"/>
        <c:crossBetween val="midCat"/>
      </c:valAx>
      <c:valAx>
        <c:axId val="315545856"/>
        <c:scaling>
          <c:orientation val="minMax"/>
          <c:max val="4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2.0807805833455456E-2"/>
              <c:y val="0.3954268675117710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15151872"/>
        <c:crossesAt val="1"/>
        <c:crossBetween val="midCat"/>
        <c:majorUnit val="10"/>
      </c:valAx>
      <c:valAx>
        <c:axId val="330383744"/>
        <c:scaling>
          <c:logBase val="10"/>
          <c:orientation val="minMax"/>
        </c:scaling>
        <c:delete val="1"/>
        <c:axPos val="b"/>
        <c:numFmt formatCode="General" sourceLinked="1"/>
        <c:majorTickMark val="out"/>
        <c:minorTickMark val="none"/>
        <c:tickLblPos val="none"/>
        <c:crossAx val="330385280"/>
        <c:crosses val="autoZero"/>
        <c:crossBetween val="midCat"/>
      </c:valAx>
      <c:valAx>
        <c:axId val="330385280"/>
        <c:scaling>
          <c:orientation val="minMax"/>
          <c:max val="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Phase  (°)</a:t>
                </a:r>
              </a:p>
            </c:rich>
          </c:tx>
          <c:layout>
            <c:manualLayout>
              <c:xMode val="edge"/>
              <c:yMode val="edge"/>
              <c:x val="0.96352677492317973"/>
              <c:y val="0.39364244498015538"/>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0383744"/>
        <c:crosses val="max"/>
        <c:crossBetween val="midCat"/>
        <c:majorUnit val="45"/>
      </c:valAx>
      <c:spPr>
        <a:noFill/>
        <a:ln w="12700">
          <a:solidFill>
            <a:srgbClr val="808080"/>
          </a:solidFill>
          <a:prstDash val="solid"/>
        </a:ln>
      </c:spPr>
    </c:plotArea>
    <c:legend>
      <c:legendPos val="r"/>
      <c:legendEntry>
        <c:idx val="0"/>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8"/>
        <c:delete val="1"/>
      </c:legendEntry>
      <c:legendEntry>
        <c:idx val="9"/>
        <c:delete val="1"/>
      </c:legendEntry>
      <c:layout>
        <c:manualLayout>
          <c:xMode val="edge"/>
          <c:yMode val="edge"/>
          <c:x val="0.295216671637685"/>
          <c:y val="0"/>
          <c:w val="0.59720240253255119"/>
          <c:h val="9.9098873083628289E-2"/>
        </c:manualLayout>
      </c:layout>
      <c:overlay val="0"/>
      <c:spPr>
        <a:noFill/>
        <a:ln w="25400">
          <a:noFill/>
        </a:ln>
      </c:spPr>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22" r="0.75000000000000622"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pitchFamily="34" charset="0"/>
                <a:ea typeface="Calibri"/>
                <a:cs typeface="Arial" pitchFamily="34" charset="0"/>
              </a:defRPr>
            </a:pPr>
            <a:r>
              <a:rPr lang="en-US" sz="1800" b="1" i="0" baseline="0">
                <a:effectLst/>
                <a:sym typeface="Symbol"/>
              </a:rPr>
              <a:t></a:t>
            </a:r>
            <a:r>
              <a:rPr lang="en-US" sz="1800" b="1" i="0" baseline="0">
                <a:effectLst/>
              </a:rPr>
              <a:t>, V</a:t>
            </a:r>
            <a:r>
              <a:rPr lang="en-US" sz="1800" b="1" i="0" baseline="-25000">
                <a:effectLst/>
              </a:rPr>
              <a:t>IN</a:t>
            </a:r>
            <a:r>
              <a:rPr lang="en-US" sz="1800" b="1" i="0" baseline="0">
                <a:effectLst/>
              </a:rPr>
              <a:t> = V</a:t>
            </a:r>
            <a:r>
              <a:rPr lang="en-US" sz="1800" b="1" i="0" baseline="-25000">
                <a:effectLst/>
              </a:rPr>
              <a:t>IN(nom)</a:t>
            </a:r>
            <a:endParaRPr lang="en-US">
              <a:effectLst/>
            </a:endParaRPr>
          </a:p>
        </c:rich>
      </c:tx>
      <c:layout>
        <c:manualLayout>
          <c:xMode val="edge"/>
          <c:yMode val="edge"/>
          <c:x val="8.2586704916618195E-2"/>
          <c:y val="1.8363289746112718E-2"/>
        </c:manualLayout>
      </c:layout>
      <c:overlay val="0"/>
      <c:spPr>
        <a:noFill/>
        <a:ln w="25400">
          <a:noFill/>
        </a:ln>
      </c:spPr>
    </c:title>
    <c:autoTitleDeleted val="0"/>
    <c:plotArea>
      <c:layout>
        <c:manualLayout>
          <c:layoutTarget val="inner"/>
          <c:xMode val="edge"/>
          <c:yMode val="edge"/>
          <c:x val="7.6761884085804283E-2"/>
          <c:y val="0.12133523343001466"/>
          <c:w val="0.82579990228506128"/>
          <c:h val="0.7558980268938309"/>
        </c:manualLayout>
      </c:layout>
      <c:lineChart>
        <c:grouping val="standard"/>
        <c:varyColors val="0"/>
        <c:ser>
          <c:idx val="0"/>
          <c:order val="0"/>
          <c:tx>
            <c:v>Efficiency</c:v>
          </c:tx>
          <c:spPr>
            <a:ln w="38100">
              <a:solidFill>
                <a:srgbClr val="FF0000"/>
              </a:solidFill>
              <a:prstDash val="solid"/>
            </a:ln>
          </c:spPr>
          <c:marker>
            <c:symbol val="none"/>
          </c:marker>
          <c:cat>
            <c:numRef>
              <c:f>'Power Calculations'!$H$9:$H$209</c:f>
              <c:numCache>
                <c:formatCode>General</c:formatCode>
                <c:ptCount val="201"/>
                <c:pt idx="0">
                  <c:v>0</c:v>
                </c:pt>
                <c:pt idx="1">
                  <c:v>7.4999999999999997E-2</c:v>
                </c:pt>
                <c:pt idx="2">
                  <c:v>0.15</c:v>
                </c:pt>
                <c:pt idx="3">
                  <c:v>0.22499999999999998</c:v>
                </c:pt>
                <c:pt idx="4">
                  <c:v>0.3</c:v>
                </c:pt>
                <c:pt idx="5">
                  <c:v>0.375</c:v>
                </c:pt>
                <c:pt idx="6">
                  <c:v>0.44999999999999996</c:v>
                </c:pt>
                <c:pt idx="7">
                  <c:v>0.52500000000000002</c:v>
                </c:pt>
                <c:pt idx="8">
                  <c:v>0.6</c:v>
                </c:pt>
                <c:pt idx="9">
                  <c:v>0.67499999999999993</c:v>
                </c:pt>
                <c:pt idx="10">
                  <c:v>0.75</c:v>
                </c:pt>
                <c:pt idx="11">
                  <c:v>0.82499999999999996</c:v>
                </c:pt>
                <c:pt idx="12">
                  <c:v>0.89999999999999991</c:v>
                </c:pt>
                <c:pt idx="13">
                  <c:v>0.97500000000000009</c:v>
                </c:pt>
                <c:pt idx="14">
                  <c:v>1.05</c:v>
                </c:pt>
                <c:pt idx="15">
                  <c:v>1.125</c:v>
                </c:pt>
                <c:pt idx="16">
                  <c:v>1.2</c:v>
                </c:pt>
                <c:pt idx="17">
                  <c:v>1.2750000000000001</c:v>
                </c:pt>
                <c:pt idx="18">
                  <c:v>1.3499999999999999</c:v>
                </c:pt>
                <c:pt idx="19">
                  <c:v>1.425</c:v>
                </c:pt>
                <c:pt idx="20">
                  <c:v>1.5</c:v>
                </c:pt>
                <c:pt idx="21">
                  <c:v>1.575</c:v>
                </c:pt>
                <c:pt idx="22">
                  <c:v>1.65</c:v>
                </c:pt>
                <c:pt idx="23">
                  <c:v>1.7250000000000001</c:v>
                </c:pt>
                <c:pt idx="24">
                  <c:v>1.7999999999999998</c:v>
                </c:pt>
                <c:pt idx="25">
                  <c:v>1.875</c:v>
                </c:pt>
                <c:pt idx="26">
                  <c:v>1.9500000000000002</c:v>
                </c:pt>
                <c:pt idx="27">
                  <c:v>2.0250000000000004</c:v>
                </c:pt>
                <c:pt idx="28">
                  <c:v>2.1</c:v>
                </c:pt>
                <c:pt idx="29">
                  <c:v>2.1749999999999998</c:v>
                </c:pt>
                <c:pt idx="30">
                  <c:v>2.25</c:v>
                </c:pt>
                <c:pt idx="31">
                  <c:v>2.3250000000000002</c:v>
                </c:pt>
                <c:pt idx="32">
                  <c:v>2.4</c:v>
                </c:pt>
                <c:pt idx="33">
                  <c:v>2.4750000000000001</c:v>
                </c:pt>
                <c:pt idx="34">
                  <c:v>2.5500000000000003</c:v>
                </c:pt>
                <c:pt idx="35">
                  <c:v>2.625</c:v>
                </c:pt>
                <c:pt idx="36">
                  <c:v>2.6999999999999997</c:v>
                </c:pt>
                <c:pt idx="37">
                  <c:v>2.7749999999999999</c:v>
                </c:pt>
                <c:pt idx="38">
                  <c:v>2.85</c:v>
                </c:pt>
                <c:pt idx="39">
                  <c:v>2.9250000000000003</c:v>
                </c:pt>
                <c:pt idx="40">
                  <c:v>3</c:v>
                </c:pt>
                <c:pt idx="41">
                  <c:v>3.0749999999999997</c:v>
                </c:pt>
                <c:pt idx="42">
                  <c:v>3.15</c:v>
                </c:pt>
                <c:pt idx="43">
                  <c:v>3.2250000000000001</c:v>
                </c:pt>
                <c:pt idx="44">
                  <c:v>3.3</c:v>
                </c:pt>
                <c:pt idx="45">
                  <c:v>3.375</c:v>
                </c:pt>
                <c:pt idx="46">
                  <c:v>3.45</c:v>
                </c:pt>
                <c:pt idx="47">
                  <c:v>3.5249999999999999</c:v>
                </c:pt>
                <c:pt idx="48">
                  <c:v>3.5999999999999996</c:v>
                </c:pt>
                <c:pt idx="49">
                  <c:v>3.6749999999999998</c:v>
                </c:pt>
                <c:pt idx="50">
                  <c:v>3.75</c:v>
                </c:pt>
                <c:pt idx="51">
                  <c:v>3.8250000000000002</c:v>
                </c:pt>
                <c:pt idx="52">
                  <c:v>3.9000000000000004</c:v>
                </c:pt>
                <c:pt idx="53">
                  <c:v>3.9750000000000001</c:v>
                </c:pt>
                <c:pt idx="54">
                  <c:v>4.0500000000000007</c:v>
                </c:pt>
                <c:pt idx="55">
                  <c:v>4.125</c:v>
                </c:pt>
                <c:pt idx="56">
                  <c:v>4.2</c:v>
                </c:pt>
                <c:pt idx="57">
                  <c:v>4.2749999999999995</c:v>
                </c:pt>
                <c:pt idx="58">
                  <c:v>4.3499999999999996</c:v>
                </c:pt>
                <c:pt idx="59">
                  <c:v>4.4249999999999998</c:v>
                </c:pt>
                <c:pt idx="60">
                  <c:v>4.5</c:v>
                </c:pt>
                <c:pt idx="61">
                  <c:v>4.5750000000000002</c:v>
                </c:pt>
                <c:pt idx="62">
                  <c:v>4.6500000000000004</c:v>
                </c:pt>
                <c:pt idx="63">
                  <c:v>4.7249999999999996</c:v>
                </c:pt>
                <c:pt idx="64">
                  <c:v>4.8</c:v>
                </c:pt>
                <c:pt idx="65">
                  <c:v>4.875</c:v>
                </c:pt>
                <c:pt idx="66">
                  <c:v>4.95</c:v>
                </c:pt>
                <c:pt idx="67">
                  <c:v>5.0250000000000004</c:v>
                </c:pt>
                <c:pt idx="68">
                  <c:v>5.1000000000000005</c:v>
                </c:pt>
                <c:pt idx="69">
                  <c:v>5.1749999999999998</c:v>
                </c:pt>
                <c:pt idx="70">
                  <c:v>5.25</c:v>
                </c:pt>
                <c:pt idx="71">
                  <c:v>5.3249999999999993</c:v>
                </c:pt>
                <c:pt idx="72">
                  <c:v>5.3999999999999995</c:v>
                </c:pt>
                <c:pt idx="73">
                  <c:v>5.4749999999999996</c:v>
                </c:pt>
                <c:pt idx="74">
                  <c:v>5.55</c:v>
                </c:pt>
                <c:pt idx="75">
                  <c:v>5.625</c:v>
                </c:pt>
                <c:pt idx="76">
                  <c:v>5.7</c:v>
                </c:pt>
                <c:pt idx="77">
                  <c:v>5.7750000000000004</c:v>
                </c:pt>
                <c:pt idx="78">
                  <c:v>5.8500000000000005</c:v>
                </c:pt>
                <c:pt idx="79">
                  <c:v>5.9250000000000007</c:v>
                </c:pt>
                <c:pt idx="80">
                  <c:v>6</c:v>
                </c:pt>
                <c:pt idx="81">
                  <c:v>6.0750000000000002</c:v>
                </c:pt>
                <c:pt idx="82">
                  <c:v>6.1499999999999995</c:v>
                </c:pt>
                <c:pt idx="83">
                  <c:v>6.2249999999999996</c:v>
                </c:pt>
                <c:pt idx="84">
                  <c:v>6.3</c:v>
                </c:pt>
                <c:pt idx="85">
                  <c:v>6.375</c:v>
                </c:pt>
                <c:pt idx="86">
                  <c:v>6.45</c:v>
                </c:pt>
                <c:pt idx="87">
                  <c:v>6.5250000000000004</c:v>
                </c:pt>
                <c:pt idx="88">
                  <c:v>6.6</c:v>
                </c:pt>
                <c:pt idx="89">
                  <c:v>6.6749999999999998</c:v>
                </c:pt>
                <c:pt idx="90">
                  <c:v>6.75</c:v>
                </c:pt>
                <c:pt idx="91">
                  <c:v>6.8250000000000002</c:v>
                </c:pt>
                <c:pt idx="92">
                  <c:v>6.9</c:v>
                </c:pt>
                <c:pt idx="93">
                  <c:v>6.9750000000000005</c:v>
                </c:pt>
                <c:pt idx="94">
                  <c:v>7.05</c:v>
                </c:pt>
                <c:pt idx="95">
                  <c:v>7.125</c:v>
                </c:pt>
                <c:pt idx="96">
                  <c:v>7.1999999999999993</c:v>
                </c:pt>
                <c:pt idx="97">
                  <c:v>7.2749999999999995</c:v>
                </c:pt>
                <c:pt idx="98">
                  <c:v>7.35</c:v>
                </c:pt>
                <c:pt idx="99">
                  <c:v>7.4249999999999998</c:v>
                </c:pt>
                <c:pt idx="100">
                  <c:v>7.5</c:v>
                </c:pt>
                <c:pt idx="101">
                  <c:v>7.5750000000000002</c:v>
                </c:pt>
                <c:pt idx="102">
                  <c:v>7.65</c:v>
                </c:pt>
                <c:pt idx="103">
                  <c:v>7.7250000000000005</c:v>
                </c:pt>
                <c:pt idx="104">
                  <c:v>7.8000000000000007</c:v>
                </c:pt>
                <c:pt idx="105">
                  <c:v>7.875</c:v>
                </c:pt>
                <c:pt idx="106">
                  <c:v>7.95</c:v>
                </c:pt>
                <c:pt idx="107">
                  <c:v>8.0250000000000004</c:v>
                </c:pt>
                <c:pt idx="108">
                  <c:v>8.1000000000000014</c:v>
                </c:pt>
                <c:pt idx="109">
                  <c:v>8.1750000000000007</c:v>
                </c:pt>
                <c:pt idx="110">
                  <c:v>8.25</c:v>
                </c:pt>
                <c:pt idx="111">
                  <c:v>8.3250000000000011</c:v>
                </c:pt>
                <c:pt idx="112">
                  <c:v>8.4</c:v>
                </c:pt>
                <c:pt idx="113">
                  <c:v>8.4749999999999996</c:v>
                </c:pt>
                <c:pt idx="114">
                  <c:v>8.5499999999999989</c:v>
                </c:pt>
                <c:pt idx="115">
                  <c:v>8.625</c:v>
                </c:pt>
                <c:pt idx="116">
                  <c:v>8.6999999999999993</c:v>
                </c:pt>
                <c:pt idx="117">
                  <c:v>8.7749999999999986</c:v>
                </c:pt>
                <c:pt idx="118">
                  <c:v>8.85</c:v>
                </c:pt>
                <c:pt idx="119">
                  <c:v>8.9249999999999989</c:v>
                </c:pt>
                <c:pt idx="120">
                  <c:v>9</c:v>
                </c:pt>
                <c:pt idx="121">
                  <c:v>9.0749999999999993</c:v>
                </c:pt>
                <c:pt idx="122">
                  <c:v>9.15</c:v>
                </c:pt>
                <c:pt idx="123">
                  <c:v>9.2249999999999996</c:v>
                </c:pt>
                <c:pt idx="124">
                  <c:v>9.3000000000000007</c:v>
                </c:pt>
                <c:pt idx="125">
                  <c:v>9.375</c:v>
                </c:pt>
                <c:pt idx="126">
                  <c:v>9.4499999999999993</c:v>
                </c:pt>
                <c:pt idx="127">
                  <c:v>9.5250000000000004</c:v>
                </c:pt>
                <c:pt idx="128">
                  <c:v>9.6</c:v>
                </c:pt>
                <c:pt idx="129">
                  <c:v>9.6750000000000007</c:v>
                </c:pt>
                <c:pt idx="130">
                  <c:v>9.75</c:v>
                </c:pt>
                <c:pt idx="131">
                  <c:v>9.8250000000000011</c:v>
                </c:pt>
                <c:pt idx="132">
                  <c:v>9.9</c:v>
                </c:pt>
                <c:pt idx="133">
                  <c:v>9.9750000000000014</c:v>
                </c:pt>
                <c:pt idx="134">
                  <c:v>10.050000000000001</c:v>
                </c:pt>
                <c:pt idx="135">
                  <c:v>10.125</c:v>
                </c:pt>
                <c:pt idx="136">
                  <c:v>10.200000000000001</c:v>
                </c:pt>
                <c:pt idx="137">
                  <c:v>10.275</c:v>
                </c:pt>
                <c:pt idx="138">
                  <c:v>10.35</c:v>
                </c:pt>
                <c:pt idx="139">
                  <c:v>10.424999999999999</c:v>
                </c:pt>
                <c:pt idx="140">
                  <c:v>10.5</c:v>
                </c:pt>
                <c:pt idx="141">
                  <c:v>10.574999999999999</c:v>
                </c:pt>
                <c:pt idx="142">
                  <c:v>10.649999999999999</c:v>
                </c:pt>
                <c:pt idx="143">
                  <c:v>10.725</c:v>
                </c:pt>
                <c:pt idx="144">
                  <c:v>10.799999999999999</c:v>
                </c:pt>
                <c:pt idx="145">
                  <c:v>10.875</c:v>
                </c:pt>
                <c:pt idx="146">
                  <c:v>10.95</c:v>
                </c:pt>
                <c:pt idx="147">
                  <c:v>11.025</c:v>
                </c:pt>
                <c:pt idx="148">
                  <c:v>11.1</c:v>
                </c:pt>
                <c:pt idx="149">
                  <c:v>11.175000000000001</c:v>
                </c:pt>
                <c:pt idx="150">
                  <c:v>11.25</c:v>
                </c:pt>
                <c:pt idx="151">
                  <c:v>11.324999999999999</c:v>
                </c:pt>
                <c:pt idx="152">
                  <c:v>11.4</c:v>
                </c:pt>
                <c:pt idx="153">
                  <c:v>11.475</c:v>
                </c:pt>
                <c:pt idx="154">
                  <c:v>11.55</c:v>
                </c:pt>
                <c:pt idx="155">
                  <c:v>11.625</c:v>
                </c:pt>
                <c:pt idx="156">
                  <c:v>11.700000000000001</c:v>
                </c:pt>
                <c:pt idx="157">
                  <c:v>11.775</c:v>
                </c:pt>
                <c:pt idx="158">
                  <c:v>11.850000000000001</c:v>
                </c:pt>
                <c:pt idx="159">
                  <c:v>11.925000000000001</c:v>
                </c:pt>
                <c:pt idx="160">
                  <c:v>12</c:v>
                </c:pt>
                <c:pt idx="161">
                  <c:v>12.075000000000001</c:v>
                </c:pt>
                <c:pt idx="162">
                  <c:v>12.15</c:v>
                </c:pt>
                <c:pt idx="163">
                  <c:v>12.225</c:v>
                </c:pt>
                <c:pt idx="164">
                  <c:v>12.299999999999999</c:v>
                </c:pt>
                <c:pt idx="165">
                  <c:v>12.375</c:v>
                </c:pt>
                <c:pt idx="166">
                  <c:v>12.45</c:v>
                </c:pt>
                <c:pt idx="167">
                  <c:v>12.524999999999999</c:v>
                </c:pt>
                <c:pt idx="168">
                  <c:v>12.6</c:v>
                </c:pt>
                <c:pt idx="169">
                  <c:v>12.674999999999999</c:v>
                </c:pt>
                <c:pt idx="170">
                  <c:v>12.75</c:v>
                </c:pt>
                <c:pt idx="171">
                  <c:v>12.824999999999999</c:v>
                </c:pt>
                <c:pt idx="172">
                  <c:v>12.9</c:v>
                </c:pt>
                <c:pt idx="173">
                  <c:v>12.975</c:v>
                </c:pt>
                <c:pt idx="174">
                  <c:v>13.05</c:v>
                </c:pt>
                <c:pt idx="175">
                  <c:v>13.125</c:v>
                </c:pt>
                <c:pt idx="176">
                  <c:v>13.2</c:v>
                </c:pt>
                <c:pt idx="177">
                  <c:v>13.275</c:v>
                </c:pt>
                <c:pt idx="178">
                  <c:v>13.35</c:v>
                </c:pt>
                <c:pt idx="179">
                  <c:v>13.425000000000001</c:v>
                </c:pt>
                <c:pt idx="180">
                  <c:v>13.5</c:v>
                </c:pt>
                <c:pt idx="181">
                  <c:v>13.575000000000001</c:v>
                </c:pt>
                <c:pt idx="182">
                  <c:v>13.65</c:v>
                </c:pt>
                <c:pt idx="183">
                  <c:v>13.725000000000001</c:v>
                </c:pt>
                <c:pt idx="184">
                  <c:v>13.8</c:v>
                </c:pt>
                <c:pt idx="185">
                  <c:v>13.875</c:v>
                </c:pt>
                <c:pt idx="186">
                  <c:v>13.950000000000001</c:v>
                </c:pt>
                <c:pt idx="187">
                  <c:v>14.025</c:v>
                </c:pt>
                <c:pt idx="188">
                  <c:v>14.1</c:v>
                </c:pt>
                <c:pt idx="189">
                  <c:v>14.174999999999999</c:v>
                </c:pt>
                <c:pt idx="190">
                  <c:v>14.25</c:v>
                </c:pt>
                <c:pt idx="191">
                  <c:v>14.324999999999999</c:v>
                </c:pt>
                <c:pt idx="192">
                  <c:v>14.399999999999999</c:v>
                </c:pt>
                <c:pt idx="193">
                  <c:v>14.475</c:v>
                </c:pt>
                <c:pt idx="194">
                  <c:v>14.549999999999999</c:v>
                </c:pt>
                <c:pt idx="195">
                  <c:v>14.625</c:v>
                </c:pt>
                <c:pt idx="196">
                  <c:v>14.7</c:v>
                </c:pt>
                <c:pt idx="197">
                  <c:v>14.775</c:v>
                </c:pt>
                <c:pt idx="198">
                  <c:v>14.85</c:v>
                </c:pt>
                <c:pt idx="199">
                  <c:v>14.925000000000001</c:v>
                </c:pt>
                <c:pt idx="200">
                  <c:v>15</c:v>
                </c:pt>
              </c:numCache>
            </c:numRef>
          </c:cat>
          <c:val>
            <c:numRef>
              <c:f>'Power Calculations'!$AU$9:$AU$209</c:f>
              <c:numCache>
                <c:formatCode>General</c:formatCode>
                <c:ptCount val="201"/>
                <c:pt idx="0">
                  <c:v>0</c:v>
                </c:pt>
                <c:pt idx="1">
                  <c:v>39.473514059089375</c:v>
                </c:pt>
                <c:pt idx="2">
                  <c:v>56.567967963317102</c:v>
                </c:pt>
                <c:pt idx="3">
                  <c:v>66.098928398079664</c:v>
                </c:pt>
                <c:pt idx="4">
                  <c:v>72.168425717577449</c:v>
                </c:pt>
                <c:pt idx="5">
                  <c:v>76.366349022158744</c:v>
                </c:pt>
                <c:pt idx="6">
                  <c:v>79.438195135242012</c:v>
                </c:pt>
                <c:pt idx="7">
                  <c:v>81.779934113571812</c:v>
                </c:pt>
                <c:pt idx="8">
                  <c:v>83.621362107548819</c:v>
                </c:pt>
                <c:pt idx="9">
                  <c:v>85.10499486322027</c:v>
                </c:pt>
                <c:pt idx="10">
                  <c:v>86.323911953347462</c:v>
                </c:pt>
                <c:pt idx="11">
                  <c:v>87.341481485973816</c:v>
                </c:pt>
                <c:pt idx="12">
                  <c:v>88.202338704319715</c:v>
                </c:pt>
                <c:pt idx="13">
                  <c:v>88.938831575215204</c:v>
                </c:pt>
                <c:pt idx="14">
                  <c:v>89.574976376274634</c:v>
                </c:pt>
                <c:pt idx="15">
                  <c:v>90.128977631030054</c:v>
                </c:pt>
                <c:pt idx="16">
                  <c:v>90.614885619948438</c:v>
                </c:pt>
                <c:pt idx="17">
                  <c:v>91.043717234703351</c:v>
                </c:pt>
                <c:pt idx="18">
                  <c:v>91.424232510688768</c:v>
                </c:pt>
                <c:pt idx="19">
                  <c:v>91.763484230481794</c:v>
                </c:pt>
                <c:pt idx="20">
                  <c:v>92.067214373924415</c:v>
                </c:pt>
                <c:pt idx="21">
                  <c:v>92.340144995855283</c:v>
                </c:pt>
                <c:pt idx="22">
                  <c:v>92.545242927996213</c:v>
                </c:pt>
                <c:pt idx="23">
                  <c:v>92.659462741746481</c:v>
                </c:pt>
                <c:pt idx="24">
                  <c:v>92.767472313546605</c:v>
                </c:pt>
                <c:pt idx="25">
                  <c:v>92.870000955501482</c:v>
                </c:pt>
                <c:pt idx="26">
                  <c:v>92.967668394123137</c:v>
                </c:pt>
                <c:pt idx="27">
                  <c:v>93.061004759747235</c:v>
                </c:pt>
                <c:pt idx="28">
                  <c:v>93.150466356491336</c:v>
                </c:pt>
                <c:pt idx="29">
                  <c:v>93.236448216676919</c:v>
                </c:pt>
                <c:pt idx="30">
                  <c:v>93.335245881833202</c:v>
                </c:pt>
                <c:pt idx="31">
                  <c:v>93.444748883615517</c:v>
                </c:pt>
                <c:pt idx="32">
                  <c:v>93.545051464885233</c:v>
                </c:pt>
                <c:pt idx="33">
                  <c:v>93.636941058781034</c:v>
                </c:pt>
                <c:pt idx="34">
                  <c:v>93.721116162666291</c:v>
                </c:pt>
                <c:pt idx="35">
                  <c:v>93.798198488285863</c:v>
                </c:pt>
                <c:pt idx="36">
                  <c:v>93.868743171852856</c:v>
                </c:pt>
                <c:pt idx="37">
                  <c:v>93.933247396056871</c:v>
                </c:pt>
                <c:pt idx="38">
                  <c:v>93.992157704841588</c:v>
                </c:pt>
                <c:pt idx="39">
                  <c:v>94.045876236434154</c:v>
                </c:pt>
                <c:pt idx="40">
                  <c:v>94.094766056726513</c:v>
                </c:pt>
                <c:pt idx="41">
                  <c:v>94.139155740896655</c:v>
                </c:pt>
                <c:pt idx="42">
                  <c:v>94.17934332400965</c:v>
                </c:pt>
                <c:pt idx="43">
                  <c:v>94.215599719672198</c:v>
                </c:pt>
                <c:pt idx="44">
                  <c:v>94.248171688424677</c:v>
                </c:pt>
                <c:pt idx="45">
                  <c:v>94.277284423526524</c:v>
                </c:pt>
                <c:pt idx="46">
                  <c:v>94.303143810414312</c:v>
                </c:pt>
                <c:pt idx="47">
                  <c:v>94.325938406844628</c:v>
                </c:pt>
                <c:pt idx="48">
                  <c:v>94.345841183147357</c:v>
                </c:pt>
                <c:pt idx="49">
                  <c:v>94.363011055779438</c:v>
                </c:pt>
                <c:pt idx="50">
                  <c:v>94.377594242220525</c:v>
                </c:pt>
                <c:pt idx="51">
                  <c:v>94.389725460986085</c:v>
                </c:pt>
                <c:pt idx="52">
                  <c:v>94.399528996982127</c:v>
                </c:pt>
                <c:pt idx="53">
                  <c:v>94.407119649462118</c:v>
                </c:pt>
                <c:pt idx="54">
                  <c:v>94.412603577360699</c:v>
                </c:pt>
                <c:pt idx="55">
                  <c:v>94.4160790546904</c:v>
                </c:pt>
                <c:pt idx="56">
                  <c:v>94.417637146923994</c:v>
                </c:pt>
                <c:pt idx="57">
                  <c:v>94.417362317792595</c:v>
                </c:pt>
                <c:pt idx="58">
                  <c:v>94.41533297466404</c:v>
                </c:pt>
                <c:pt idx="59">
                  <c:v>94.411621959586356</c:v>
                </c:pt>
                <c:pt idx="60">
                  <c:v>94.406296992160378</c:v>
                </c:pt>
                <c:pt idx="61">
                  <c:v>94.399421069617645</c:v>
                </c:pt>
                <c:pt idx="62">
                  <c:v>94.391052828801847</c:v>
                </c:pt>
                <c:pt idx="63">
                  <c:v>94.38124687416996</c:v>
                </c:pt>
                <c:pt idx="64">
                  <c:v>94.37005407542641</c:v>
                </c:pt>
                <c:pt idx="65">
                  <c:v>94.35752183796852</c:v>
                </c:pt>
                <c:pt idx="66">
                  <c:v>94.343694348945078</c:v>
                </c:pt>
                <c:pt idx="67">
                  <c:v>94.328612801401661</c:v>
                </c:pt>
                <c:pt idx="68">
                  <c:v>94.312315598701815</c:v>
                </c:pt>
                <c:pt idx="69">
                  <c:v>94.294838541163912</c:v>
                </c:pt>
                <c:pt idx="70">
                  <c:v>94.276214996636014</c:v>
                </c:pt>
                <c:pt idx="71">
                  <c:v>94.256476056540421</c:v>
                </c:pt>
                <c:pt idx="72">
                  <c:v>94.235650678752165</c:v>
                </c:pt>
                <c:pt idx="73">
                  <c:v>94.2137658185286</c:v>
                </c:pt>
                <c:pt idx="74">
                  <c:v>94.190846548576914</c:v>
                </c:pt>
                <c:pt idx="75">
                  <c:v>94.166916169232763</c:v>
                </c:pt>
                <c:pt idx="76">
                  <c:v>94.141996309621007</c:v>
                </c:pt>
                <c:pt idx="77">
                  <c:v>94.116107020580202</c:v>
                </c:pt>
                <c:pt idx="78">
                  <c:v>94.089266860052888</c:v>
                </c:pt>
                <c:pt idx="79">
                  <c:v>94.061492971572164</c:v>
                </c:pt>
                <c:pt idx="80">
                  <c:v>94.032801156413115</c:v>
                </c:pt>
                <c:pt idx="81">
                  <c:v>94.003205939920122</c:v>
                </c:pt>
                <c:pt idx="82">
                  <c:v>93.972720632471649</c:v>
                </c:pt>
                <c:pt idx="83">
                  <c:v>93.941357385498378</c:v>
                </c:pt>
                <c:pt idx="84">
                  <c:v>93.909127242930936</c:v>
                </c:pt>
                <c:pt idx="85">
                  <c:v>93.876040188416368</c:v>
                </c:pt>
                <c:pt idx="86">
                  <c:v>93.842105188610418</c:v>
                </c:pt>
                <c:pt idx="87">
                  <c:v>93.807330232822935</c:v>
                </c:pt>
                <c:pt idx="88">
                  <c:v>93.771722369267493</c:v>
                </c:pt>
                <c:pt idx="89">
                  <c:v>93.735287738141594</c:v>
                </c:pt>
                <c:pt idx="90">
                  <c:v>93.698031601742869</c:v>
                </c:pt>
                <c:pt idx="91">
                  <c:v>93.659958371806127</c:v>
                </c:pt>
                <c:pt idx="92">
                  <c:v>93.621071634228571</c:v>
                </c:pt>
                <c:pt idx="93">
                  <c:v>93.581374171333451</c:v>
                </c:pt>
                <c:pt idx="94">
                  <c:v>93.540867981808333</c:v>
                </c:pt>
                <c:pt idx="95">
                  <c:v>93.499554298438895</c:v>
                </c:pt>
                <c:pt idx="96">
                  <c:v>93.457433603748044</c:v>
                </c:pt>
                <c:pt idx="97">
                  <c:v>93.414505643636986</c:v>
                </c:pt>
                <c:pt idx="98">
                  <c:v>93.370769439114866</c:v>
                </c:pt>
                <c:pt idx="99">
                  <c:v>93.326223296193305</c:v>
                </c:pt>
                <c:pt idx="100">
                  <c:v>93.280864814012403</c:v>
                </c:pt>
                <c:pt idx="101">
                  <c:v>93.234690891256321</c:v>
                </c:pt>
                <c:pt idx="102">
                  <c:v>93.187697730908127</c:v>
                </c:pt>
                <c:pt idx="103">
                  <c:v>93.139880843385427</c:v>
                </c:pt>
                <c:pt idx="104">
                  <c:v>93.091235048091221</c:v>
                </c:pt>
                <c:pt idx="105">
                  <c:v>93.041754473407053</c:v>
                </c:pt>
                <c:pt idx="106">
                  <c:v>92.991432555148549</c:v>
                </c:pt>
                <c:pt idx="107">
                  <c:v>92.940262033496808</c:v>
                </c:pt>
                <c:pt idx="108">
                  <c:v>92.888234948412958</c:v>
                </c:pt>
                <c:pt idx="109">
                  <c:v>92.835342633536001</c:v>
                </c:pt>
                <c:pt idx="110">
                  <c:v>92.781575708558677</c:v>
                </c:pt>
                <c:pt idx="111">
                  <c:v>92.726924070069359</c:v>
                </c:pt>
                <c:pt idx="112">
                  <c:v>92.67137688084135</c:v>
                </c:pt>
                <c:pt idx="113">
                  <c:v>92.614922557545896</c:v>
                </c:pt>
                <c:pt idx="114">
                  <c:v>92.557548756857045</c:v>
                </c:pt>
                <c:pt idx="115">
                  <c:v>92.499242359911705</c:v>
                </c:pt>
                <c:pt idx="116">
                  <c:v>92.439989455080379</c:v>
                </c:pt>
                <c:pt idx="117">
                  <c:v>92.379775318997545</c:v>
                </c:pt>
                <c:pt idx="118">
                  <c:v>92.318584395793735</c:v>
                </c:pt>
                <c:pt idx="119">
                  <c:v>92.256400274463218</c:v>
                </c:pt>
                <c:pt idx="120">
                  <c:v>92.193205664294126</c:v>
                </c:pt>
                <c:pt idx="121">
                  <c:v>92.128982368278955</c:v>
                </c:pt>
                <c:pt idx="122">
                  <c:v>92.063711254415168</c:v>
                </c:pt>
                <c:pt idx="123">
                  <c:v>91.997372224795853</c:v>
                </c:pt>
                <c:pt idx="124">
                  <c:v>91.929944182381178</c:v>
                </c:pt>
                <c:pt idx="125">
                  <c:v>91.861404995330076</c:v>
                </c:pt>
                <c:pt idx="126">
                  <c:v>91.791731458761276</c:v>
                </c:pt>
                <c:pt idx="127">
                  <c:v>91.720899253799686</c:v>
                </c:pt>
                <c:pt idx="128">
                  <c:v>91.648882903752309</c:v>
                </c:pt>
                <c:pt idx="129">
                  <c:v>91.575655727242392</c:v>
                </c:pt>
                <c:pt idx="130">
                  <c:v>91.50118978811696</c:v>
                </c:pt>
                <c:pt idx="131">
                  <c:v>91.425455841925242</c:v>
                </c:pt>
                <c:pt idx="132">
                  <c:v>91.348423278748086</c:v>
                </c:pt>
                <c:pt idx="133">
                  <c:v>91.270060062139663</c:v>
                </c:pt>
                <c:pt idx="134">
                  <c:v>91.190332663920685</c:v>
                </c:pt>
                <c:pt idx="135">
                  <c:v>91.109205994540403</c:v>
                </c:pt>
                <c:pt idx="136">
                  <c:v>91.026643328699137</c:v>
                </c:pt>
                <c:pt idx="137">
                  <c:v>90.942606225895759</c:v>
                </c:pt>
                <c:pt idx="138">
                  <c:v>90.857054445534743</c:v>
                </c:pt>
                <c:pt idx="139">
                  <c:v>90.769945856194795</c:v>
                </c:pt>
                <c:pt idx="140">
                  <c:v>90.681236338624643</c:v>
                </c:pt>
                <c:pt idx="141">
                  <c:v>90.590879681992448</c:v>
                </c:pt>
                <c:pt idx="142">
                  <c:v>90.498827472871696</c:v>
                </c:pt>
                <c:pt idx="143">
                  <c:v>90.40502897639864</c:v>
                </c:pt>
                <c:pt idx="144">
                  <c:v>90.309431008983381</c:v>
                </c:pt>
                <c:pt idx="145">
                  <c:v>90.211977801898897</c:v>
                </c:pt>
                <c:pt idx="146">
                  <c:v>90.112610855007375</c:v>
                </c:pt>
                <c:pt idx="147">
                  <c:v>90.011268779812383</c:v>
                </c:pt>
                <c:pt idx="148">
                  <c:v>89.90788713094625</c:v>
                </c:pt>
                <c:pt idx="149">
                  <c:v>89.8023982251147</c:v>
                </c:pt>
                <c:pt idx="150">
                  <c:v>89.694730946422993</c:v>
                </c:pt>
                <c:pt idx="151">
                  <c:v>89.584810536900264</c:v>
                </c:pt>
                <c:pt idx="152">
                  <c:v>89.472558370917611</c:v>
                </c:pt>
                <c:pt idx="153">
                  <c:v>89.357891712061345</c:v>
                </c:pt>
                <c:pt idx="154">
                  <c:v>89.240723450872835</c:v>
                </c:pt>
                <c:pt idx="155">
                  <c:v>89.120961821697648</c:v>
                </c:pt>
                <c:pt idx="156">
                  <c:v>88.998510096699817</c:v>
                </c:pt>
                <c:pt idx="157">
                  <c:v>88.873266254884939</c:v>
                </c:pt>
                <c:pt idx="158">
                  <c:v>88.745122623739476</c:v>
                </c:pt>
                <c:pt idx="159">
                  <c:v>88.613965490826345</c:v>
                </c:pt>
                <c:pt idx="160">
                  <c:v>88.479674682377407</c:v>
                </c:pt>
                <c:pt idx="161">
                  <c:v>88.342123105582601</c:v>
                </c:pt>
                <c:pt idx="162">
                  <c:v>88.201176250893852</c:v>
                </c:pt>
                <c:pt idx="163">
                  <c:v>88.056691650225758</c:v>
                </c:pt>
                <c:pt idx="164">
                  <c:v>87.908518286443538</c:v>
                </c:pt>
                <c:pt idx="165">
                  <c:v>87.756495948967824</c:v>
                </c:pt>
                <c:pt idx="166">
                  <c:v>87.600454529688449</c:v>
                </c:pt>
                <c:pt idx="167">
                  <c:v>87.440213252651702</c:v>
                </c:pt>
                <c:pt idx="168">
                  <c:v>87.275579830153248</c:v>
                </c:pt>
                <c:pt idx="169">
                  <c:v>87.106349536917079</c:v>
                </c:pt>
                <c:pt idx="170">
                  <c:v>86.932304192945978</c:v>
                </c:pt>
                <c:pt idx="171">
                  <c:v>86.753211044371994</c:v>
                </c:pt>
                <c:pt idx="172">
                  <c:v>86.568821530184422</c:v>
                </c:pt>
                <c:pt idx="173">
                  <c:v>86.378869921037563</c:v>
                </c:pt>
                <c:pt idx="174">
                  <c:v>86.183071814398431</c:v>
                </c:pt>
                <c:pt idx="175">
                  <c:v>85.981122468042358</c:v>
                </c:pt>
                <c:pt idx="176">
                  <c:v>85.772694951279547</c:v>
                </c:pt>
                <c:pt idx="177">
                  <c:v>85.557438090235223</c:v>
                </c:pt>
                <c:pt idx="178">
                  <c:v>85.334974179922938</c:v>
                </c:pt>
                <c:pt idx="179">
                  <c:v>85.10489643164604</c:v>
                </c:pt>
                <c:pt idx="180">
                  <c:v>84.86676611931486</c:v>
                </c:pt>
                <c:pt idx="181">
                  <c:v>84.620109382425511</c:v>
                </c:pt>
                <c:pt idx="182">
                  <c:v>84.364413636530585</c:v>
                </c:pt>
                <c:pt idx="183">
                  <c:v>84.09912353381425</c:v>
                </c:pt>
                <c:pt idx="184">
                  <c:v>83.82363640659041</c:v>
                </c:pt>
                <c:pt idx="185">
                  <c:v>83.537297114826629</c:v>
                </c:pt>
                <c:pt idx="186">
                  <c:v>83.239392204729853</c:v>
                </c:pt>
                <c:pt idx="187">
                  <c:v>82.929143268479976</c:v>
                </c:pt>
                <c:pt idx="188">
                  <c:v>82.605699374686097</c:v>
                </c:pt>
                <c:pt idx="189">
                  <c:v>82.268128414223952</c:v>
                </c:pt>
                <c:pt idx="190">
                  <c:v>81.915407175707372</c:v>
                </c:pt>
                <c:pt idx="191">
                  <c:v>81.54640992757966</c:v>
                </c:pt>
                <c:pt idx="192">
                  <c:v>81.159895237915322</c:v>
                </c:pt>
                <c:pt idx="193">
                  <c:v>80.754490706221048</c:v>
                </c:pt>
                <c:pt idx="194">
                  <c:v>80.328675210858222</c:v>
                </c:pt>
                <c:pt idx="195">
                  <c:v>79.88075818731582</c:v>
                </c:pt>
                <c:pt idx="196">
                  <c:v>79.408855341354382</c:v>
                </c:pt>
                <c:pt idx="197">
                  <c:v>78.910860060287462</c:v>
                </c:pt>
                <c:pt idx="198">
                  <c:v>78.38440960637881</c:v>
                </c:pt>
                <c:pt idx="199">
                  <c:v>77.826844946415335</c:v>
                </c:pt>
                <c:pt idx="200">
                  <c:v>77.235162774580886</c:v>
                </c:pt>
              </c:numCache>
            </c:numRef>
          </c:val>
          <c:smooth val="0"/>
          <c:extLst>
            <c:ext xmlns:c16="http://schemas.microsoft.com/office/drawing/2014/chart" uri="{C3380CC4-5D6E-409C-BE32-E72D297353CC}">
              <c16:uniqueId val="{00000000-7890-472B-AAE1-D1CB0E55BFDF}"/>
            </c:ext>
          </c:extLst>
        </c:ser>
        <c:dLbls>
          <c:showLegendKey val="0"/>
          <c:showVal val="0"/>
          <c:showCatName val="0"/>
          <c:showSerName val="0"/>
          <c:showPercent val="0"/>
          <c:showBubbleSize val="0"/>
        </c:dLbls>
        <c:marker val="1"/>
        <c:smooth val="0"/>
        <c:axId val="308580352"/>
        <c:axId val="308582272"/>
      </c:lineChart>
      <c:lineChart>
        <c:grouping val="standard"/>
        <c:varyColors val="0"/>
        <c:ser>
          <c:idx val="3"/>
          <c:order val="1"/>
          <c:tx>
            <c:v> Inductor Copper &amp; Core Loss</c:v>
          </c:tx>
          <c:spPr>
            <a:ln w="38100">
              <a:solidFill>
                <a:srgbClr val="800080"/>
              </a:solidFill>
              <a:prstDash val="dash"/>
            </a:ln>
          </c:spPr>
          <c:marker>
            <c:symbol val="none"/>
          </c:marker>
          <c:cat>
            <c:numRef>
              <c:f>'Power Calculations'!$H$9:$H$209</c:f>
              <c:numCache>
                <c:formatCode>General</c:formatCode>
                <c:ptCount val="201"/>
                <c:pt idx="0">
                  <c:v>0</c:v>
                </c:pt>
                <c:pt idx="1">
                  <c:v>7.4999999999999997E-2</c:v>
                </c:pt>
                <c:pt idx="2">
                  <c:v>0.15</c:v>
                </c:pt>
                <c:pt idx="3">
                  <c:v>0.22499999999999998</c:v>
                </c:pt>
                <c:pt idx="4">
                  <c:v>0.3</c:v>
                </c:pt>
                <c:pt idx="5">
                  <c:v>0.375</c:v>
                </c:pt>
                <c:pt idx="6">
                  <c:v>0.44999999999999996</c:v>
                </c:pt>
                <c:pt idx="7">
                  <c:v>0.52500000000000002</c:v>
                </c:pt>
                <c:pt idx="8">
                  <c:v>0.6</c:v>
                </c:pt>
                <c:pt idx="9">
                  <c:v>0.67499999999999993</c:v>
                </c:pt>
                <c:pt idx="10">
                  <c:v>0.75</c:v>
                </c:pt>
                <c:pt idx="11">
                  <c:v>0.82499999999999996</c:v>
                </c:pt>
                <c:pt idx="12">
                  <c:v>0.89999999999999991</c:v>
                </c:pt>
                <c:pt idx="13">
                  <c:v>0.97500000000000009</c:v>
                </c:pt>
                <c:pt idx="14">
                  <c:v>1.05</c:v>
                </c:pt>
                <c:pt idx="15">
                  <c:v>1.125</c:v>
                </c:pt>
                <c:pt idx="16">
                  <c:v>1.2</c:v>
                </c:pt>
                <c:pt idx="17">
                  <c:v>1.2750000000000001</c:v>
                </c:pt>
                <c:pt idx="18">
                  <c:v>1.3499999999999999</c:v>
                </c:pt>
                <c:pt idx="19">
                  <c:v>1.425</c:v>
                </c:pt>
                <c:pt idx="20">
                  <c:v>1.5</c:v>
                </c:pt>
                <c:pt idx="21">
                  <c:v>1.575</c:v>
                </c:pt>
                <c:pt idx="22">
                  <c:v>1.65</c:v>
                </c:pt>
                <c:pt idx="23">
                  <c:v>1.7250000000000001</c:v>
                </c:pt>
                <c:pt idx="24">
                  <c:v>1.7999999999999998</c:v>
                </c:pt>
                <c:pt idx="25">
                  <c:v>1.875</c:v>
                </c:pt>
                <c:pt idx="26">
                  <c:v>1.9500000000000002</c:v>
                </c:pt>
                <c:pt idx="27">
                  <c:v>2.0250000000000004</c:v>
                </c:pt>
                <c:pt idx="28">
                  <c:v>2.1</c:v>
                </c:pt>
                <c:pt idx="29">
                  <c:v>2.1749999999999998</c:v>
                </c:pt>
                <c:pt idx="30">
                  <c:v>2.25</c:v>
                </c:pt>
                <c:pt idx="31">
                  <c:v>2.3250000000000002</c:v>
                </c:pt>
                <c:pt idx="32">
                  <c:v>2.4</c:v>
                </c:pt>
                <c:pt idx="33">
                  <c:v>2.4750000000000001</c:v>
                </c:pt>
                <c:pt idx="34">
                  <c:v>2.5500000000000003</c:v>
                </c:pt>
                <c:pt idx="35">
                  <c:v>2.625</c:v>
                </c:pt>
                <c:pt idx="36">
                  <c:v>2.6999999999999997</c:v>
                </c:pt>
                <c:pt idx="37">
                  <c:v>2.7749999999999999</c:v>
                </c:pt>
                <c:pt idx="38">
                  <c:v>2.85</c:v>
                </c:pt>
                <c:pt idx="39">
                  <c:v>2.9250000000000003</c:v>
                </c:pt>
                <c:pt idx="40">
                  <c:v>3</c:v>
                </c:pt>
                <c:pt idx="41">
                  <c:v>3.0749999999999997</c:v>
                </c:pt>
                <c:pt idx="42">
                  <c:v>3.15</c:v>
                </c:pt>
                <c:pt idx="43">
                  <c:v>3.2250000000000001</c:v>
                </c:pt>
                <c:pt idx="44">
                  <c:v>3.3</c:v>
                </c:pt>
                <c:pt idx="45">
                  <c:v>3.375</c:v>
                </c:pt>
                <c:pt idx="46">
                  <c:v>3.45</c:v>
                </c:pt>
                <c:pt idx="47">
                  <c:v>3.5249999999999999</c:v>
                </c:pt>
                <c:pt idx="48">
                  <c:v>3.5999999999999996</c:v>
                </c:pt>
                <c:pt idx="49">
                  <c:v>3.6749999999999998</c:v>
                </c:pt>
                <c:pt idx="50">
                  <c:v>3.75</c:v>
                </c:pt>
                <c:pt idx="51">
                  <c:v>3.8250000000000002</c:v>
                </c:pt>
                <c:pt idx="52">
                  <c:v>3.9000000000000004</c:v>
                </c:pt>
                <c:pt idx="53">
                  <c:v>3.9750000000000001</c:v>
                </c:pt>
                <c:pt idx="54">
                  <c:v>4.0500000000000007</c:v>
                </c:pt>
                <c:pt idx="55">
                  <c:v>4.125</c:v>
                </c:pt>
                <c:pt idx="56">
                  <c:v>4.2</c:v>
                </c:pt>
                <c:pt idx="57">
                  <c:v>4.2749999999999995</c:v>
                </c:pt>
                <c:pt idx="58">
                  <c:v>4.3499999999999996</c:v>
                </c:pt>
                <c:pt idx="59">
                  <c:v>4.4249999999999998</c:v>
                </c:pt>
                <c:pt idx="60">
                  <c:v>4.5</c:v>
                </c:pt>
                <c:pt idx="61">
                  <c:v>4.5750000000000002</c:v>
                </c:pt>
                <c:pt idx="62">
                  <c:v>4.6500000000000004</c:v>
                </c:pt>
                <c:pt idx="63">
                  <c:v>4.7249999999999996</c:v>
                </c:pt>
                <c:pt idx="64">
                  <c:v>4.8</c:v>
                </c:pt>
                <c:pt idx="65">
                  <c:v>4.875</c:v>
                </c:pt>
                <c:pt idx="66">
                  <c:v>4.95</c:v>
                </c:pt>
                <c:pt idx="67">
                  <c:v>5.0250000000000004</c:v>
                </c:pt>
                <c:pt idx="68">
                  <c:v>5.1000000000000005</c:v>
                </c:pt>
                <c:pt idx="69">
                  <c:v>5.1749999999999998</c:v>
                </c:pt>
                <c:pt idx="70">
                  <c:v>5.25</c:v>
                </c:pt>
                <c:pt idx="71">
                  <c:v>5.3249999999999993</c:v>
                </c:pt>
                <c:pt idx="72">
                  <c:v>5.3999999999999995</c:v>
                </c:pt>
                <c:pt idx="73">
                  <c:v>5.4749999999999996</c:v>
                </c:pt>
                <c:pt idx="74">
                  <c:v>5.55</c:v>
                </c:pt>
                <c:pt idx="75">
                  <c:v>5.625</c:v>
                </c:pt>
                <c:pt idx="76">
                  <c:v>5.7</c:v>
                </c:pt>
                <c:pt idx="77">
                  <c:v>5.7750000000000004</c:v>
                </c:pt>
                <c:pt idx="78">
                  <c:v>5.8500000000000005</c:v>
                </c:pt>
                <c:pt idx="79">
                  <c:v>5.9250000000000007</c:v>
                </c:pt>
                <c:pt idx="80">
                  <c:v>6</c:v>
                </c:pt>
                <c:pt idx="81">
                  <c:v>6.0750000000000002</c:v>
                </c:pt>
                <c:pt idx="82">
                  <c:v>6.1499999999999995</c:v>
                </c:pt>
                <c:pt idx="83">
                  <c:v>6.2249999999999996</c:v>
                </c:pt>
                <c:pt idx="84">
                  <c:v>6.3</c:v>
                </c:pt>
                <c:pt idx="85">
                  <c:v>6.375</c:v>
                </c:pt>
                <c:pt idx="86">
                  <c:v>6.45</c:v>
                </c:pt>
                <c:pt idx="87">
                  <c:v>6.5250000000000004</c:v>
                </c:pt>
                <c:pt idx="88">
                  <c:v>6.6</c:v>
                </c:pt>
                <c:pt idx="89">
                  <c:v>6.6749999999999998</c:v>
                </c:pt>
                <c:pt idx="90">
                  <c:v>6.75</c:v>
                </c:pt>
                <c:pt idx="91">
                  <c:v>6.8250000000000002</c:v>
                </c:pt>
                <c:pt idx="92">
                  <c:v>6.9</c:v>
                </c:pt>
                <c:pt idx="93">
                  <c:v>6.9750000000000005</c:v>
                </c:pt>
                <c:pt idx="94">
                  <c:v>7.05</c:v>
                </c:pt>
                <c:pt idx="95">
                  <c:v>7.125</c:v>
                </c:pt>
                <c:pt idx="96">
                  <c:v>7.1999999999999993</c:v>
                </c:pt>
                <c:pt idx="97">
                  <c:v>7.2749999999999995</c:v>
                </c:pt>
                <c:pt idx="98">
                  <c:v>7.35</c:v>
                </c:pt>
                <c:pt idx="99">
                  <c:v>7.4249999999999998</c:v>
                </c:pt>
                <c:pt idx="100">
                  <c:v>7.5</c:v>
                </c:pt>
                <c:pt idx="101">
                  <c:v>7.5750000000000002</c:v>
                </c:pt>
                <c:pt idx="102">
                  <c:v>7.65</c:v>
                </c:pt>
                <c:pt idx="103">
                  <c:v>7.7250000000000005</c:v>
                </c:pt>
                <c:pt idx="104">
                  <c:v>7.8000000000000007</c:v>
                </c:pt>
                <c:pt idx="105">
                  <c:v>7.875</c:v>
                </c:pt>
                <c:pt idx="106">
                  <c:v>7.95</c:v>
                </c:pt>
                <c:pt idx="107">
                  <c:v>8.0250000000000004</c:v>
                </c:pt>
                <c:pt idx="108">
                  <c:v>8.1000000000000014</c:v>
                </c:pt>
                <c:pt idx="109">
                  <c:v>8.1750000000000007</c:v>
                </c:pt>
                <c:pt idx="110">
                  <c:v>8.25</c:v>
                </c:pt>
                <c:pt idx="111">
                  <c:v>8.3250000000000011</c:v>
                </c:pt>
                <c:pt idx="112">
                  <c:v>8.4</c:v>
                </c:pt>
                <c:pt idx="113">
                  <c:v>8.4749999999999996</c:v>
                </c:pt>
                <c:pt idx="114">
                  <c:v>8.5499999999999989</c:v>
                </c:pt>
                <c:pt idx="115">
                  <c:v>8.625</c:v>
                </c:pt>
                <c:pt idx="116">
                  <c:v>8.6999999999999993</c:v>
                </c:pt>
                <c:pt idx="117">
                  <c:v>8.7749999999999986</c:v>
                </c:pt>
                <c:pt idx="118">
                  <c:v>8.85</c:v>
                </c:pt>
                <c:pt idx="119">
                  <c:v>8.9249999999999989</c:v>
                </c:pt>
                <c:pt idx="120">
                  <c:v>9</c:v>
                </c:pt>
                <c:pt idx="121">
                  <c:v>9.0749999999999993</c:v>
                </c:pt>
                <c:pt idx="122">
                  <c:v>9.15</c:v>
                </c:pt>
                <c:pt idx="123">
                  <c:v>9.2249999999999996</c:v>
                </c:pt>
                <c:pt idx="124">
                  <c:v>9.3000000000000007</c:v>
                </c:pt>
                <c:pt idx="125">
                  <c:v>9.375</c:v>
                </c:pt>
                <c:pt idx="126">
                  <c:v>9.4499999999999993</c:v>
                </c:pt>
                <c:pt idx="127">
                  <c:v>9.5250000000000004</c:v>
                </c:pt>
                <c:pt idx="128">
                  <c:v>9.6</c:v>
                </c:pt>
                <c:pt idx="129">
                  <c:v>9.6750000000000007</c:v>
                </c:pt>
                <c:pt idx="130">
                  <c:v>9.75</c:v>
                </c:pt>
                <c:pt idx="131">
                  <c:v>9.8250000000000011</c:v>
                </c:pt>
                <c:pt idx="132">
                  <c:v>9.9</c:v>
                </c:pt>
                <c:pt idx="133">
                  <c:v>9.9750000000000014</c:v>
                </c:pt>
                <c:pt idx="134">
                  <c:v>10.050000000000001</c:v>
                </c:pt>
                <c:pt idx="135">
                  <c:v>10.125</c:v>
                </c:pt>
                <c:pt idx="136">
                  <c:v>10.200000000000001</c:v>
                </c:pt>
                <c:pt idx="137">
                  <c:v>10.275</c:v>
                </c:pt>
                <c:pt idx="138">
                  <c:v>10.35</c:v>
                </c:pt>
                <c:pt idx="139">
                  <c:v>10.424999999999999</c:v>
                </c:pt>
                <c:pt idx="140">
                  <c:v>10.5</c:v>
                </c:pt>
                <c:pt idx="141">
                  <c:v>10.574999999999999</c:v>
                </c:pt>
                <c:pt idx="142">
                  <c:v>10.649999999999999</c:v>
                </c:pt>
                <c:pt idx="143">
                  <c:v>10.725</c:v>
                </c:pt>
                <c:pt idx="144">
                  <c:v>10.799999999999999</c:v>
                </c:pt>
                <c:pt idx="145">
                  <c:v>10.875</c:v>
                </c:pt>
                <c:pt idx="146">
                  <c:v>10.95</c:v>
                </c:pt>
                <c:pt idx="147">
                  <c:v>11.025</c:v>
                </c:pt>
                <c:pt idx="148">
                  <c:v>11.1</c:v>
                </c:pt>
                <c:pt idx="149">
                  <c:v>11.175000000000001</c:v>
                </c:pt>
                <c:pt idx="150">
                  <c:v>11.25</c:v>
                </c:pt>
                <c:pt idx="151">
                  <c:v>11.324999999999999</c:v>
                </c:pt>
                <c:pt idx="152">
                  <c:v>11.4</c:v>
                </c:pt>
                <c:pt idx="153">
                  <c:v>11.475</c:v>
                </c:pt>
                <c:pt idx="154">
                  <c:v>11.55</c:v>
                </c:pt>
                <c:pt idx="155">
                  <c:v>11.625</c:v>
                </c:pt>
                <c:pt idx="156">
                  <c:v>11.700000000000001</c:v>
                </c:pt>
                <c:pt idx="157">
                  <c:v>11.775</c:v>
                </c:pt>
                <c:pt idx="158">
                  <c:v>11.850000000000001</c:v>
                </c:pt>
                <c:pt idx="159">
                  <c:v>11.925000000000001</c:v>
                </c:pt>
                <c:pt idx="160">
                  <c:v>12</c:v>
                </c:pt>
                <c:pt idx="161">
                  <c:v>12.075000000000001</c:v>
                </c:pt>
                <c:pt idx="162">
                  <c:v>12.15</c:v>
                </c:pt>
                <c:pt idx="163">
                  <c:v>12.225</c:v>
                </c:pt>
                <c:pt idx="164">
                  <c:v>12.299999999999999</c:v>
                </c:pt>
                <c:pt idx="165">
                  <c:v>12.375</c:v>
                </c:pt>
                <c:pt idx="166">
                  <c:v>12.45</c:v>
                </c:pt>
                <c:pt idx="167">
                  <c:v>12.524999999999999</c:v>
                </c:pt>
                <c:pt idx="168">
                  <c:v>12.6</c:v>
                </c:pt>
                <c:pt idx="169">
                  <c:v>12.674999999999999</c:v>
                </c:pt>
                <c:pt idx="170">
                  <c:v>12.75</c:v>
                </c:pt>
                <c:pt idx="171">
                  <c:v>12.824999999999999</c:v>
                </c:pt>
                <c:pt idx="172">
                  <c:v>12.9</c:v>
                </c:pt>
                <c:pt idx="173">
                  <c:v>12.975</c:v>
                </c:pt>
                <c:pt idx="174">
                  <c:v>13.05</c:v>
                </c:pt>
                <c:pt idx="175">
                  <c:v>13.125</c:v>
                </c:pt>
                <c:pt idx="176">
                  <c:v>13.2</c:v>
                </c:pt>
                <c:pt idx="177">
                  <c:v>13.275</c:v>
                </c:pt>
                <c:pt idx="178">
                  <c:v>13.35</c:v>
                </c:pt>
                <c:pt idx="179">
                  <c:v>13.425000000000001</c:v>
                </c:pt>
                <c:pt idx="180">
                  <c:v>13.5</c:v>
                </c:pt>
                <c:pt idx="181">
                  <c:v>13.575000000000001</c:v>
                </c:pt>
                <c:pt idx="182">
                  <c:v>13.65</c:v>
                </c:pt>
                <c:pt idx="183">
                  <c:v>13.725000000000001</c:v>
                </c:pt>
                <c:pt idx="184">
                  <c:v>13.8</c:v>
                </c:pt>
                <c:pt idx="185">
                  <c:v>13.875</c:v>
                </c:pt>
                <c:pt idx="186">
                  <c:v>13.950000000000001</c:v>
                </c:pt>
                <c:pt idx="187">
                  <c:v>14.025</c:v>
                </c:pt>
                <c:pt idx="188">
                  <c:v>14.1</c:v>
                </c:pt>
                <c:pt idx="189">
                  <c:v>14.174999999999999</c:v>
                </c:pt>
                <c:pt idx="190">
                  <c:v>14.25</c:v>
                </c:pt>
                <c:pt idx="191">
                  <c:v>14.324999999999999</c:v>
                </c:pt>
                <c:pt idx="192">
                  <c:v>14.399999999999999</c:v>
                </c:pt>
                <c:pt idx="193">
                  <c:v>14.475</c:v>
                </c:pt>
                <c:pt idx="194">
                  <c:v>14.549999999999999</c:v>
                </c:pt>
                <c:pt idx="195">
                  <c:v>14.625</c:v>
                </c:pt>
                <c:pt idx="196">
                  <c:v>14.7</c:v>
                </c:pt>
                <c:pt idx="197">
                  <c:v>14.775</c:v>
                </c:pt>
                <c:pt idx="198">
                  <c:v>14.85</c:v>
                </c:pt>
                <c:pt idx="199">
                  <c:v>14.925000000000001</c:v>
                </c:pt>
                <c:pt idx="200">
                  <c:v>15</c:v>
                </c:pt>
              </c:numCache>
            </c:numRef>
          </c:cat>
          <c:val>
            <c:numRef>
              <c:f>'Power Calculations'!$Q$9:$Q$209</c:f>
              <c:numCache>
                <c:formatCode>0.0000</c:formatCode>
                <c:ptCount val="201"/>
                <c:pt idx="0">
                  <c:v>0.20958686837286453</c:v>
                </c:pt>
                <c:pt idx="1">
                  <c:v>0.2096286365514563</c:v>
                </c:pt>
                <c:pt idx="2">
                  <c:v>0.20973801595202382</c:v>
                </c:pt>
                <c:pt idx="3">
                  <c:v>0.20991501012654426</c:v>
                </c:pt>
                <c:pt idx="4">
                  <c:v>0.21015962481985942</c:v>
                </c:pt>
                <c:pt idx="5">
                  <c:v>0.21047186797014167</c:v>
                </c:pt>
                <c:pt idx="6">
                  <c:v>0.21085174970953777</c:v>
                </c:pt>
                <c:pt idx="7">
                  <c:v>0.2112992823649906</c:v>
                </c:pt>
                <c:pt idx="8">
                  <c:v>0.21181448045923901</c:v>
                </c:pt>
                <c:pt idx="9">
                  <c:v>0.21239736071199605</c:v>
                </c:pt>
                <c:pt idx="10">
                  <c:v>0.21304794204130537</c:v>
                </c:pt>
                <c:pt idx="11">
                  <c:v>0.21376624556507651</c:v>
                </c:pt>
                <c:pt idx="12">
                  <c:v>0.21455229460279893</c:v>
                </c:pt>
                <c:pt idx="13">
                  <c:v>0.21540611467743517</c:v>
                </c:pt>
                <c:pt idx="14">
                  <c:v>0.21632773351749346</c:v>
                </c:pt>
                <c:pt idx="15">
                  <c:v>0.21731718105928005</c:v>
                </c:pt>
                <c:pt idx="16">
                  <c:v>0.21837448944933158</c:v>
                </c:pt>
                <c:pt idx="17">
                  <c:v>0.21949969304702791</c:v>
                </c:pt>
                <c:pt idx="18">
                  <c:v>0.2206928284273858</c:v>
                </c:pt>
                <c:pt idx="19">
                  <c:v>0.22195393438403394</c:v>
                </c:pt>
                <c:pt idx="20">
                  <c:v>0.2232830519323693</c:v>
                </c:pt>
                <c:pt idx="21">
                  <c:v>0.22468022431289636</c:v>
                </c:pt>
                <c:pt idx="22">
                  <c:v>0.22614549699474826</c:v>
                </c:pt>
                <c:pt idx="23">
                  <c:v>0.22767891767939191</c:v>
                </c:pt>
                <c:pt idx="24">
                  <c:v>0.22928053630451628</c:v>
                </c:pt>
                <c:pt idx="25">
                  <c:v>0.23095040504810557</c:v>
                </c:pt>
                <c:pt idx="26">
                  <c:v>0.23268857833269704</c:v>
                </c:pt>
                <c:pt idx="27">
                  <c:v>0.23449511282982483</c:v>
                </c:pt>
                <c:pt idx="28">
                  <c:v>0.2363700674646497</c:v>
                </c:pt>
                <c:pt idx="29">
                  <c:v>0.23831350342077631</c:v>
                </c:pt>
                <c:pt idx="30">
                  <c:v>0.24032548414525801</c:v>
                </c:pt>
                <c:pt idx="31">
                  <c:v>0.24240607535379002</c:v>
                </c:pt>
                <c:pt idx="32">
                  <c:v>0.24455534503609244</c:v>
                </c:pt>
                <c:pt idx="33">
                  <c:v>0.2467733634614829</c:v>
                </c:pt>
                <c:pt idx="34">
                  <c:v>0.24906020318464078</c:v>
                </c:pt>
                <c:pt idx="35">
                  <c:v>0.25141593905156284</c:v>
                </c:pt>
                <c:pt idx="36">
                  <c:v>0.25384064820571195</c:v>
                </c:pt>
                <c:pt idx="37">
                  <c:v>0.25633441009435975</c:v>
                </c:pt>
                <c:pt idx="38">
                  <c:v>0.25889730647512355</c:v>
                </c:pt>
                <c:pt idx="39">
                  <c:v>0.26152942142269964</c:v>
                </c:pt>
                <c:pt idx="40">
                  <c:v>0.26423084133579289</c:v>
                </c:pt>
                <c:pt idx="41">
                  <c:v>0.26700165494424455</c:v>
                </c:pt>
                <c:pt idx="42">
                  <c:v>0.26984195331635885</c:v>
                </c:pt>
                <c:pt idx="43">
                  <c:v>0.27275182986642971</c:v>
                </c:pt>
                <c:pt idx="44">
                  <c:v>0.27573138036246897</c:v>
                </c:pt>
                <c:pt idx="45">
                  <c:v>0.2787807029341367</c:v>
                </c:pt>
                <c:pt idx="46">
                  <c:v>0.2818998980808759</c:v>
                </c:pt>
                <c:pt idx="47">
                  <c:v>0.28508906868025097</c:v>
                </c:pt>
                <c:pt idx="48">
                  <c:v>0.28834831999649413</c:v>
                </c:pt>
                <c:pt idx="49">
                  <c:v>0.29167775968925813</c:v>
                </c:pt>
                <c:pt idx="50">
                  <c:v>0.29507749782257831</c:v>
                </c:pt>
                <c:pt idx="51">
                  <c:v>0.29854764687404528</c:v>
                </c:pt>
                <c:pt idx="52">
                  <c:v>0.30208832174418937</c:v>
                </c:pt>
                <c:pt idx="53">
                  <c:v>0.30569963976607817</c:v>
                </c:pt>
                <c:pt idx="54">
                  <c:v>0.30938172071512915</c:v>
                </c:pt>
                <c:pt idx="55">
                  <c:v>0.31313468681913836</c:v>
                </c:pt>
                <c:pt idx="56">
                  <c:v>0.31695866276852735</c:v>
                </c:pt>
                <c:pt idx="57">
                  <c:v>0.32085377572680962</c:v>
                </c:pt>
                <c:pt idx="58">
                  <c:v>0.32482015534127806</c:v>
                </c:pt>
                <c:pt idx="59">
                  <c:v>0.32885793375391531</c:v>
                </c:pt>
                <c:pt idx="60">
                  <c:v>0.33296724561252938</c:v>
                </c:pt>
                <c:pt idx="61">
                  <c:v>0.33714822808211464</c:v>
                </c:pt>
                <c:pt idx="62">
                  <c:v>0.34140102085644214</c:v>
                </c:pt>
                <c:pt idx="63">
                  <c:v>0.34572576616987916</c:v>
                </c:pt>
                <c:pt idx="64">
                  <c:v>0.35012260880944129</c:v>
                </c:pt>
                <c:pt idx="65">
                  <c:v>0.35459169612707786</c:v>
                </c:pt>
                <c:pt idx="66">
                  <c:v>0.35913317805219391</c:v>
                </c:pt>
                <c:pt idx="67">
                  <c:v>0.36374720710440944</c:v>
                </c:pt>
                <c:pt idx="68">
                  <c:v>0.36843393840655914</c:v>
                </c:pt>
                <c:pt idx="69">
                  <c:v>0.3731935296979334</c:v>
                </c:pt>
                <c:pt idx="70">
                  <c:v>0.37802614134776485</c:v>
                </c:pt>
                <c:pt idx="71">
                  <c:v>0.38293193636895928</c:v>
                </c:pt>
                <c:pt idx="72">
                  <c:v>0.38791108043207723</c:v>
                </c:pt>
                <c:pt idx="73">
                  <c:v>0.39296374187956501</c:v>
                </c:pt>
                <c:pt idx="74">
                  <c:v>0.39809009174023946</c:v>
                </c:pt>
                <c:pt idx="75">
                  <c:v>0.40329030374402819</c:v>
                </c:pt>
                <c:pt idx="76">
                  <c:v>0.40856455433696814</c:v>
                </c:pt>
                <c:pt idx="77">
                  <c:v>0.41391302269646379</c:v>
                </c:pt>
                <c:pt idx="78">
                  <c:v>0.41933589074680888</c:v>
                </c:pt>
                <c:pt idx="79">
                  <c:v>0.42483334317497362</c:v>
                </c:pt>
                <c:pt idx="80">
                  <c:v>0.43040556744665975</c:v>
                </c:pt>
                <c:pt idx="81">
                  <c:v>0.43605275382262687</c:v>
                </c:pt>
                <c:pt idx="82">
                  <c:v>0.44177509537529092</c:v>
                </c:pt>
                <c:pt idx="83">
                  <c:v>0.44757278800560107</c:v>
                </c:pt>
                <c:pt idx="84">
                  <c:v>0.45344603046019338</c:v>
                </c:pt>
                <c:pt idx="85">
                  <c:v>0.45939502434882795</c:v>
                </c:pt>
                <c:pt idx="86">
                  <c:v>0.46541997416211006</c:v>
                </c:pt>
                <c:pt idx="87">
                  <c:v>0.47152108728949949</c:v>
                </c:pt>
                <c:pt idx="88">
                  <c:v>0.47769857403761046</c:v>
                </c:pt>
                <c:pt idx="89">
                  <c:v>0.48395264764880569</c:v>
                </c:pt>
                <c:pt idx="90">
                  <c:v>0.49028352432008732</c:v>
                </c:pt>
                <c:pt idx="91">
                  <c:v>0.49669142322228799</c:v>
                </c:pt>
                <c:pt idx="92">
                  <c:v>0.50317656651956555</c:v>
                </c:pt>
                <c:pt idx="93">
                  <c:v>0.50973917938920543</c:v>
                </c:pt>
                <c:pt idx="94">
                  <c:v>0.51637949004173123</c:v>
                </c:pt>
                <c:pt idx="95">
                  <c:v>0.52309772974133084</c:v>
                </c:pt>
                <c:pt idx="96">
                  <c:v>0.52989413282659892</c:v>
                </c:pt>
                <c:pt idx="97">
                  <c:v>0.53676893673160042</c:v>
                </c:pt>
                <c:pt idx="98">
                  <c:v>0.54372238200725798</c:v>
                </c:pt>
                <c:pt idx="99">
                  <c:v>0.5507547123430675</c:v>
                </c:pt>
                <c:pt idx="100">
                  <c:v>0.55786617458914622</c:v>
                </c:pt>
                <c:pt idx="101">
                  <c:v>0.56505701877861569</c:v>
                </c:pt>
                <c:pt idx="102">
                  <c:v>0.57232749815032447</c:v>
                </c:pt>
                <c:pt idx="103">
                  <c:v>0.57967786917191466</c:v>
                </c:pt>
                <c:pt idx="104">
                  <c:v>0.58710839156323558</c:v>
                </c:pt>
                <c:pt idx="105">
                  <c:v>0.59461932832010933</c:v>
                </c:pt>
                <c:pt idx="106">
                  <c:v>0.60221094573845302</c:v>
                </c:pt>
                <c:pt idx="107">
                  <c:v>0.60988351343875924</c:v>
                </c:pt>
                <c:pt idx="108">
                  <c:v>0.61763730439094278</c:v>
                </c:pt>
                <c:pt idx="109">
                  <c:v>0.62547259493955543</c:v>
                </c:pt>
                <c:pt idx="110">
                  <c:v>0.63338966482937509</c:v>
                </c:pt>
                <c:pt idx="111">
                  <c:v>0.64138879723137199</c:v>
                </c:pt>
                <c:pt idx="112">
                  <c:v>0.64947027876905672</c:v>
                </c:pt>
                <c:pt idx="113">
                  <c:v>0.65763439954521763</c:v>
                </c:pt>
                <c:pt idx="114">
                  <c:v>0.66588145316904956</c:v>
                </c:pt>
                <c:pt idx="115">
                  <c:v>0.67421173678367996</c:v>
                </c:pt>
                <c:pt idx="116">
                  <c:v>0.68262555109409495</c:v>
                </c:pt>
                <c:pt idx="117">
                  <c:v>0.6911232003954767</c:v>
                </c:pt>
                <c:pt idx="118">
                  <c:v>0.69970499260195007</c:v>
                </c:pt>
                <c:pt idx="119">
                  <c:v>0.70837123927574708</c:v>
                </c:pt>
                <c:pt idx="120">
                  <c:v>0.71712225565679577</c:v>
                </c:pt>
                <c:pt idx="121">
                  <c:v>0.72595836069273667</c:v>
                </c:pt>
                <c:pt idx="122">
                  <c:v>0.73487987706937496</c:v>
                </c:pt>
                <c:pt idx="123">
                  <c:v>0.74388713124156691</c:v>
                </c:pt>
                <c:pt idx="124">
                  <c:v>0.75298045346456055</c:v>
                </c:pt>
                <c:pt idx="125">
                  <c:v>0.76216017782577872</c:v>
                </c:pt>
                <c:pt idx="126">
                  <c:v>0.7714266422770657</c:v>
                </c:pt>
                <c:pt idx="127">
                  <c:v>0.7807801886673944</c:v>
                </c:pt>
                <c:pt idx="128">
                  <c:v>0.79022116277604226</c:v>
                </c:pt>
                <c:pt idx="129">
                  <c:v>0.79974991434624565</c:v>
                </c:pt>
                <c:pt idx="130">
                  <c:v>0.8093667971193339</c:v>
                </c:pt>
                <c:pt idx="131">
                  <c:v>0.81907216886935319</c:v>
                </c:pt>
                <c:pt idx="132">
                  <c:v>0.82886639143818575</c:v>
                </c:pt>
                <c:pt idx="133">
                  <c:v>0.83874983077117005</c:v>
                </c:pt>
                <c:pt idx="134">
                  <c:v>0.8487228569532308</c:v>
                </c:pt>
                <c:pt idx="135">
                  <c:v>0.8587858442455254</c:v>
                </c:pt>
                <c:pt idx="136">
                  <c:v>0.86893917112261176</c:v>
                </c:pt>
                <c:pt idx="137">
                  <c:v>0.87918322031014617</c:v>
                </c:pt>
                <c:pt idx="138">
                  <c:v>0.8895183788231209</c:v>
                </c:pt>
                <c:pt idx="139">
                  <c:v>0.89994503800464543</c:v>
                </c:pt>
                <c:pt idx="140">
                  <c:v>0.91046359356527984</c:v>
                </c:pt>
                <c:pt idx="141">
                  <c:v>0.92107444562292873</c:v>
                </c:pt>
                <c:pt idx="142">
                  <c:v>0.9317779987433048</c:v>
                </c:pt>
                <c:pt idx="143">
                  <c:v>0.94257466198096784</c:v>
                </c:pt>
                <c:pt idx="144">
                  <c:v>0.95346484892094696</c:v>
                </c:pt>
                <c:pt idx="145">
                  <c:v>0.96444897772095795</c:v>
                </c:pt>
                <c:pt idx="146">
                  <c:v>0.975527471154221</c:v>
                </c:pt>
                <c:pt idx="147">
                  <c:v>0.98670075665288826</c:v>
                </c:pt>
                <c:pt idx="148">
                  <c:v>0.99796926635208982</c:v>
                </c:pt>
                <c:pt idx="149">
                  <c:v>1.0093334371346083</c:v>
                </c:pt>
                <c:pt idx="150">
                  <c:v>1.0207937106761893</c:v>
                </c:pt>
                <c:pt idx="151">
                  <c:v>1.0323505334914991</c:v>
                </c:pt>
                <c:pt idx="152">
                  <c:v>1.0440043569807365</c:v>
                </c:pt>
                <c:pt idx="153">
                  <c:v>1.0557556374769108</c:v>
                </c:pt>
                <c:pt idx="154">
                  <c:v>1.0676048362937938</c:v>
                </c:pt>
                <c:pt idx="155">
                  <c:v>1.0795524197745587</c:v>
                </c:pt>
                <c:pt idx="156">
                  <c:v>1.0915988593411103</c:v>
                </c:pt>
                <c:pt idx="157">
                  <c:v>1.1037446315441248</c:v>
                </c:pt>
                <c:pt idx="158">
                  <c:v>1.1159902181138026</c:v>
                </c:pt>
                <c:pt idx="159">
                  <c:v>1.128336106011347</c:v>
                </c:pt>
                <c:pt idx="160">
                  <c:v>1.1407827874811853</c:v>
                </c:pt>
                <c:pt idx="161">
                  <c:v>1.1533307601039331</c:v>
                </c:pt>
                <c:pt idx="162">
                  <c:v>1.1659805268501189</c:v>
                </c:pt>
                <c:pt idx="163">
                  <c:v>1.1787325961346844</c:v>
                </c:pt>
                <c:pt idx="164">
                  <c:v>1.1915874818722636</c:v>
                </c:pt>
                <c:pt idx="165">
                  <c:v>1.2045457035332587</c:v>
                </c:pt>
                <c:pt idx="166">
                  <c:v>1.2176077862007233</c:v>
                </c:pt>
                <c:pt idx="167">
                  <c:v>1.2307742606280643</c:v>
                </c:pt>
                <c:pt idx="168">
                  <c:v>1.2440456632975783</c:v>
                </c:pt>
                <c:pt idx="169">
                  <c:v>1.2574225364798299</c:v>
                </c:pt>
                <c:pt idx="170">
                  <c:v>1.270905428293889</c:v>
                </c:pt>
                <c:pt idx="171">
                  <c:v>1.2844948927684425</c:v>
                </c:pt>
                <c:pt idx="172">
                  <c:v>1.2981914899037892</c:v>
                </c:pt>
                <c:pt idx="173">
                  <c:v>1.3119957857347297</c:v>
                </c:pt>
                <c:pt idx="174">
                  <c:v>1.3259083523943771</c:v>
                </c:pt>
                <c:pt idx="175">
                  <c:v>1.3399297681788882</c:v>
                </c:pt>
                <c:pt idx="176">
                  <c:v>1.3540606176131416</c:v>
                </c:pt>
                <c:pt idx="177">
                  <c:v>1.3683014915173695</c:v>
                </c:pt>
                <c:pt idx="178">
                  <c:v>1.3826529870747619</c:v>
                </c:pt>
                <c:pt idx="179">
                  <c:v>1.3971157079000605</c:v>
                </c:pt>
                <c:pt idx="180">
                  <c:v>1.4116902641091542</c:v>
                </c:pt>
                <c:pt idx="181">
                  <c:v>1.4263772723896957</c:v>
                </c:pt>
                <c:pt idx="182">
                  <c:v>1.4411773560727499</c:v>
                </c:pt>
                <c:pt idx="183">
                  <c:v>1.4560911452054988</c:v>
                </c:pt>
                <c:pt idx="184">
                  <c:v>1.4711192766250156</c:v>
                </c:pt>
                <c:pt idx="185">
                  <c:v>1.4862623940331239</c:v>
                </c:pt>
                <c:pt idx="186">
                  <c:v>1.5015211480723616</c:v>
                </c:pt>
                <c:pt idx="187">
                  <c:v>1.5168961964030669</c:v>
                </c:pt>
                <c:pt idx="188">
                  <c:v>1.5323882037816086</c:v>
                </c:pt>
                <c:pt idx="189">
                  <c:v>1.5479978421397693</c:v>
                </c:pt>
                <c:pt idx="190">
                  <c:v>1.5637257906653157</c:v>
                </c:pt>
                <c:pt idx="191">
                  <c:v>1.5795727358837566</c:v>
                </c:pt>
                <c:pt idx="192">
                  <c:v>1.5955393717413291</c:v>
                </c:pt>
                <c:pt idx="193">
                  <c:v>1.6116263996892153</c:v>
                </c:pt>
                <c:pt idx="194">
                  <c:v>1.6278345287690208</c:v>
                </c:pt>
                <c:pt idx="195">
                  <c:v>1.6441644756995315</c:v>
                </c:pt>
                <c:pt idx="196">
                  <c:v>1.6606169649647728</c:v>
                </c:pt>
                <c:pt idx="197">
                  <c:v>1.6771927289033912</c:v>
                </c:pt>
                <c:pt idx="198">
                  <c:v>1.6938925077993783</c:v>
                </c:pt>
                <c:pt idx="199">
                  <c:v>1.7107170499741655</c:v>
                </c:pt>
                <c:pt idx="200">
                  <c:v>1.7276671118801099</c:v>
                </c:pt>
              </c:numCache>
            </c:numRef>
          </c:val>
          <c:smooth val="0"/>
          <c:extLst>
            <c:ext xmlns:c16="http://schemas.microsoft.com/office/drawing/2014/chart" uri="{C3380CC4-5D6E-409C-BE32-E72D297353CC}">
              <c16:uniqueId val="{00000001-7890-472B-AAE1-D1CB0E55BFDF}"/>
            </c:ext>
          </c:extLst>
        </c:ser>
        <c:ser>
          <c:idx val="2"/>
          <c:order val="2"/>
          <c:tx>
            <c:v> High-Side MOSFET Loss</c:v>
          </c:tx>
          <c:spPr>
            <a:ln w="38100">
              <a:solidFill>
                <a:srgbClr val="808000"/>
              </a:solidFill>
              <a:prstDash val="sysDash"/>
            </a:ln>
          </c:spPr>
          <c:marker>
            <c:symbol val="none"/>
          </c:marker>
          <c:cat>
            <c:numRef>
              <c:f>'Power Calculations'!$H$9:$H$209</c:f>
              <c:numCache>
                <c:formatCode>General</c:formatCode>
                <c:ptCount val="201"/>
                <c:pt idx="0">
                  <c:v>0</c:v>
                </c:pt>
                <c:pt idx="1">
                  <c:v>7.4999999999999997E-2</c:v>
                </c:pt>
                <c:pt idx="2">
                  <c:v>0.15</c:v>
                </c:pt>
                <c:pt idx="3">
                  <c:v>0.22499999999999998</c:v>
                </c:pt>
                <c:pt idx="4">
                  <c:v>0.3</c:v>
                </c:pt>
                <c:pt idx="5">
                  <c:v>0.375</c:v>
                </c:pt>
                <c:pt idx="6">
                  <c:v>0.44999999999999996</c:v>
                </c:pt>
                <c:pt idx="7">
                  <c:v>0.52500000000000002</c:v>
                </c:pt>
                <c:pt idx="8">
                  <c:v>0.6</c:v>
                </c:pt>
                <c:pt idx="9">
                  <c:v>0.67499999999999993</c:v>
                </c:pt>
                <c:pt idx="10">
                  <c:v>0.75</c:v>
                </c:pt>
                <c:pt idx="11">
                  <c:v>0.82499999999999996</c:v>
                </c:pt>
                <c:pt idx="12">
                  <c:v>0.89999999999999991</c:v>
                </c:pt>
                <c:pt idx="13">
                  <c:v>0.97500000000000009</c:v>
                </c:pt>
                <c:pt idx="14">
                  <c:v>1.05</c:v>
                </c:pt>
                <c:pt idx="15">
                  <c:v>1.125</c:v>
                </c:pt>
                <c:pt idx="16">
                  <c:v>1.2</c:v>
                </c:pt>
                <c:pt idx="17">
                  <c:v>1.2750000000000001</c:v>
                </c:pt>
                <c:pt idx="18">
                  <c:v>1.3499999999999999</c:v>
                </c:pt>
                <c:pt idx="19">
                  <c:v>1.425</c:v>
                </c:pt>
                <c:pt idx="20">
                  <c:v>1.5</c:v>
                </c:pt>
                <c:pt idx="21">
                  <c:v>1.575</c:v>
                </c:pt>
                <c:pt idx="22">
                  <c:v>1.65</c:v>
                </c:pt>
                <c:pt idx="23">
                  <c:v>1.7250000000000001</c:v>
                </c:pt>
                <c:pt idx="24">
                  <c:v>1.7999999999999998</c:v>
                </c:pt>
                <c:pt idx="25">
                  <c:v>1.875</c:v>
                </c:pt>
                <c:pt idx="26">
                  <c:v>1.9500000000000002</c:v>
                </c:pt>
                <c:pt idx="27">
                  <c:v>2.0250000000000004</c:v>
                </c:pt>
                <c:pt idx="28">
                  <c:v>2.1</c:v>
                </c:pt>
                <c:pt idx="29">
                  <c:v>2.1749999999999998</c:v>
                </c:pt>
                <c:pt idx="30">
                  <c:v>2.25</c:v>
                </c:pt>
                <c:pt idx="31">
                  <c:v>2.3250000000000002</c:v>
                </c:pt>
                <c:pt idx="32">
                  <c:v>2.4</c:v>
                </c:pt>
                <c:pt idx="33">
                  <c:v>2.4750000000000001</c:v>
                </c:pt>
                <c:pt idx="34">
                  <c:v>2.5500000000000003</c:v>
                </c:pt>
                <c:pt idx="35">
                  <c:v>2.625</c:v>
                </c:pt>
                <c:pt idx="36">
                  <c:v>2.6999999999999997</c:v>
                </c:pt>
                <c:pt idx="37">
                  <c:v>2.7749999999999999</c:v>
                </c:pt>
                <c:pt idx="38">
                  <c:v>2.85</c:v>
                </c:pt>
                <c:pt idx="39">
                  <c:v>2.9250000000000003</c:v>
                </c:pt>
                <c:pt idx="40">
                  <c:v>3</c:v>
                </c:pt>
                <c:pt idx="41">
                  <c:v>3.0749999999999997</c:v>
                </c:pt>
                <c:pt idx="42">
                  <c:v>3.15</c:v>
                </c:pt>
                <c:pt idx="43">
                  <c:v>3.2250000000000001</c:v>
                </c:pt>
                <c:pt idx="44">
                  <c:v>3.3</c:v>
                </c:pt>
                <c:pt idx="45">
                  <c:v>3.375</c:v>
                </c:pt>
                <c:pt idx="46">
                  <c:v>3.45</c:v>
                </c:pt>
                <c:pt idx="47">
                  <c:v>3.5249999999999999</c:v>
                </c:pt>
                <c:pt idx="48">
                  <c:v>3.5999999999999996</c:v>
                </c:pt>
                <c:pt idx="49">
                  <c:v>3.6749999999999998</c:v>
                </c:pt>
                <c:pt idx="50">
                  <c:v>3.75</c:v>
                </c:pt>
                <c:pt idx="51">
                  <c:v>3.8250000000000002</c:v>
                </c:pt>
                <c:pt idx="52">
                  <c:v>3.9000000000000004</c:v>
                </c:pt>
                <c:pt idx="53">
                  <c:v>3.9750000000000001</c:v>
                </c:pt>
                <c:pt idx="54">
                  <c:v>4.0500000000000007</c:v>
                </c:pt>
                <c:pt idx="55">
                  <c:v>4.125</c:v>
                </c:pt>
                <c:pt idx="56">
                  <c:v>4.2</c:v>
                </c:pt>
                <c:pt idx="57">
                  <c:v>4.2749999999999995</c:v>
                </c:pt>
                <c:pt idx="58">
                  <c:v>4.3499999999999996</c:v>
                </c:pt>
                <c:pt idx="59">
                  <c:v>4.4249999999999998</c:v>
                </c:pt>
                <c:pt idx="60">
                  <c:v>4.5</c:v>
                </c:pt>
                <c:pt idx="61">
                  <c:v>4.5750000000000002</c:v>
                </c:pt>
                <c:pt idx="62">
                  <c:v>4.6500000000000004</c:v>
                </c:pt>
                <c:pt idx="63">
                  <c:v>4.7249999999999996</c:v>
                </c:pt>
                <c:pt idx="64">
                  <c:v>4.8</c:v>
                </c:pt>
                <c:pt idx="65">
                  <c:v>4.875</c:v>
                </c:pt>
                <c:pt idx="66">
                  <c:v>4.95</c:v>
                </c:pt>
                <c:pt idx="67">
                  <c:v>5.0250000000000004</c:v>
                </c:pt>
                <c:pt idx="68">
                  <c:v>5.1000000000000005</c:v>
                </c:pt>
                <c:pt idx="69">
                  <c:v>5.1749999999999998</c:v>
                </c:pt>
                <c:pt idx="70">
                  <c:v>5.25</c:v>
                </c:pt>
                <c:pt idx="71">
                  <c:v>5.3249999999999993</c:v>
                </c:pt>
                <c:pt idx="72">
                  <c:v>5.3999999999999995</c:v>
                </c:pt>
                <c:pt idx="73">
                  <c:v>5.4749999999999996</c:v>
                </c:pt>
                <c:pt idx="74">
                  <c:v>5.55</c:v>
                </c:pt>
                <c:pt idx="75">
                  <c:v>5.625</c:v>
                </c:pt>
                <c:pt idx="76">
                  <c:v>5.7</c:v>
                </c:pt>
                <c:pt idx="77">
                  <c:v>5.7750000000000004</c:v>
                </c:pt>
                <c:pt idx="78">
                  <c:v>5.8500000000000005</c:v>
                </c:pt>
                <c:pt idx="79">
                  <c:v>5.9250000000000007</c:v>
                </c:pt>
                <c:pt idx="80">
                  <c:v>6</c:v>
                </c:pt>
                <c:pt idx="81">
                  <c:v>6.0750000000000002</c:v>
                </c:pt>
                <c:pt idx="82">
                  <c:v>6.1499999999999995</c:v>
                </c:pt>
                <c:pt idx="83">
                  <c:v>6.2249999999999996</c:v>
                </c:pt>
                <c:pt idx="84">
                  <c:v>6.3</c:v>
                </c:pt>
                <c:pt idx="85">
                  <c:v>6.375</c:v>
                </c:pt>
                <c:pt idx="86">
                  <c:v>6.45</c:v>
                </c:pt>
                <c:pt idx="87">
                  <c:v>6.5250000000000004</c:v>
                </c:pt>
                <c:pt idx="88">
                  <c:v>6.6</c:v>
                </c:pt>
                <c:pt idx="89">
                  <c:v>6.6749999999999998</c:v>
                </c:pt>
                <c:pt idx="90">
                  <c:v>6.75</c:v>
                </c:pt>
                <c:pt idx="91">
                  <c:v>6.8250000000000002</c:v>
                </c:pt>
                <c:pt idx="92">
                  <c:v>6.9</c:v>
                </c:pt>
                <c:pt idx="93">
                  <c:v>6.9750000000000005</c:v>
                </c:pt>
                <c:pt idx="94">
                  <c:v>7.05</c:v>
                </c:pt>
                <c:pt idx="95">
                  <c:v>7.125</c:v>
                </c:pt>
                <c:pt idx="96">
                  <c:v>7.1999999999999993</c:v>
                </c:pt>
                <c:pt idx="97">
                  <c:v>7.2749999999999995</c:v>
                </c:pt>
                <c:pt idx="98">
                  <c:v>7.35</c:v>
                </c:pt>
                <c:pt idx="99">
                  <c:v>7.4249999999999998</c:v>
                </c:pt>
                <c:pt idx="100">
                  <c:v>7.5</c:v>
                </c:pt>
                <c:pt idx="101">
                  <c:v>7.5750000000000002</c:v>
                </c:pt>
                <c:pt idx="102">
                  <c:v>7.65</c:v>
                </c:pt>
                <c:pt idx="103">
                  <c:v>7.7250000000000005</c:v>
                </c:pt>
                <c:pt idx="104">
                  <c:v>7.8000000000000007</c:v>
                </c:pt>
                <c:pt idx="105">
                  <c:v>7.875</c:v>
                </c:pt>
                <c:pt idx="106">
                  <c:v>7.95</c:v>
                </c:pt>
                <c:pt idx="107">
                  <c:v>8.0250000000000004</c:v>
                </c:pt>
                <c:pt idx="108">
                  <c:v>8.1000000000000014</c:v>
                </c:pt>
                <c:pt idx="109">
                  <c:v>8.1750000000000007</c:v>
                </c:pt>
                <c:pt idx="110">
                  <c:v>8.25</c:v>
                </c:pt>
                <c:pt idx="111">
                  <c:v>8.3250000000000011</c:v>
                </c:pt>
                <c:pt idx="112">
                  <c:v>8.4</c:v>
                </c:pt>
                <c:pt idx="113">
                  <c:v>8.4749999999999996</c:v>
                </c:pt>
                <c:pt idx="114">
                  <c:v>8.5499999999999989</c:v>
                </c:pt>
                <c:pt idx="115">
                  <c:v>8.625</c:v>
                </c:pt>
                <c:pt idx="116">
                  <c:v>8.6999999999999993</c:v>
                </c:pt>
                <c:pt idx="117">
                  <c:v>8.7749999999999986</c:v>
                </c:pt>
                <c:pt idx="118">
                  <c:v>8.85</c:v>
                </c:pt>
                <c:pt idx="119">
                  <c:v>8.9249999999999989</c:v>
                </c:pt>
                <c:pt idx="120">
                  <c:v>9</c:v>
                </c:pt>
                <c:pt idx="121">
                  <c:v>9.0749999999999993</c:v>
                </c:pt>
                <c:pt idx="122">
                  <c:v>9.15</c:v>
                </c:pt>
                <c:pt idx="123">
                  <c:v>9.2249999999999996</c:v>
                </c:pt>
                <c:pt idx="124">
                  <c:v>9.3000000000000007</c:v>
                </c:pt>
                <c:pt idx="125">
                  <c:v>9.375</c:v>
                </c:pt>
                <c:pt idx="126">
                  <c:v>9.4499999999999993</c:v>
                </c:pt>
                <c:pt idx="127">
                  <c:v>9.5250000000000004</c:v>
                </c:pt>
                <c:pt idx="128">
                  <c:v>9.6</c:v>
                </c:pt>
                <c:pt idx="129">
                  <c:v>9.6750000000000007</c:v>
                </c:pt>
                <c:pt idx="130">
                  <c:v>9.75</c:v>
                </c:pt>
                <c:pt idx="131">
                  <c:v>9.8250000000000011</c:v>
                </c:pt>
                <c:pt idx="132">
                  <c:v>9.9</c:v>
                </c:pt>
                <c:pt idx="133">
                  <c:v>9.9750000000000014</c:v>
                </c:pt>
                <c:pt idx="134">
                  <c:v>10.050000000000001</c:v>
                </c:pt>
                <c:pt idx="135">
                  <c:v>10.125</c:v>
                </c:pt>
                <c:pt idx="136">
                  <c:v>10.200000000000001</c:v>
                </c:pt>
                <c:pt idx="137">
                  <c:v>10.275</c:v>
                </c:pt>
                <c:pt idx="138">
                  <c:v>10.35</c:v>
                </c:pt>
                <c:pt idx="139">
                  <c:v>10.424999999999999</c:v>
                </c:pt>
                <c:pt idx="140">
                  <c:v>10.5</c:v>
                </c:pt>
                <c:pt idx="141">
                  <c:v>10.574999999999999</c:v>
                </c:pt>
                <c:pt idx="142">
                  <c:v>10.649999999999999</c:v>
                </c:pt>
                <c:pt idx="143">
                  <c:v>10.725</c:v>
                </c:pt>
                <c:pt idx="144">
                  <c:v>10.799999999999999</c:v>
                </c:pt>
                <c:pt idx="145">
                  <c:v>10.875</c:v>
                </c:pt>
                <c:pt idx="146">
                  <c:v>10.95</c:v>
                </c:pt>
                <c:pt idx="147">
                  <c:v>11.025</c:v>
                </c:pt>
                <c:pt idx="148">
                  <c:v>11.1</c:v>
                </c:pt>
                <c:pt idx="149">
                  <c:v>11.175000000000001</c:v>
                </c:pt>
                <c:pt idx="150">
                  <c:v>11.25</c:v>
                </c:pt>
                <c:pt idx="151">
                  <c:v>11.324999999999999</c:v>
                </c:pt>
                <c:pt idx="152">
                  <c:v>11.4</c:v>
                </c:pt>
                <c:pt idx="153">
                  <c:v>11.475</c:v>
                </c:pt>
                <c:pt idx="154">
                  <c:v>11.55</c:v>
                </c:pt>
                <c:pt idx="155">
                  <c:v>11.625</c:v>
                </c:pt>
                <c:pt idx="156">
                  <c:v>11.700000000000001</c:v>
                </c:pt>
                <c:pt idx="157">
                  <c:v>11.775</c:v>
                </c:pt>
                <c:pt idx="158">
                  <c:v>11.850000000000001</c:v>
                </c:pt>
                <c:pt idx="159">
                  <c:v>11.925000000000001</c:v>
                </c:pt>
                <c:pt idx="160">
                  <c:v>12</c:v>
                </c:pt>
                <c:pt idx="161">
                  <c:v>12.075000000000001</c:v>
                </c:pt>
                <c:pt idx="162">
                  <c:v>12.15</c:v>
                </c:pt>
                <c:pt idx="163">
                  <c:v>12.225</c:v>
                </c:pt>
                <c:pt idx="164">
                  <c:v>12.299999999999999</c:v>
                </c:pt>
                <c:pt idx="165">
                  <c:v>12.375</c:v>
                </c:pt>
                <c:pt idx="166">
                  <c:v>12.45</c:v>
                </c:pt>
                <c:pt idx="167">
                  <c:v>12.524999999999999</c:v>
                </c:pt>
                <c:pt idx="168">
                  <c:v>12.6</c:v>
                </c:pt>
                <c:pt idx="169">
                  <c:v>12.674999999999999</c:v>
                </c:pt>
                <c:pt idx="170">
                  <c:v>12.75</c:v>
                </c:pt>
                <c:pt idx="171">
                  <c:v>12.824999999999999</c:v>
                </c:pt>
                <c:pt idx="172">
                  <c:v>12.9</c:v>
                </c:pt>
                <c:pt idx="173">
                  <c:v>12.975</c:v>
                </c:pt>
                <c:pt idx="174">
                  <c:v>13.05</c:v>
                </c:pt>
                <c:pt idx="175">
                  <c:v>13.125</c:v>
                </c:pt>
                <c:pt idx="176">
                  <c:v>13.2</c:v>
                </c:pt>
                <c:pt idx="177">
                  <c:v>13.275</c:v>
                </c:pt>
                <c:pt idx="178">
                  <c:v>13.35</c:v>
                </c:pt>
                <c:pt idx="179">
                  <c:v>13.425000000000001</c:v>
                </c:pt>
                <c:pt idx="180">
                  <c:v>13.5</c:v>
                </c:pt>
                <c:pt idx="181">
                  <c:v>13.575000000000001</c:v>
                </c:pt>
                <c:pt idx="182">
                  <c:v>13.65</c:v>
                </c:pt>
                <c:pt idx="183">
                  <c:v>13.725000000000001</c:v>
                </c:pt>
                <c:pt idx="184">
                  <c:v>13.8</c:v>
                </c:pt>
                <c:pt idx="185">
                  <c:v>13.875</c:v>
                </c:pt>
                <c:pt idx="186">
                  <c:v>13.950000000000001</c:v>
                </c:pt>
                <c:pt idx="187">
                  <c:v>14.025</c:v>
                </c:pt>
                <c:pt idx="188">
                  <c:v>14.1</c:v>
                </c:pt>
                <c:pt idx="189">
                  <c:v>14.174999999999999</c:v>
                </c:pt>
                <c:pt idx="190">
                  <c:v>14.25</c:v>
                </c:pt>
                <c:pt idx="191">
                  <c:v>14.324999999999999</c:v>
                </c:pt>
                <c:pt idx="192">
                  <c:v>14.399999999999999</c:v>
                </c:pt>
                <c:pt idx="193">
                  <c:v>14.475</c:v>
                </c:pt>
                <c:pt idx="194">
                  <c:v>14.549999999999999</c:v>
                </c:pt>
                <c:pt idx="195">
                  <c:v>14.625</c:v>
                </c:pt>
                <c:pt idx="196">
                  <c:v>14.7</c:v>
                </c:pt>
                <c:pt idx="197">
                  <c:v>14.775</c:v>
                </c:pt>
                <c:pt idx="198">
                  <c:v>14.85</c:v>
                </c:pt>
                <c:pt idx="199">
                  <c:v>14.925000000000001</c:v>
                </c:pt>
                <c:pt idx="200">
                  <c:v>15</c:v>
                </c:pt>
              </c:numCache>
            </c:numRef>
          </c:cat>
          <c:val>
            <c:numRef>
              <c:f>'Power Calculations'!$AC$9:$AC$209</c:f>
              <c:numCache>
                <c:formatCode>0.0000</c:formatCode>
                <c:ptCount val="201"/>
                <c:pt idx="0">
                  <c:v>4.4692603414263288E-2</c:v>
                </c:pt>
                <c:pt idx="1">
                  <c:v>4.4645843584316454E-2</c:v>
                </c:pt>
                <c:pt idx="2">
                  <c:v>4.4764269649678348E-2</c:v>
                </c:pt>
                <c:pt idx="3">
                  <c:v>4.5048129945016072E-2</c:v>
                </c:pt>
                <c:pt idx="4">
                  <c:v>4.5497708837152068E-2</c:v>
                </c:pt>
                <c:pt idx="5">
                  <c:v>4.6113326919429092E-2</c:v>
                </c:pt>
                <c:pt idx="6">
                  <c:v>4.6895341226174503E-2</c:v>
                </c:pt>
                <c:pt idx="7">
                  <c:v>4.7844145467502881E-2</c:v>
                </c:pt>
                <c:pt idx="8">
                  <c:v>4.8960170284717261E-2</c:v>
                </c:pt>
                <c:pt idx="9">
                  <c:v>5.0243883526592141E-2</c:v>
                </c:pt>
                <c:pt idx="10">
                  <c:v>5.1695790546841904E-2</c:v>
                </c:pt>
                <c:pt idx="11">
                  <c:v>5.331643452310373E-2</c:v>
                </c:pt>
                <c:pt idx="12">
                  <c:v>5.5106396797786075E-2</c:v>
                </c:pt>
                <c:pt idx="13">
                  <c:v>5.7066297241157776E-2</c:v>
                </c:pt>
                <c:pt idx="14">
                  <c:v>5.9196794637079157E-2</c:v>
                </c:pt>
                <c:pt idx="15">
                  <c:v>6.1498587091800498E-2</c:v>
                </c:pt>
                <c:pt idx="16">
                  <c:v>6.3972412466280576E-2</c:v>
                </c:pt>
                <c:pt idx="17">
                  <c:v>6.6619048832504107E-2</c:v>
                </c:pt>
                <c:pt idx="18">
                  <c:v>6.9439314954305789E-2</c:v>
                </c:pt>
                <c:pt idx="19">
                  <c:v>7.2434070793237146E-2</c:v>
                </c:pt>
                <c:pt idx="20">
                  <c:v>7.5604218040041388E-2</c:v>
                </c:pt>
                <c:pt idx="21">
                  <c:v>7.8950700672334118E-2</c:v>
                </c:pt>
                <c:pt idx="22">
                  <c:v>8.6417524075541458E-2</c:v>
                </c:pt>
                <c:pt idx="23">
                  <c:v>0.10113880562480797</c:v>
                </c:pt>
                <c:pt idx="24">
                  <c:v>0.1153824127085689</c:v>
                </c:pt>
                <c:pt idx="25">
                  <c:v>0.12914891609042234</c:v>
                </c:pt>
                <c:pt idx="26">
                  <c:v>0.14243878399348656</c:v>
                </c:pt>
                <c:pt idx="27">
                  <c:v>0.15525238159063073</c:v>
                </c:pt>
                <c:pt idx="28">
                  <c:v>0.16758997043387114</c:v>
                </c:pt>
                <c:pt idx="29">
                  <c:v>0.17945170782190967</c:v>
                </c:pt>
                <c:pt idx="30">
                  <c:v>0.18854562292187554</c:v>
                </c:pt>
                <c:pt idx="31">
                  <c:v>0.19495885458254525</c:v>
                </c:pt>
                <c:pt idx="32">
                  <c:v>0.20156743332038063</c:v>
                </c:pt>
                <c:pt idx="33">
                  <c:v>0.20837303073259536</c:v>
                </c:pt>
                <c:pt idx="34">
                  <c:v>0.21537737304314317</c:v>
                </c:pt>
                <c:pt idx="35">
                  <c:v>0.22258224219218489</c:v>
                </c:pt>
                <c:pt idx="36">
                  <c:v>0.22998947696750147</c:v>
                </c:pt>
                <c:pt idx="37">
                  <c:v>0.23760097417923137</c:v>
                </c:pt>
                <c:pt idx="38">
                  <c:v>0.24541868987937801</c:v>
                </c:pt>
                <c:pt idx="39">
                  <c:v>0.25344464062759658</c:v>
                </c:pt>
                <c:pt idx="40">
                  <c:v>0.26168090480484296</c:v>
                </c:pt>
                <c:pt idx="41">
                  <c:v>0.27012962397653945</c:v>
                </c:pt>
                <c:pt idx="42">
                  <c:v>0.27879300430698734</c:v>
                </c:pt>
                <c:pt idx="43">
                  <c:v>0.28767331802683999</c:v>
                </c:pt>
                <c:pt idx="44">
                  <c:v>0.29677290495553316</c:v>
                </c:pt>
                <c:pt idx="45">
                  <c:v>0.30609417408065687</c:v>
                </c:pt>
                <c:pt idx="46">
                  <c:v>0.31563960519634676</c:v>
                </c:pt>
                <c:pt idx="47">
                  <c:v>0.32541175060287042</c:v>
                </c:pt>
                <c:pt idx="48">
                  <c:v>0.33541323686968844</c:v>
                </c:pt>
                <c:pt idx="49">
                  <c:v>0.34564676666436961</c:v>
                </c:pt>
                <c:pt idx="50">
                  <c:v>0.35611512064986572</c:v>
                </c:pt>
                <c:pt idx="51">
                  <c:v>0.36682115945275345</c:v>
                </c:pt>
                <c:pt idx="52">
                  <c:v>0.37776782570519257</c:v>
                </c:pt>
                <c:pt idx="53">
                  <c:v>0.38895814616346519</c:v>
                </c:pt>
                <c:pt idx="54">
                  <c:v>0.40039523390610843</c:v>
                </c:pt>
                <c:pt idx="55">
                  <c:v>0.41208229061479423</c:v>
                </c:pt>
                <c:pt idx="56">
                  <c:v>0.42402260894126381</c:v>
                </c:pt>
                <c:pt idx="57">
                  <c:v>0.43621957496378128</c:v>
                </c:pt>
                <c:pt idx="58">
                  <c:v>0.448676670736746</c:v>
                </c:pt>
                <c:pt idx="59">
                  <c:v>0.4613974769372759</c:v>
                </c:pt>
                <c:pt idx="60">
                  <c:v>0.47438567561276412</c:v>
                </c:pt>
                <c:pt idx="61">
                  <c:v>0.48764505303361194</c:v>
                </c:pt>
                <c:pt idx="62">
                  <c:v>0.50117950265554501</c:v>
                </c:pt>
                <c:pt idx="63">
                  <c:v>0.51499302819614245</c:v>
                </c:pt>
                <c:pt idx="64">
                  <c:v>0.52908974683044263</c:v>
                </c:pt>
                <c:pt idx="65">
                  <c:v>0.54347389251073219</c:v>
                </c:pt>
                <c:pt idx="66">
                  <c:v>0.55814981941588804</c:v>
                </c:pt>
                <c:pt idx="67">
                  <c:v>0.57312200553591308</c:v>
                </c:pt>
                <c:pt idx="68">
                  <c:v>0.58839505639759415</c:v>
                </c:pt>
                <c:pt idx="69">
                  <c:v>0.60397370893752622</c:v>
                </c:pt>
                <c:pt idx="70">
                  <c:v>0.61986283552906285</c:v>
                </c:pt>
                <c:pt idx="71">
                  <c:v>0.63606744817009231</c:v>
                </c:pt>
                <c:pt idx="72">
                  <c:v>0.65259270283891968</c:v>
                </c:pt>
                <c:pt idx="73">
                  <c:v>0.66944390402589882</c:v>
                </c:pt>
                <c:pt idx="74">
                  <c:v>0.68662650944887638</c:v>
                </c:pt>
                <c:pt idx="75">
                  <c:v>0.70414613496094514</c:v>
                </c:pt>
                <c:pt idx="76">
                  <c:v>0.72200855965945188</c:v>
                </c:pt>
                <c:pt idx="77">
                  <c:v>0.74021973120569973</c:v>
                </c:pt>
                <c:pt idx="78">
                  <c:v>0.75878577136529324</c:v>
                </c:pt>
                <c:pt idx="79">
                  <c:v>0.77771298177962744</c:v>
                </c:pt>
                <c:pt idx="80">
                  <c:v>0.7970078499796005</c:v>
                </c:pt>
                <c:pt idx="81">
                  <c:v>0.81667705565324344</c:v>
                </c:pt>
                <c:pt idx="82">
                  <c:v>0.83672747717962204</c:v>
                </c:pt>
                <c:pt idx="83">
                  <c:v>0.8571661984420641</c:v>
                </c:pt>
                <c:pt idx="84">
                  <c:v>0.87800051593449602</c:v>
                </c:pt>
                <c:pt idx="85">
                  <c:v>0.89923794617547725</c:v>
                </c:pt>
                <c:pt idx="86">
                  <c:v>0.92088623344535758</c:v>
                </c:pt>
                <c:pt idx="87">
                  <c:v>0.94295335786285861</c:v>
                </c:pt>
                <c:pt idx="88">
                  <c:v>0.96544754381837561</c:v>
                </c:pt>
                <c:pt idx="89">
                  <c:v>0.98837726878226873</c:v>
                </c:pt>
                <c:pt idx="90">
                  <c:v>1.0117512725075246</c:v>
                </c:pt>
                <c:pt idx="91">
                  <c:v>1.0355785666473276</c:v>
                </c:pt>
                <c:pt idx="92">
                  <c:v>1.0598684448092872</c:v>
                </c:pt>
                <c:pt idx="93">
                  <c:v>1.0846304930694428</c:v>
                </c:pt>
                <c:pt idx="94">
                  <c:v>1.1098746009705094</c:v>
                </c:pt>
                <c:pt idx="95">
                  <c:v>1.1356109730303983</c:v>
                </c:pt>
                <c:pt idx="96">
                  <c:v>1.1618501407886177</c:v>
                </c:pt>
                <c:pt idx="97">
                  <c:v>1.1886029754199159</c:v>
                </c:pt>
                <c:pt idx="98">
                  <c:v>1.2158807009463479</c:v>
                </c:pt>
                <c:pt idx="99">
                  <c:v>1.2436949080809605</c:v>
                </c:pt>
                <c:pt idx="100">
                  <c:v>1.2720575687383862</c:v>
                </c:pt>
                <c:pt idx="101">
                  <c:v>1.3009810512499398</c:v>
                </c:pt>
                <c:pt idx="102">
                  <c:v>1.330478136323231</c:v>
                </c:pt>
                <c:pt idx="103">
                  <c:v>1.3605620337889457</c:v>
                </c:pt>
                <c:pt idx="104">
                  <c:v>1.3912464001802838</c:v>
                </c:pt>
                <c:pt idx="105">
                  <c:v>1.4225453571935256</c:v>
                </c:pt>
                <c:pt idx="106">
                  <c:v>1.4544735110815157</c:v>
                </c:pt>
                <c:pt idx="107">
                  <c:v>1.4870459730353249</c:v>
                </c:pt>
                <c:pt idx="108">
                  <c:v>1.5202783806131368</c:v>
                </c:pt>
                <c:pt idx="109">
                  <c:v>1.5541869202794933</c:v>
                </c:pt>
                <c:pt idx="110">
                  <c:v>1.588788351122403</c:v>
                </c:pt>
                <c:pt idx="111">
                  <c:v>1.6241000298205679</c:v>
                </c:pt>
                <c:pt idx="112">
                  <c:v>1.6601399369380818</c:v>
                </c:pt>
                <c:pt idx="113">
                  <c:v>1.6969267046295102</c:v>
                </c:pt>
                <c:pt idx="114">
                  <c:v>1.7344796458441905</c:v>
                </c:pt>
                <c:pt idx="115">
                  <c:v>1.7728187851250909</c:v>
                </c:pt>
                <c:pt idx="116">
                  <c:v>1.8119648911045338</c:v>
                </c:pt>
                <c:pt idx="117">
                  <c:v>1.8519395108066929</c:v>
                </c:pt>
                <c:pt idx="118">
                  <c:v>1.8927650058749499</c:v>
                </c:pt>
                <c:pt idx="119">
                  <c:v>1.9344645908511424</c:v>
                </c:pt>
                <c:pt idx="120">
                  <c:v>1.9770623736434001</c:v>
                </c:pt>
                <c:pt idx="121">
                  <c:v>2.0205833983297596</c:v>
                </c:pt>
                <c:pt idx="122">
                  <c:v>2.0650536904562085</c:v>
                </c:pt>
                <c:pt idx="123">
                  <c:v>2.1105003050002047</c:v>
                </c:pt>
                <c:pt idx="124">
                  <c:v>2.1569513771843063</c:v>
                </c:pt>
                <c:pt idx="125">
                  <c:v>2.2044361763392866</c:v>
                </c:pt>
                <c:pt idx="126">
                  <c:v>2.2529851630322169</c:v>
                </c:pt>
                <c:pt idx="127">
                  <c:v>2.30263004969258</c:v>
                </c:pt>
                <c:pt idx="128">
                  <c:v>2.3534038649886888</c:v>
                </c:pt>
                <c:pt idx="129">
                  <c:v>2.4053410222277356</c:v>
                </c:pt>
                <c:pt idx="130">
                  <c:v>2.4584773920757304</c:v>
                </c:pt>
                <c:pt idx="131">
                  <c:v>2.5128503799188562</c:v>
                </c:pt>
                <c:pt idx="132">
                  <c:v>2.5684990082154013</c:v>
                </c:pt>
                <c:pt idx="133">
                  <c:v>2.6254640042177244</c:v>
                </c:pt>
                <c:pt idx="134">
                  <c:v>2.6837878934771449</c:v>
                </c:pt>
                <c:pt idx="135">
                  <c:v>2.7435150995812285</c:v>
                </c:pt>
                <c:pt idx="136">
                  <c:v>2.8046920506134283</c:v>
                </c:pt>
                <c:pt idx="137">
                  <c:v>2.8673672928694423</c:v>
                </c:pt>
                <c:pt idx="138">
                  <c:v>2.9315916124139068</c:v>
                </c:pt>
                <c:pt idx="139">
                  <c:v>2.9974181651151501</c:v>
                </c:pt>
                <c:pt idx="140">
                  <c:v>3.0649026158558215</c:v>
                </c:pt>
                <c:pt idx="141">
                  <c:v>3.1341032876836361</c:v>
                </c:pt>
                <c:pt idx="142">
                  <c:v>3.2050813217400367</c:v>
                </c:pt>
                <c:pt idx="143">
                  <c:v>3.2779008488863184</c:v>
                </c:pt>
                <c:pt idx="144">
                  <c:v>3.3526291740375069</c:v>
                </c:pt>
                <c:pt idx="145">
                  <c:v>3.4293369743152757</c:v>
                </c:pt>
                <c:pt idx="146">
                  <c:v>3.5080985122436088</c:v>
                </c:pt>
                <c:pt idx="147">
                  <c:v>3.5889918653364448</c:v>
                </c:pt>
                <c:pt idx="148">
                  <c:v>3.6720991735665409</c:v>
                </c:pt>
                <c:pt idx="149">
                  <c:v>3.7575069063614968</c:v>
                </c:pt>
                <c:pt idx="150">
                  <c:v>3.8453061509483901</c:v>
                </c:pt>
                <c:pt idx="151">
                  <c:v>3.9355929240651975</c:v>
                </c:pt>
                <c:pt idx="152">
                  <c:v>4.0284685092782526</c:v>
                </c:pt>
                <c:pt idx="153">
                  <c:v>4.1240398223936037</c:v>
                </c:pt>
                <c:pt idx="154">
                  <c:v>4.2224198077303612</c:v>
                </c:pt>
                <c:pt idx="155">
                  <c:v>4.3237278683402067</c:v>
                </c:pt>
                <c:pt idx="156">
                  <c:v>4.4280903336145077</c:v>
                </c:pt>
                <c:pt idx="157">
                  <c:v>4.5356409681253504</c:v>
                </c:pt>
                <c:pt idx="158">
                  <c:v>4.6465215260054613</c:v>
                </c:pt>
                <c:pt idx="159">
                  <c:v>4.7608823556936279</c:v>
                </c:pt>
                <c:pt idx="160">
                  <c:v>4.8788830604658031</c:v>
                </c:pt>
                <c:pt idx="161">
                  <c:v>5.0006932208491666</c:v>
                </c:pt>
                <c:pt idx="162">
                  <c:v>5.126493185789994</c:v>
                </c:pt>
                <c:pt idx="163">
                  <c:v>5.2564749403323505</c:v>
                </c:pt>
                <c:pt idx="164">
                  <c:v>5.3908430585808809</c:v>
                </c:pt>
                <c:pt idx="165">
                  <c:v>5.5298157518901245</c:v>
                </c:pt>
                <c:pt idx="166">
                  <c:v>5.6736260235697547</c:v>
                </c:pt>
                <c:pt idx="167">
                  <c:v>5.8225229429510517</c:v>
                </c:pt>
                <c:pt idx="168">
                  <c:v>5.9767730534615335</c:v>
                </c:pt>
                <c:pt idx="169">
                  <c:v>6.1366619314451087</c:v>
                </c:pt>
                <c:pt idx="170">
                  <c:v>6.3024959148980093</c:v>
                </c:pt>
                <c:pt idx="171">
                  <c:v>6.4746040241281424</c:v>
                </c:pt>
                <c:pt idx="172">
                  <c:v>6.6533400996647369</c:v>
                </c:pt>
                <c:pt idx="173">
                  <c:v>6.8390851866380533</c:v>
                </c:pt>
                <c:pt idx="174">
                  <c:v>7.0322501994288951</c:v>
                </c:pt>
                <c:pt idx="175">
                  <c:v>7.233278905789823</c:v>
                </c:pt>
                <c:pt idx="176">
                  <c:v>7.44265127603546</c:v>
                </c:pt>
                <c:pt idx="177">
                  <c:v>7.6608872504910019</c:v>
                </c:pt>
                <c:pt idx="178">
                  <c:v>7.8885509874329687</c:v>
                </c:pt>
                <c:pt idx="179">
                  <c:v>8.1262556645693778</c:v>
                </c:pt>
                <c:pt idx="180">
                  <c:v>8.3746689200790048</c:v>
                </c:pt>
                <c:pt idx="181">
                  <c:v>8.6345190348541543</c:v>
                </c:pt>
                <c:pt idx="182">
                  <c:v>8.9066019764813511</c:v>
                </c:pt>
                <c:pt idx="183">
                  <c:v>9.1917894484295513</c:v>
                </c:pt>
                <c:pt idx="184">
                  <c:v>9.4910381158780019</c:v>
                </c:pt>
                <c:pt idx="185">
                  <c:v>9.8054002138645799</c:v>
                </c:pt>
                <c:pt idx="186">
                  <c:v>10.136035785577018</c:v>
                </c:pt>
                <c:pt idx="187">
                  <c:v>10.48422685072123</c:v>
                </c:pt>
                <c:pt idx="188">
                  <c:v>10.851393868673032</c:v>
                </c:pt>
                <c:pt idx="189">
                  <c:v>11.239114942063196</c:v>
                </c:pt>
                <c:pt idx="190">
                  <c:v>11.649148308179116</c:v>
                </c:pt>
                <c:pt idx="191">
                  <c:v>12.083458794190911</c:v>
                </c:pt>
                <c:pt idx="192">
                  <c:v>12.544249075868249</c:v>
                </c:pt>
                <c:pt idx="193">
                  <c:v>13.033996789074797</c:v>
                </c:pt>
                <c:pt idx="194">
                  <c:v>13.555498813719488</c:v>
                </c:pt>
                <c:pt idx="195">
                  <c:v>14.111924401229802</c:v>
                </c:pt>
                <c:pt idx="196">
                  <c:v>14.706879276882058</c:v>
                </c:pt>
                <c:pt idx="197">
                  <c:v>15.344483456299178</c:v>
                </c:pt>
                <c:pt idx="198">
                  <c:v>16.029466325721721</c:v>
                </c:pt>
                <c:pt idx="199">
                  <c:v>16.767283625958981</c:v>
                </c:pt>
                <c:pt idx="200">
                  <c:v>17.564262462025937</c:v>
                </c:pt>
              </c:numCache>
            </c:numRef>
          </c:val>
          <c:smooth val="0"/>
          <c:extLst>
            <c:ext xmlns:c16="http://schemas.microsoft.com/office/drawing/2014/chart" uri="{C3380CC4-5D6E-409C-BE32-E72D297353CC}">
              <c16:uniqueId val="{00000002-7890-472B-AAE1-D1CB0E55BFDF}"/>
            </c:ext>
          </c:extLst>
        </c:ser>
        <c:ser>
          <c:idx val="1"/>
          <c:order val="3"/>
          <c:tx>
            <c:v> Low-Side MOSFET Loss</c:v>
          </c:tx>
          <c:spPr>
            <a:ln w="38100">
              <a:solidFill>
                <a:srgbClr val="002060"/>
              </a:solidFill>
              <a:prstDash val="sysDot"/>
            </a:ln>
          </c:spPr>
          <c:marker>
            <c:symbol val="none"/>
          </c:marker>
          <c:cat>
            <c:numRef>
              <c:f>'Power Calculations'!$H$9:$H$209</c:f>
              <c:numCache>
                <c:formatCode>General</c:formatCode>
                <c:ptCount val="201"/>
                <c:pt idx="0">
                  <c:v>0</c:v>
                </c:pt>
                <c:pt idx="1">
                  <c:v>7.4999999999999997E-2</c:v>
                </c:pt>
                <c:pt idx="2">
                  <c:v>0.15</c:v>
                </c:pt>
                <c:pt idx="3">
                  <c:v>0.22499999999999998</c:v>
                </c:pt>
                <c:pt idx="4">
                  <c:v>0.3</c:v>
                </c:pt>
                <c:pt idx="5">
                  <c:v>0.375</c:v>
                </c:pt>
                <c:pt idx="6">
                  <c:v>0.44999999999999996</c:v>
                </c:pt>
                <c:pt idx="7">
                  <c:v>0.52500000000000002</c:v>
                </c:pt>
                <c:pt idx="8">
                  <c:v>0.6</c:v>
                </c:pt>
                <c:pt idx="9">
                  <c:v>0.67499999999999993</c:v>
                </c:pt>
                <c:pt idx="10">
                  <c:v>0.75</c:v>
                </c:pt>
                <c:pt idx="11">
                  <c:v>0.82499999999999996</c:v>
                </c:pt>
                <c:pt idx="12">
                  <c:v>0.89999999999999991</c:v>
                </c:pt>
                <c:pt idx="13">
                  <c:v>0.97500000000000009</c:v>
                </c:pt>
                <c:pt idx="14">
                  <c:v>1.05</c:v>
                </c:pt>
                <c:pt idx="15">
                  <c:v>1.125</c:v>
                </c:pt>
                <c:pt idx="16">
                  <c:v>1.2</c:v>
                </c:pt>
                <c:pt idx="17">
                  <c:v>1.2750000000000001</c:v>
                </c:pt>
                <c:pt idx="18">
                  <c:v>1.3499999999999999</c:v>
                </c:pt>
                <c:pt idx="19">
                  <c:v>1.425</c:v>
                </c:pt>
                <c:pt idx="20">
                  <c:v>1.5</c:v>
                </c:pt>
                <c:pt idx="21">
                  <c:v>1.575</c:v>
                </c:pt>
                <c:pt idx="22">
                  <c:v>1.65</c:v>
                </c:pt>
                <c:pt idx="23">
                  <c:v>1.7250000000000001</c:v>
                </c:pt>
                <c:pt idx="24">
                  <c:v>1.7999999999999998</c:v>
                </c:pt>
                <c:pt idx="25">
                  <c:v>1.875</c:v>
                </c:pt>
                <c:pt idx="26">
                  <c:v>1.9500000000000002</c:v>
                </c:pt>
                <c:pt idx="27">
                  <c:v>2.0250000000000004</c:v>
                </c:pt>
                <c:pt idx="28">
                  <c:v>2.1</c:v>
                </c:pt>
                <c:pt idx="29">
                  <c:v>2.1749999999999998</c:v>
                </c:pt>
                <c:pt idx="30">
                  <c:v>2.25</c:v>
                </c:pt>
                <c:pt idx="31">
                  <c:v>2.3250000000000002</c:v>
                </c:pt>
                <c:pt idx="32">
                  <c:v>2.4</c:v>
                </c:pt>
                <c:pt idx="33">
                  <c:v>2.4750000000000001</c:v>
                </c:pt>
                <c:pt idx="34">
                  <c:v>2.5500000000000003</c:v>
                </c:pt>
                <c:pt idx="35">
                  <c:v>2.625</c:v>
                </c:pt>
                <c:pt idx="36">
                  <c:v>2.6999999999999997</c:v>
                </c:pt>
                <c:pt idx="37">
                  <c:v>2.7749999999999999</c:v>
                </c:pt>
                <c:pt idx="38">
                  <c:v>2.85</c:v>
                </c:pt>
                <c:pt idx="39">
                  <c:v>2.9250000000000003</c:v>
                </c:pt>
                <c:pt idx="40">
                  <c:v>3</c:v>
                </c:pt>
                <c:pt idx="41">
                  <c:v>3.0749999999999997</c:v>
                </c:pt>
                <c:pt idx="42">
                  <c:v>3.15</c:v>
                </c:pt>
                <c:pt idx="43">
                  <c:v>3.2250000000000001</c:v>
                </c:pt>
                <c:pt idx="44">
                  <c:v>3.3</c:v>
                </c:pt>
                <c:pt idx="45">
                  <c:v>3.375</c:v>
                </c:pt>
                <c:pt idx="46">
                  <c:v>3.45</c:v>
                </c:pt>
                <c:pt idx="47">
                  <c:v>3.5249999999999999</c:v>
                </c:pt>
                <c:pt idx="48">
                  <c:v>3.5999999999999996</c:v>
                </c:pt>
                <c:pt idx="49">
                  <c:v>3.6749999999999998</c:v>
                </c:pt>
                <c:pt idx="50">
                  <c:v>3.75</c:v>
                </c:pt>
                <c:pt idx="51">
                  <c:v>3.8250000000000002</c:v>
                </c:pt>
                <c:pt idx="52">
                  <c:v>3.9000000000000004</c:v>
                </c:pt>
                <c:pt idx="53">
                  <c:v>3.9750000000000001</c:v>
                </c:pt>
                <c:pt idx="54">
                  <c:v>4.0500000000000007</c:v>
                </c:pt>
                <c:pt idx="55">
                  <c:v>4.125</c:v>
                </c:pt>
                <c:pt idx="56">
                  <c:v>4.2</c:v>
                </c:pt>
                <c:pt idx="57">
                  <c:v>4.2749999999999995</c:v>
                </c:pt>
                <c:pt idx="58">
                  <c:v>4.3499999999999996</c:v>
                </c:pt>
                <c:pt idx="59">
                  <c:v>4.4249999999999998</c:v>
                </c:pt>
                <c:pt idx="60">
                  <c:v>4.5</c:v>
                </c:pt>
                <c:pt idx="61">
                  <c:v>4.5750000000000002</c:v>
                </c:pt>
                <c:pt idx="62">
                  <c:v>4.6500000000000004</c:v>
                </c:pt>
                <c:pt idx="63">
                  <c:v>4.7249999999999996</c:v>
                </c:pt>
                <c:pt idx="64">
                  <c:v>4.8</c:v>
                </c:pt>
                <c:pt idx="65">
                  <c:v>4.875</c:v>
                </c:pt>
                <c:pt idx="66">
                  <c:v>4.95</c:v>
                </c:pt>
                <c:pt idx="67">
                  <c:v>5.0250000000000004</c:v>
                </c:pt>
                <c:pt idx="68">
                  <c:v>5.1000000000000005</c:v>
                </c:pt>
                <c:pt idx="69">
                  <c:v>5.1749999999999998</c:v>
                </c:pt>
                <c:pt idx="70">
                  <c:v>5.25</c:v>
                </c:pt>
                <c:pt idx="71">
                  <c:v>5.3249999999999993</c:v>
                </c:pt>
                <c:pt idx="72">
                  <c:v>5.3999999999999995</c:v>
                </c:pt>
                <c:pt idx="73">
                  <c:v>5.4749999999999996</c:v>
                </c:pt>
                <c:pt idx="74">
                  <c:v>5.55</c:v>
                </c:pt>
                <c:pt idx="75">
                  <c:v>5.625</c:v>
                </c:pt>
                <c:pt idx="76">
                  <c:v>5.7</c:v>
                </c:pt>
                <c:pt idx="77">
                  <c:v>5.7750000000000004</c:v>
                </c:pt>
                <c:pt idx="78">
                  <c:v>5.8500000000000005</c:v>
                </c:pt>
                <c:pt idx="79">
                  <c:v>5.9250000000000007</c:v>
                </c:pt>
                <c:pt idx="80">
                  <c:v>6</c:v>
                </c:pt>
                <c:pt idx="81">
                  <c:v>6.0750000000000002</c:v>
                </c:pt>
                <c:pt idx="82">
                  <c:v>6.1499999999999995</c:v>
                </c:pt>
                <c:pt idx="83">
                  <c:v>6.2249999999999996</c:v>
                </c:pt>
                <c:pt idx="84">
                  <c:v>6.3</c:v>
                </c:pt>
                <c:pt idx="85">
                  <c:v>6.375</c:v>
                </c:pt>
                <c:pt idx="86">
                  <c:v>6.45</c:v>
                </c:pt>
                <c:pt idx="87">
                  <c:v>6.5250000000000004</c:v>
                </c:pt>
                <c:pt idx="88">
                  <c:v>6.6</c:v>
                </c:pt>
                <c:pt idx="89">
                  <c:v>6.6749999999999998</c:v>
                </c:pt>
                <c:pt idx="90">
                  <c:v>6.75</c:v>
                </c:pt>
                <c:pt idx="91">
                  <c:v>6.8250000000000002</c:v>
                </c:pt>
                <c:pt idx="92">
                  <c:v>6.9</c:v>
                </c:pt>
                <c:pt idx="93">
                  <c:v>6.9750000000000005</c:v>
                </c:pt>
                <c:pt idx="94">
                  <c:v>7.05</c:v>
                </c:pt>
                <c:pt idx="95">
                  <c:v>7.125</c:v>
                </c:pt>
                <c:pt idx="96">
                  <c:v>7.1999999999999993</c:v>
                </c:pt>
                <c:pt idx="97">
                  <c:v>7.2749999999999995</c:v>
                </c:pt>
                <c:pt idx="98">
                  <c:v>7.35</c:v>
                </c:pt>
                <c:pt idx="99">
                  <c:v>7.4249999999999998</c:v>
                </c:pt>
                <c:pt idx="100">
                  <c:v>7.5</c:v>
                </c:pt>
                <c:pt idx="101">
                  <c:v>7.5750000000000002</c:v>
                </c:pt>
                <c:pt idx="102">
                  <c:v>7.65</c:v>
                </c:pt>
                <c:pt idx="103">
                  <c:v>7.7250000000000005</c:v>
                </c:pt>
                <c:pt idx="104">
                  <c:v>7.8000000000000007</c:v>
                </c:pt>
                <c:pt idx="105">
                  <c:v>7.875</c:v>
                </c:pt>
                <c:pt idx="106">
                  <c:v>7.95</c:v>
                </c:pt>
                <c:pt idx="107">
                  <c:v>8.0250000000000004</c:v>
                </c:pt>
                <c:pt idx="108">
                  <c:v>8.1000000000000014</c:v>
                </c:pt>
                <c:pt idx="109">
                  <c:v>8.1750000000000007</c:v>
                </c:pt>
                <c:pt idx="110">
                  <c:v>8.25</c:v>
                </c:pt>
                <c:pt idx="111">
                  <c:v>8.3250000000000011</c:v>
                </c:pt>
                <c:pt idx="112">
                  <c:v>8.4</c:v>
                </c:pt>
                <c:pt idx="113">
                  <c:v>8.4749999999999996</c:v>
                </c:pt>
                <c:pt idx="114">
                  <c:v>8.5499999999999989</c:v>
                </c:pt>
                <c:pt idx="115">
                  <c:v>8.625</c:v>
                </c:pt>
                <c:pt idx="116">
                  <c:v>8.6999999999999993</c:v>
                </c:pt>
                <c:pt idx="117">
                  <c:v>8.7749999999999986</c:v>
                </c:pt>
                <c:pt idx="118">
                  <c:v>8.85</c:v>
                </c:pt>
                <c:pt idx="119">
                  <c:v>8.9249999999999989</c:v>
                </c:pt>
                <c:pt idx="120">
                  <c:v>9</c:v>
                </c:pt>
                <c:pt idx="121">
                  <c:v>9.0749999999999993</c:v>
                </c:pt>
                <c:pt idx="122">
                  <c:v>9.15</c:v>
                </c:pt>
                <c:pt idx="123">
                  <c:v>9.2249999999999996</c:v>
                </c:pt>
                <c:pt idx="124">
                  <c:v>9.3000000000000007</c:v>
                </c:pt>
                <c:pt idx="125">
                  <c:v>9.375</c:v>
                </c:pt>
                <c:pt idx="126">
                  <c:v>9.4499999999999993</c:v>
                </c:pt>
                <c:pt idx="127">
                  <c:v>9.5250000000000004</c:v>
                </c:pt>
                <c:pt idx="128">
                  <c:v>9.6</c:v>
                </c:pt>
                <c:pt idx="129">
                  <c:v>9.6750000000000007</c:v>
                </c:pt>
                <c:pt idx="130">
                  <c:v>9.75</c:v>
                </c:pt>
                <c:pt idx="131">
                  <c:v>9.8250000000000011</c:v>
                </c:pt>
                <c:pt idx="132">
                  <c:v>9.9</c:v>
                </c:pt>
                <c:pt idx="133">
                  <c:v>9.9750000000000014</c:v>
                </c:pt>
                <c:pt idx="134">
                  <c:v>10.050000000000001</c:v>
                </c:pt>
                <c:pt idx="135">
                  <c:v>10.125</c:v>
                </c:pt>
                <c:pt idx="136">
                  <c:v>10.200000000000001</c:v>
                </c:pt>
                <c:pt idx="137">
                  <c:v>10.275</c:v>
                </c:pt>
                <c:pt idx="138">
                  <c:v>10.35</c:v>
                </c:pt>
                <c:pt idx="139">
                  <c:v>10.424999999999999</c:v>
                </c:pt>
                <c:pt idx="140">
                  <c:v>10.5</c:v>
                </c:pt>
                <c:pt idx="141">
                  <c:v>10.574999999999999</c:v>
                </c:pt>
                <c:pt idx="142">
                  <c:v>10.649999999999999</c:v>
                </c:pt>
                <c:pt idx="143">
                  <c:v>10.725</c:v>
                </c:pt>
                <c:pt idx="144">
                  <c:v>10.799999999999999</c:v>
                </c:pt>
                <c:pt idx="145">
                  <c:v>10.875</c:v>
                </c:pt>
                <c:pt idx="146">
                  <c:v>10.95</c:v>
                </c:pt>
                <c:pt idx="147">
                  <c:v>11.025</c:v>
                </c:pt>
                <c:pt idx="148">
                  <c:v>11.1</c:v>
                </c:pt>
                <c:pt idx="149">
                  <c:v>11.175000000000001</c:v>
                </c:pt>
                <c:pt idx="150">
                  <c:v>11.25</c:v>
                </c:pt>
                <c:pt idx="151">
                  <c:v>11.324999999999999</c:v>
                </c:pt>
                <c:pt idx="152">
                  <c:v>11.4</c:v>
                </c:pt>
                <c:pt idx="153">
                  <c:v>11.475</c:v>
                </c:pt>
                <c:pt idx="154">
                  <c:v>11.55</c:v>
                </c:pt>
                <c:pt idx="155">
                  <c:v>11.625</c:v>
                </c:pt>
                <c:pt idx="156">
                  <c:v>11.700000000000001</c:v>
                </c:pt>
                <c:pt idx="157">
                  <c:v>11.775</c:v>
                </c:pt>
                <c:pt idx="158">
                  <c:v>11.850000000000001</c:v>
                </c:pt>
                <c:pt idx="159">
                  <c:v>11.925000000000001</c:v>
                </c:pt>
                <c:pt idx="160">
                  <c:v>12</c:v>
                </c:pt>
                <c:pt idx="161">
                  <c:v>12.075000000000001</c:v>
                </c:pt>
                <c:pt idx="162">
                  <c:v>12.15</c:v>
                </c:pt>
                <c:pt idx="163">
                  <c:v>12.225</c:v>
                </c:pt>
                <c:pt idx="164">
                  <c:v>12.299999999999999</c:v>
                </c:pt>
                <c:pt idx="165">
                  <c:v>12.375</c:v>
                </c:pt>
                <c:pt idx="166">
                  <c:v>12.45</c:v>
                </c:pt>
                <c:pt idx="167">
                  <c:v>12.524999999999999</c:v>
                </c:pt>
                <c:pt idx="168">
                  <c:v>12.6</c:v>
                </c:pt>
                <c:pt idx="169">
                  <c:v>12.674999999999999</c:v>
                </c:pt>
                <c:pt idx="170">
                  <c:v>12.75</c:v>
                </c:pt>
                <c:pt idx="171">
                  <c:v>12.824999999999999</c:v>
                </c:pt>
                <c:pt idx="172">
                  <c:v>12.9</c:v>
                </c:pt>
                <c:pt idx="173">
                  <c:v>12.975</c:v>
                </c:pt>
                <c:pt idx="174">
                  <c:v>13.05</c:v>
                </c:pt>
                <c:pt idx="175">
                  <c:v>13.125</c:v>
                </c:pt>
                <c:pt idx="176">
                  <c:v>13.2</c:v>
                </c:pt>
                <c:pt idx="177">
                  <c:v>13.275</c:v>
                </c:pt>
                <c:pt idx="178">
                  <c:v>13.35</c:v>
                </c:pt>
                <c:pt idx="179">
                  <c:v>13.425000000000001</c:v>
                </c:pt>
                <c:pt idx="180">
                  <c:v>13.5</c:v>
                </c:pt>
                <c:pt idx="181">
                  <c:v>13.575000000000001</c:v>
                </c:pt>
                <c:pt idx="182">
                  <c:v>13.65</c:v>
                </c:pt>
                <c:pt idx="183">
                  <c:v>13.725000000000001</c:v>
                </c:pt>
                <c:pt idx="184">
                  <c:v>13.8</c:v>
                </c:pt>
                <c:pt idx="185">
                  <c:v>13.875</c:v>
                </c:pt>
                <c:pt idx="186">
                  <c:v>13.950000000000001</c:v>
                </c:pt>
                <c:pt idx="187">
                  <c:v>14.025</c:v>
                </c:pt>
                <c:pt idx="188">
                  <c:v>14.1</c:v>
                </c:pt>
                <c:pt idx="189">
                  <c:v>14.174999999999999</c:v>
                </c:pt>
                <c:pt idx="190">
                  <c:v>14.25</c:v>
                </c:pt>
                <c:pt idx="191">
                  <c:v>14.324999999999999</c:v>
                </c:pt>
                <c:pt idx="192">
                  <c:v>14.399999999999999</c:v>
                </c:pt>
                <c:pt idx="193">
                  <c:v>14.475</c:v>
                </c:pt>
                <c:pt idx="194">
                  <c:v>14.549999999999999</c:v>
                </c:pt>
                <c:pt idx="195">
                  <c:v>14.625</c:v>
                </c:pt>
                <c:pt idx="196">
                  <c:v>14.7</c:v>
                </c:pt>
                <c:pt idx="197">
                  <c:v>14.775</c:v>
                </c:pt>
                <c:pt idx="198">
                  <c:v>14.85</c:v>
                </c:pt>
                <c:pt idx="199">
                  <c:v>14.925000000000001</c:v>
                </c:pt>
                <c:pt idx="200">
                  <c:v>15</c:v>
                </c:pt>
              </c:numCache>
            </c:numRef>
          </c:cat>
          <c:val>
            <c:numRef>
              <c:f>'Power Calculations'!$AG$9:$AG$209</c:f>
              <c:numCache>
                <c:formatCode>0.0000</c:formatCode>
                <c:ptCount val="201"/>
                <c:pt idx="0">
                  <c:v>2.6352251068356747E-2</c:v>
                </c:pt>
                <c:pt idx="1">
                  <c:v>2.6914228317926461E-2</c:v>
                </c:pt>
                <c:pt idx="2">
                  <c:v>2.7557941269900289E-2</c:v>
                </c:pt>
                <c:pt idx="3">
                  <c:v>2.8283380962560611E-2</c:v>
                </c:pt>
                <c:pt idx="4">
                  <c:v>2.9090544769979632E-2</c:v>
                </c:pt>
                <c:pt idx="5">
                  <c:v>2.997943639760154E-2</c:v>
                </c:pt>
                <c:pt idx="6">
                  <c:v>3.0950065879053284E-2</c:v>
                </c:pt>
                <c:pt idx="7">
                  <c:v>3.2002449574182655E-2</c:v>
                </c:pt>
                <c:pt idx="8">
                  <c:v>3.3136610168321881E-2</c:v>
                </c:pt>
                <c:pt idx="9">
                  <c:v>3.4352576672775928E-2</c:v>
                </c:pt>
                <c:pt idx="10">
                  <c:v>3.5650384426535078E-2</c:v>
                </c:pt>
                <c:pt idx="11">
                  <c:v>3.7030075099211267E-2</c:v>
                </c:pt>
                <c:pt idx="12">
                  <c:v>3.8491696695199216E-2</c:v>
                </c:pt>
                <c:pt idx="13">
                  <c:v>4.0035303559062541E-2</c:v>
                </c:pt>
                <c:pt idx="14">
                  <c:v>4.1660956382146286E-2</c:v>
                </c:pt>
                <c:pt idx="15">
                  <c:v>4.33687222104178E-2</c:v>
                </c:pt>
                <c:pt idx="16">
                  <c:v>4.5158674453537717E-2</c:v>
                </c:pt>
                <c:pt idx="17">
                  <c:v>4.7030892895163823E-2</c:v>
                </c:pt>
                <c:pt idx="18">
                  <c:v>4.8985463704490757E-2</c:v>
                </c:pt>
                <c:pt idx="19">
                  <c:v>5.102247944902908E-2</c:v>
                </c:pt>
                <c:pt idx="20">
                  <c:v>5.314203910862747E-2</c:v>
                </c:pt>
                <c:pt idx="21">
                  <c:v>5.5344248090742731E-2</c:v>
                </c:pt>
                <c:pt idx="22">
                  <c:v>5.7629218246961919E-2</c:v>
                </c:pt>
                <c:pt idx="23">
                  <c:v>5.9997067890782442E-2</c:v>
                </c:pt>
                <c:pt idx="24">
                  <c:v>6.2447921816655358E-2</c:v>
                </c:pt>
                <c:pt idx="25">
                  <c:v>6.4981911320298541E-2</c:v>
                </c:pt>
                <c:pt idx="26">
                  <c:v>6.7599174220285732E-2</c:v>
                </c:pt>
                <c:pt idx="27">
                  <c:v>7.0299854880919541E-2</c:v>
                </c:pt>
                <c:pt idx="28">
                  <c:v>7.3084104236394914E-2</c:v>
                </c:pt>
                <c:pt idx="29">
                  <c:v>7.5952079816262133E-2</c:v>
                </c:pt>
                <c:pt idx="30">
                  <c:v>7.9135612159145621E-2</c:v>
                </c:pt>
                <c:pt idx="31">
                  <c:v>8.2675767850398596E-2</c:v>
                </c:pt>
                <c:pt idx="32">
                  <c:v>8.6300577611529358E-2</c:v>
                </c:pt>
                <c:pt idx="33">
                  <c:v>9.0010245695921989E-2</c:v>
                </c:pt>
                <c:pt idx="34">
                  <c:v>9.3804983153745483E-2</c:v>
                </c:pt>
                <c:pt idx="35">
                  <c:v>9.768500786808279E-2</c:v>
                </c:pt>
                <c:pt idx="36">
                  <c:v>0.10165054459244477</c:v>
                </c:pt>
                <c:pt idx="37">
                  <c:v>0.10570182498968142</c:v>
                </c:pt>
                <c:pt idx="38">
                  <c:v>0.10983908767230423</c:v>
                </c:pt>
                <c:pt idx="39">
                  <c:v>0.11406257824423355</c:v>
                </c:pt>
                <c:pt idx="40">
                  <c:v>0.11837254934398529</c:v>
                </c:pt>
                <c:pt idx="41">
                  <c:v>0.12276926068931168</c:v>
                </c:pt>
                <c:pt idx="42">
                  <c:v>0.12725297912331274</c:v>
                </c:pt>
                <c:pt idx="43">
                  <c:v>0.13182397866203285</c:v>
                </c:pt>
                <c:pt idx="44">
                  <c:v>0.13648254054356157</c:v>
                </c:pt>
                <c:pt idx="45">
                  <c:v>0.14122895327865381</c:v>
                </c:pt>
                <c:pt idx="46">
                  <c:v>0.14606351270288842</c:v>
                </c:pt>
                <c:pt idx="47">
                  <c:v>0.15098652203038412</c:v>
                </c:pt>
                <c:pt idx="48">
                  <c:v>0.15599829190909081</c:v>
                </c:pt>
                <c:pt idx="49">
                  <c:v>0.16109914047767762</c:v>
                </c:pt>
                <c:pt idx="50">
                  <c:v>0.16628939342403662</c:v>
                </c:pt>
                <c:pt idx="51">
                  <c:v>0.17156938404542424</c:v>
                </c:pt>
                <c:pt idx="52">
                  <c:v>0.17693945331026276</c:v>
                </c:pt>
                <c:pt idx="53">
                  <c:v>0.18239994992162306</c:v>
                </c:pt>
                <c:pt idx="54">
                  <c:v>0.18795123038241335</c:v>
                </c:pt>
                <c:pt idx="55">
                  <c:v>0.19359365906229531</c:v>
                </c:pt>
                <c:pt idx="56">
                  <c:v>0.19932760826635687</c:v>
                </c:pt>
                <c:pt idx="57">
                  <c:v>0.2051534583055617</c:v>
                </c:pt>
                <c:pt idx="58">
                  <c:v>0.21107159756900531</c:v>
                </c:pt>
                <c:pt idx="59">
                  <c:v>0.21708242259800381</c:v>
                </c:pt>
                <c:pt idx="60">
                  <c:v>0.22318633816204181</c:v>
                </c:pt>
                <c:pt idx="61">
                  <c:v>0.22938375733661034</c:v>
                </c:pt>
                <c:pt idx="62">
                  <c:v>0.23567510158296195</c:v>
                </c:pt>
                <c:pt idx="63">
                  <c:v>0.24206080082981521</c:v>
                </c:pt>
                <c:pt idx="64">
                  <c:v>0.24854129355703736</c:v>
                </c:pt>
                <c:pt idx="65">
                  <c:v>0.25511702688133997</c:v>
                </c:pt>
                <c:pt idx="66">
                  <c:v>0.26178845664401817</c:v>
                </c:pt>
                <c:pt idx="67">
                  <c:v>0.2685560475007685</c:v>
                </c:pt>
                <c:pt idx="68">
                  <c:v>0.27542027301362004</c:v>
                </c:pt>
                <c:pt idx="69">
                  <c:v>0.28238161574501336</c:v>
                </c:pt>
                <c:pt idx="70">
                  <c:v>0.2894405673540672</c:v>
                </c:pt>
                <c:pt idx="71">
                  <c:v>0.29659762869506651</c:v>
                </c:pt>
                <c:pt idx="72">
                  <c:v>0.3038533099182133</c:v>
                </c:pt>
                <c:pt idx="73">
                  <c:v>0.31120813057268037</c:v>
                </c:pt>
                <c:pt idx="74">
                  <c:v>0.3186626197120071</c:v>
                </c:pt>
                <c:pt idx="75">
                  <c:v>0.32621731600188114</c:v>
                </c:pt>
                <c:pt idx="76">
                  <c:v>0.33387276783034842</c:v>
                </c:pt>
                <c:pt idx="77">
                  <c:v>0.34162953342049601</c:v>
                </c:pt>
                <c:pt idx="78">
                  <c:v>0.34948818094565337</c:v>
                </c:pt>
                <c:pt idx="79">
                  <c:v>0.35744928864715919</c:v>
                </c:pt>
                <c:pt idx="80">
                  <c:v>0.36551344495474197</c:v>
                </c:pt>
                <c:pt idx="81">
                  <c:v>0.37368124860956409</c:v>
                </c:pt>
                <c:pt idx="82">
                  <c:v>0.38195330878997763</c:v>
                </c:pt>
                <c:pt idx="83">
                  <c:v>0.39033024524005017</c:v>
                </c:pt>
                <c:pt idx="84">
                  <c:v>0.3988126884009055</c:v>
                </c:pt>
                <c:pt idx="85">
                  <c:v>0.40740127954494293</c:v>
                </c:pt>
                <c:pt idx="86">
                  <c:v>0.41609667091298547</c:v>
                </c:pt>
                <c:pt idx="87">
                  <c:v>0.42489952585441854</c:v>
                </c:pt>
                <c:pt idx="88">
                  <c:v>0.43381051897037592</c:v>
                </c:pt>
                <c:pt idx="89">
                  <c:v>0.44283033626003843</c:v>
                </c:pt>
                <c:pt idx="90">
                  <c:v>0.45195967527010156</c:v>
                </c:pt>
                <c:pt idx="91">
                  <c:v>0.46119924524748473</c:v>
                </c:pt>
                <c:pt idx="92">
                  <c:v>0.47054976729534159</c:v>
                </c:pt>
                <c:pt idx="93">
                  <c:v>0.4800119745324436</c:v>
                </c:pt>
                <c:pt idx="94">
                  <c:v>0.48958661225600314</c:v>
                </c:pt>
                <c:pt idx="95">
                  <c:v>0.49927443810801547</c:v>
                </c:pt>
                <c:pt idx="96">
                  <c:v>0.50907622224518101</c:v>
                </c:pt>
                <c:pt idx="97">
                  <c:v>0.51899274751249613</c:v>
                </c:pt>
                <c:pt idx="98">
                  <c:v>0.52902480962058407</c:v>
                </c:pt>
                <c:pt idx="99">
                  <c:v>0.53917321732684531</c:v>
                </c:pt>
                <c:pt idx="100">
                  <c:v>0.54943879262051154</c:v>
                </c:pt>
                <c:pt idx="101">
                  <c:v>0.55982237091168896</c:v>
                </c:pt>
                <c:pt idx="102">
                  <c:v>0.57032480122447382</c:v>
                </c:pt>
                <c:pt idx="103">
                  <c:v>0.58094694639423161</c:v>
                </c:pt>
                <c:pt idx="104">
                  <c:v>0.59168968326913185</c:v>
                </c:pt>
                <c:pt idx="105">
                  <c:v>0.60255390291603128</c:v>
                </c:pt>
                <c:pt idx="106">
                  <c:v>0.61354051083080141</c:v>
                </c:pt>
                <c:pt idx="107">
                  <c:v>0.62465042715320263</c:v>
                </c:pt>
                <c:pt idx="108">
                  <c:v>0.63588458688640292</c:v>
                </c:pt>
                <c:pt idx="109">
                  <c:v>0.64724394012124897</c:v>
                </c:pt>
                <c:pt idx="110">
                  <c:v>0.65872945226539681</c:v>
                </c:pt>
                <c:pt idx="111">
                  <c:v>0.67034210427741348</c:v>
                </c:pt>
                <c:pt idx="112">
                  <c:v>0.68208289290595681</c:v>
                </c:pt>
                <c:pt idx="113">
                  <c:v>0.69395283093416305</c:v>
                </c:pt>
                <c:pt idx="114">
                  <c:v>0.70595294742935122</c:v>
                </c:pt>
                <c:pt idx="115">
                  <c:v>0.71808428799817403</c:v>
                </c:pt>
                <c:pt idx="116">
                  <c:v>0.73034791504733509</c:v>
                </c:pt>
                <c:pt idx="117">
                  <c:v>0.74274490805001914</c:v>
                </c:pt>
                <c:pt idx="118">
                  <c:v>0.75527636381814733</c:v>
                </c:pt>
                <c:pt idx="119">
                  <c:v>0.76794339678061407</c:v>
                </c:pt>
                <c:pt idx="120">
                  <c:v>0.78074713926764094</c:v>
                </c:pt>
                <c:pt idx="121">
                  <c:v>0.79368874180138727</c:v>
                </c:pt>
                <c:pt idx="122">
                  <c:v>0.80676937339298793</c:v>
                </c:pt>
                <c:pt idx="123">
                  <c:v>0.81999022184613934</c:v>
                </c:pt>
                <c:pt idx="124">
                  <c:v>0.83335249406743472</c:v>
                </c:pt>
                <c:pt idx="125">
                  <c:v>0.8468574163835707</c:v>
                </c:pt>
                <c:pt idx="126">
                  <c:v>0.86050623486562772</c:v>
                </c:pt>
                <c:pt idx="127">
                  <c:v>0.87430021566057492</c:v>
                </c:pt>
                <c:pt idx="128">
                  <c:v>0.88824064533018987</c:v>
                </c:pt>
                <c:pt idx="129">
                  <c:v>0.90232883119757057</c:v>
                </c:pt>
                <c:pt idx="130">
                  <c:v>0.91656610170143371</c:v>
                </c:pt>
                <c:pt idx="131">
                  <c:v>0.93095380675838746</c:v>
                </c:pt>
                <c:pt idx="132">
                  <c:v>0.94549331813338577</c:v>
                </c:pt>
                <c:pt idx="133">
                  <c:v>0.96018602981856538</c:v>
                </c:pt>
                <c:pt idx="134">
                  <c:v>0.97503335842067906</c:v>
                </c:pt>
                <c:pt idx="135">
                  <c:v>0.99003674355734561</c:v>
                </c:pt>
                <c:pt idx="136">
                  <c:v>1.0051976482623382</c:v>
                </c:pt>
                <c:pt idx="137">
                  <c:v>1.0205175594001439</c:v>
                </c:pt>
                <c:pt idx="138">
                  <c:v>1.0359979880900398</c:v>
                </c:pt>
                <c:pt idx="139">
                  <c:v>1.0516404701399182</c:v>
                </c:pt>
                <c:pt idx="140">
                  <c:v>1.0674465664901265</c:v>
                </c:pt>
                <c:pt idx="141">
                  <c:v>1.0834178636675773</c:v>
                </c:pt>
                <c:pt idx="142">
                  <c:v>1.0995559742503969</c:v>
                </c:pt>
                <c:pt idx="143">
                  <c:v>1.1158625373433986</c:v>
                </c:pt>
                <c:pt idx="144">
                  <c:v>1.1323392190646493</c:v>
                </c:pt>
                <c:pt idx="145">
                  <c:v>1.1489877130434401</c:v>
                </c:pt>
                <c:pt idx="146">
                  <c:v>1.1658097409299566</c:v>
                </c:pt>
                <c:pt idx="147">
                  <c:v>1.1828070529169705</c:v>
                </c:pt>
                <c:pt idx="148">
                  <c:v>1.1999814282738552</c:v>
                </c:pt>
                <c:pt idx="149">
                  <c:v>1.2173346758932861</c:v>
                </c:pt>
                <c:pt idx="150">
                  <c:v>1.2348686348509459</c:v>
                </c:pt>
                <c:pt idx="151">
                  <c:v>1.252585174978603</c:v>
                </c:pt>
                <c:pt idx="152">
                  <c:v>1.2704861974509221</c:v>
                </c:pt>
                <c:pt idx="153">
                  <c:v>1.2885736353863837</c:v>
                </c:pt>
                <c:pt idx="154">
                  <c:v>1.3068494544627036</c:v>
                </c:pt>
                <c:pt idx="155">
                  <c:v>1.3253156535471591</c:v>
                </c:pt>
                <c:pt idx="156">
                  <c:v>1.3439742653422182</c:v>
                </c:pt>
                <c:pt idx="157">
                  <c:v>1.3628273570469263</c:v>
                </c:pt>
                <c:pt idx="158">
                  <c:v>1.3818770310344648</c:v>
                </c:pt>
                <c:pt idx="159">
                  <c:v>1.401125425546357</c:v>
                </c:pt>
                <c:pt idx="160">
                  <c:v>1.4205747154037836</c:v>
                </c:pt>
                <c:pt idx="161">
                  <c:v>1.4402271127364916</c:v>
                </c:pt>
                <c:pt idx="162">
                  <c:v>1.4600848677298033</c:v>
                </c:pt>
                <c:pt idx="163">
                  <c:v>1.4801502693902471</c:v>
                </c:pt>
                <c:pt idx="164">
                  <c:v>1.5004256463303329</c:v>
                </c:pt>
                <c:pt idx="165">
                  <c:v>1.5209133675730393</c:v>
                </c:pt>
                <c:pt idx="166">
                  <c:v>1.5416158433765774</c:v>
                </c:pt>
                <c:pt idx="167">
                  <c:v>1.562535526080024</c:v>
                </c:pt>
                <c:pt idx="168">
                  <c:v>1.583674910970436</c:v>
                </c:pt>
                <c:pt idx="169">
                  <c:v>1.6050365371720747</c:v>
                </c:pt>
                <c:pt idx="170">
                  <c:v>1.6266229885583947</c:v>
                </c:pt>
                <c:pt idx="171">
                  <c:v>1.6484368946874763</c:v>
                </c:pt>
                <c:pt idx="172">
                  <c:v>1.6704809317615972</c:v>
                </c:pt>
                <c:pt idx="173">
                  <c:v>1.6927578236116556</c:v>
                </c:pt>
                <c:pt idx="174">
                  <c:v>1.7152703427072173</c:v>
                </c:pt>
                <c:pt idx="175">
                  <c:v>1.7380213111929277</c:v>
                </c:pt>
                <c:pt idx="176">
                  <c:v>1.7610136019521221</c:v>
                </c:pt>
                <c:pt idx="177">
                  <c:v>1.7842501396984312</c:v>
                </c:pt>
                <c:pt idx="178">
                  <c:v>1.8077339020962617</c:v>
                </c:pt>
                <c:pt idx="179">
                  <c:v>1.8314679209110281</c:v>
                </c:pt>
                <c:pt idx="180">
                  <c:v>1.855455283190063</c:v>
                </c:pt>
                <c:pt idx="181">
                  <c:v>1.8796991324751415</c:v>
                </c:pt>
                <c:pt idx="182">
                  <c:v>1.9042026700476238</c:v>
                </c:pt>
                <c:pt idx="183">
                  <c:v>1.9289691562072264</c:v>
                </c:pt>
                <c:pt idx="184">
                  <c:v>1.9540019115854812</c:v>
                </c:pt>
                <c:pt idx="185">
                  <c:v>1.9793043184949743</c:v>
                </c:pt>
                <c:pt idx="186">
                  <c:v>2.0048798223155173</c:v>
                </c:pt>
                <c:pt idx="187">
                  <c:v>2.0307319329183935</c:v>
                </c:pt>
                <c:pt idx="188">
                  <c:v>2.056864226129945</c:v>
                </c:pt>
                <c:pt idx="189">
                  <c:v>2.0832803452357238</c:v>
                </c:pt>
                <c:pt idx="190">
                  <c:v>2.1099840025265486</c:v>
                </c:pt>
                <c:pt idx="191">
                  <c:v>2.136978980887811</c:v>
                </c:pt>
                <c:pt idx="192">
                  <c:v>2.1642691354334493</c:v>
                </c:pt>
                <c:pt idx="193">
                  <c:v>2.1918583951860566</c:v>
                </c:pt>
                <c:pt idx="194">
                  <c:v>2.2197507648046417</c:v>
                </c:pt>
                <c:pt idx="195">
                  <c:v>2.2479503263616136</c:v>
                </c:pt>
                <c:pt idx="196">
                  <c:v>2.2764612411706393</c:v>
                </c:pt>
                <c:pt idx="197">
                  <c:v>2.3052877516670685</c:v>
                </c:pt>
                <c:pt idx="198">
                  <c:v>2.3344341833426889</c:v>
                </c:pt>
                <c:pt idx="199">
                  <c:v>2.3639049467366506</c:v>
                </c:pt>
                <c:pt idx="200">
                  <c:v>2.3937045394844638</c:v>
                </c:pt>
              </c:numCache>
            </c:numRef>
          </c:val>
          <c:smooth val="0"/>
          <c:extLst>
            <c:ext xmlns:c16="http://schemas.microsoft.com/office/drawing/2014/chart" uri="{C3380CC4-5D6E-409C-BE32-E72D297353CC}">
              <c16:uniqueId val="{00000003-7890-472B-AAE1-D1CB0E55BFDF}"/>
            </c:ext>
          </c:extLst>
        </c:ser>
        <c:dLbls>
          <c:showLegendKey val="0"/>
          <c:showVal val="0"/>
          <c:showCatName val="0"/>
          <c:showSerName val="0"/>
          <c:showPercent val="0"/>
          <c:showBubbleSize val="0"/>
        </c:dLbls>
        <c:marker val="1"/>
        <c:smooth val="0"/>
        <c:axId val="308586368"/>
        <c:axId val="308584448"/>
      </c:lineChart>
      <c:catAx>
        <c:axId val="308580352"/>
        <c:scaling>
          <c:orientation val="minMax"/>
        </c:scaling>
        <c:delete val="0"/>
        <c:axPos val="b"/>
        <c:majorGridlines>
          <c:spPr>
            <a:ln w="15875">
              <a:solidFill>
                <a:srgbClr val="969696"/>
              </a:solidFill>
              <a:prstDash val="sysDash"/>
            </a:ln>
          </c:spPr>
        </c:majorGridlines>
        <c:minorGridlines/>
        <c:title>
          <c:tx>
            <c:rich>
              <a:bodyPr/>
              <a:lstStyle/>
              <a:p>
                <a:pPr>
                  <a:defRPr sz="1200" b="1" i="0" u="none" strike="noStrike" baseline="0">
                    <a:solidFill>
                      <a:srgbClr val="0000FF"/>
                    </a:solidFill>
                    <a:latin typeface="Arial" pitchFamily="34" charset="0"/>
                    <a:ea typeface="Calibri"/>
                    <a:cs typeface="Arial" pitchFamily="34" charset="0"/>
                  </a:defRPr>
                </a:pPr>
                <a:r>
                  <a:rPr lang="en-US" sz="1200">
                    <a:solidFill>
                      <a:srgbClr val="0000FF"/>
                    </a:solidFill>
                    <a:latin typeface="Arial" pitchFamily="34" charset="0"/>
                    <a:cs typeface="Arial" pitchFamily="34" charset="0"/>
                  </a:rPr>
                  <a:t>Load Current (A)</a:t>
                </a:r>
              </a:p>
            </c:rich>
          </c:tx>
          <c:layout>
            <c:manualLayout>
              <c:xMode val="edge"/>
              <c:yMode val="edge"/>
              <c:x val="0.42471011396394504"/>
              <c:y val="0.93853771636955563"/>
            </c:manualLayout>
          </c:layout>
          <c:overlay val="0"/>
          <c:spPr>
            <a:noFill/>
            <a:ln w="25400">
              <a:noFill/>
            </a:ln>
          </c:spPr>
        </c:title>
        <c:numFmt formatCode="General" sourceLinked="1"/>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08582272"/>
        <c:crosses val="autoZero"/>
        <c:auto val="1"/>
        <c:lblAlgn val="ctr"/>
        <c:lblOffset val="100"/>
        <c:tickLblSkip val="40"/>
        <c:tickMarkSkip val="40"/>
        <c:noMultiLvlLbl val="0"/>
      </c:catAx>
      <c:valAx>
        <c:axId val="3085822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200" b="1">
                    <a:solidFill>
                      <a:srgbClr val="FF0000"/>
                    </a:solidFill>
                    <a:latin typeface="Arial" pitchFamily="34" charset="0"/>
                    <a:cs typeface="Arial" pitchFamily="34" charset="0"/>
                  </a:rPr>
                  <a:t>Efficiency  (%)</a:t>
                </a:r>
              </a:p>
            </c:rich>
          </c:tx>
          <c:layout>
            <c:manualLayout>
              <c:xMode val="edge"/>
              <c:yMode val="edge"/>
              <c:x val="1.2871858674081443E-2"/>
              <c:y val="0.3763817791568830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08580352"/>
        <c:crossesAt val="0"/>
        <c:crossBetween val="between"/>
        <c:majorUnit val="5"/>
        <c:minorUnit val="2.5"/>
      </c:valAx>
      <c:valAx>
        <c:axId val="308584448"/>
        <c:scaling>
          <c:orientation val="minMax"/>
        </c:scaling>
        <c:delete val="0"/>
        <c:axPos val="r"/>
        <c:title>
          <c:tx>
            <c:rich>
              <a:bodyPr rot="-5400000" vert="horz"/>
              <a:lstStyle/>
              <a:p>
                <a:pPr>
                  <a:defRPr sz="1200" b="1"/>
                </a:pPr>
                <a:r>
                  <a:rPr lang="en-US" sz="1200" b="1"/>
                  <a:t>Power Loss (W)</a:t>
                </a:r>
              </a:p>
            </c:rich>
          </c:tx>
          <c:layout>
            <c:manualLayout>
              <c:xMode val="edge"/>
              <c:yMode val="edge"/>
              <c:x val="0.95168474305601269"/>
              <c:y val="0.38117714045368295"/>
            </c:manualLayout>
          </c:layout>
          <c:overlay val="0"/>
        </c:title>
        <c:numFmt formatCode="General" sourceLinked="0"/>
        <c:majorTickMark val="out"/>
        <c:minorTickMark val="none"/>
        <c:tickLblPos val="nextTo"/>
        <c:txPr>
          <a:bodyPr/>
          <a:lstStyle/>
          <a:p>
            <a:pPr>
              <a:defRPr sz="1100" b="1">
                <a:solidFill>
                  <a:sysClr val="windowText" lastClr="000000"/>
                </a:solidFill>
              </a:defRPr>
            </a:pPr>
            <a:endParaRPr lang="en-US"/>
          </a:p>
        </c:txPr>
        <c:crossAx val="308586368"/>
        <c:crosses val="max"/>
        <c:crossBetween val="between"/>
      </c:valAx>
      <c:catAx>
        <c:axId val="308586368"/>
        <c:scaling>
          <c:orientation val="minMax"/>
        </c:scaling>
        <c:delete val="1"/>
        <c:axPos val="b"/>
        <c:numFmt formatCode="General" sourceLinked="1"/>
        <c:majorTickMark val="out"/>
        <c:minorTickMark val="none"/>
        <c:tickLblPos val="nextTo"/>
        <c:crossAx val="308584448"/>
        <c:crosses val="autoZero"/>
        <c:auto val="1"/>
        <c:lblAlgn val="ctr"/>
        <c:lblOffset val="100"/>
        <c:noMultiLvlLbl val="0"/>
      </c:catAx>
      <c:spPr>
        <a:noFill/>
        <a:ln w="25400">
          <a:noFill/>
        </a:ln>
      </c:spPr>
    </c:plotArea>
    <c:legend>
      <c:legendPos val="t"/>
      <c:layout>
        <c:manualLayout>
          <c:xMode val="edge"/>
          <c:yMode val="edge"/>
          <c:x val="0.40102557566231317"/>
          <c:y val="1.1892633038167682E-2"/>
          <c:w val="0.59897442433768688"/>
          <c:h val="8.9795049320617604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US"/>
              <a:t>Open Loop Response</a:t>
            </a:r>
          </a:p>
        </c:rich>
      </c:tx>
      <c:layout>
        <c:manualLayout>
          <c:xMode val="edge"/>
          <c:yMode val="edge"/>
          <c:x val="0.39590479517706217"/>
          <c:y val="3.1496062992125991E-2"/>
        </c:manualLayout>
      </c:layout>
      <c:overlay val="0"/>
      <c:spPr>
        <a:noFill/>
        <a:ln w="25400">
          <a:noFill/>
        </a:ln>
      </c:spPr>
    </c:title>
    <c:autoTitleDeleted val="0"/>
    <c:plotArea>
      <c:layout>
        <c:manualLayout>
          <c:layoutTarget val="inner"/>
          <c:xMode val="edge"/>
          <c:yMode val="edge"/>
          <c:x val="0.11262808019484494"/>
          <c:y val="0.20997429147774274"/>
          <c:w val="0.8003419638088306"/>
          <c:h val="0.60105140935503165"/>
        </c:manualLayout>
      </c:layout>
      <c:scatterChart>
        <c:scatterStyle val="smoothMarker"/>
        <c:varyColors val="0"/>
        <c:ser>
          <c:idx val="0"/>
          <c:order val="0"/>
          <c:tx>
            <c:v>Gain</c:v>
          </c:tx>
          <c:spPr>
            <a:ln w="12700">
              <a:solidFill>
                <a:srgbClr val="000000"/>
              </a:solidFill>
              <a:prstDash val="lgDash"/>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Calculations'!$X$9:$X$676</c:f>
              <c:numCache>
                <c:formatCode>General</c:formatCode>
                <c:ptCount val="668"/>
                <c:pt idx="0">
                  <c:v>86.923235919681929</c:v>
                </c:pt>
                <c:pt idx="1">
                  <c:v>80.902643539241694</c:v>
                </c:pt>
                <c:pt idx="2">
                  <c:v>77.380830912855188</c:v>
                </c:pt>
                <c:pt idx="3">
                  <c:v>74.88207375729624</c:v>
                </c:pt>
                <c:pt idx="4">
                  <c:v>72.943896095611166</c:v>
                </c:pt>
                <c:pt idx="5">
                  <c:v>71.360298794989689</c:v>
                </c:pt>
                <c:pt idx="6">
                  <c:v>70.021395644546232</c:v>
                </c:pt>
                <c:pt idx="7">
                  <c:v>68.861594368978828</c:v>
                </c:pt>
                <c:pt idx="8">
                  <c:v>67.838586605811656</c:v>
                </c:pt>
                <c:pt idx="9">
                  <c:v>66.923484502146195</c:v>
                </c:pt>
                <c:pt idx="10">
                  <c:v>60.903637853499788</c:v>
                </c:pt>
                <c:pt idx="11">
                  <c:v>57.383068061448924</c:v>
                </c:pt>
                <c:pt idx="12">
                  <c:v>54.886050764818719</c:v>
                </c:pt>
                <c:pt idx="13">
                  <c:v>52.950109877591991</c:v>
                </c:pt>
                <c:pt idx="14">
                  <c:v>51.369246126844843</c:v>
                </c:pt>
                <c:pt idx="15">
                  <c:v>50.033573130610989</c:v>
                </c:pt>
                <c:pt idx="16">
                  <c:v>48.877498411641945</c:v>
                </c:pt>
                <c:pt idx="17">
                  <c:v>47.858713374769167</c:v>
                </c:pt>
                <c:pt idx="18">
                  <c:v>46.948329903792924</c:v>
                </c:pt>
                <c:pt idx="19">
                  <c:v>41.002864987245012</c:v>
                </c:pt>
                <c:pt idx="20">
                  <c:v>37.605758902147279</c:v>
                </c:pt>
                <c:pt idx="21">
                  <c:v>35.280559505532111</c:v>
                </c:pt>
                <c:pt idx="22">
                  <c:v>33.563831273324134</c:v>
                </c:pt>
                <c:pt idx="23">
                  <c:v>32.248437815036198</c:v>
                </c:pt>
                <c:pt idx="24">
                  <c:v>31.22324045609842</c:v>
                </c:pt>
                <c:pt idx="25">
                  <c:v>30.421346521240025</c:v>
                </c:pt>
                <c:pt idx="26">
                  <c:v>29.79916793319585</c:v>
                </c:pt>
                <c:pt idx="27">
                  <c:v>29.326625027888159</c:v>
                </c:pt>
                <c:pt idx="28">
                  <c:v>28.615959270199347</c:v>
                </c:pt>
                <c:pt idx="29">
                  <c:v>29.941208638091624</c:v>
                </c:pt>
                <c:pt idx="30">
                  <c:v>33.023816862672952</c:v>
                </c:pt>
                <c:pt idx="31">
                  <c:v>36.504696345142825</c:v>
                </c:pt>
                <c:pt idx="32">
                  <c:v>33.860312427976943</c:v>
                </c:pt>
                <c:pt idx="33">
                  <c:v>29.408407992142376</c:v>
                </c:pt>
                <c:pt idx="34">
                  <c:v>26.128833375864456</c:v>
                </c:pt>
                <c:pt idx="35">
                  <c:v>23.69878396742682</c:v>
                </c:pt>
                <c:pt idx="36">
                  <c:v>21.804626048732104</c:v>
                </c:pt>
                <c:pt idx="37">
                  <c:v>20.26610003067589</c:v>
                </c:pt>
                <c:pt idx="38">
                  <c:v>18.976826628491214</c:v>
                </c:pt>
                <c:pt idx="39">
                  <c:v>17.870213732458232</c:v>
                </c:pt>
                <c:pt idx="40">
                  <c:v>16.902315186955057</c:v>
                </c:pt>
                <c:pt idx="41">
                  <c:v>16.042838457062384</c:v>
                </c:pt>
                <c:pt idx="42">
                  <c:v>15.270141877986468</c:v>
                </c:pt>
                <c:pt idx="43">
                  <c:v>14.568297339340733</c:v>
                </c:pt>
                <c:pt idx="44">
                  <c:v>13.92528402262945</c:v>
                </c:pt>
                <c:pt idx="45">
                  <c:v>13.331833177289855</c:v>
                </c:pt>
                <c:pt idx="46">
                  <c:v>12.780664117687584</c:v>
                </c:pt>
                <c:pt idx="47">
                  <c:v>12.265964182398619</c:v>
                </c:pt>
                <c:pt idx="48">
                  <c:v>11.783025778484856</c:v>
                </c:pt>
                <c:pt idx="49">
                  <c:v>11.327987434780349</c:v>
                </c:pt>
                <c:pt idx="50">
                  <c:v>10.897645431989861</c:v>
                </c:pt>
                <c:pt idx="51">
                  <c:v>10.489314375995543</c:v>
                </c:pt>
                <c:pt idx="52">
                  <c:v>10.100722376917799</c:v>
                </c:pt>
                <c:pt idx="53">
                  <c:v>9.7299311268541562</c:v>
                </c:pt>
                <c:pt idx="54">
                  <c:v>9.3752741767792678</c:v>
                </c:pt>
                <c:pt idx="55">
                  <c:v>9.0353087078037113</c:v>
                </c:pt>
                <c:pt idx="56">
                  <c:v>8.7087774401933693</c:v>
                </c:pt>
                <c:pt idx="57">
                  <c:v>8.3945782505921063</c:v>
                </c:pt>
                <c:pt idx="58">
                  <c:v>8.0917397154356188</c:v>
                </c:pt>
                <c:pt idx="59">
                  <c:v>7.7994012574351599</c:v>
                </c:pt>
                <c:pt idx="60">
                  <c:v>7.5167969015660301</c:v>
                </c:pt>
                <c:pt idx="61">
                  <c:v>7.243241886600198</c:v>
                </c:pt>
                <c:pt idx="62">
                  <c:v>6.9781215544309241</c:v>
                </c:pt>
                <c:pt idx="63">
                  <c:v>6.7208820704092904</c:v>
                </c:pt>
                <c:pt idx="64">
                  <c:v>6.4710226262340989</c:v>
                </c:pt>
                <c:pt idx="65">
                  <c:v>6.2280888514373656</c:v>
                </c:pt>
                <c:pt idx="66">
                  <c:v>5.9916672164530071</c:v>
                </c:pt>
                <c:pt idx="67">
                  <c:v>5.7613802541430426</c:v>
                </c:pt>
                <c:pt idx="68">
                  <c:v>5.5368824607401592</c:v>
                </c:pt>
                <c:pt idx="69">
                  <c:v>5.3178567638315268</c:v>
                </c:pt>
                <c:pt idx="70">
                  <c:v>5.1040114660158507</c:v>
                </c:pt>
                <c:pt idx="71">
                  <c:v>4.895077589522816</c:v>
                </c:pt>
                <c:pt idx="72">
                  <c:v>4.6908065603747424</c:v>
                </c:pt>
                <c:pt idx="73">
                  <c:v>4.4909681813374878</c:v>
                </c:pt>
                <c:pt idx="74">
                  <c:v>4.2953488515170841</c:v>
                </c:pt>
                <c:pt idx="75">
                  <c:v>4.1037499974450489</c:v>
                </c:pt>
                <c:pt idx="76">
                  <c:v>3.9159866861931265</c:v>
                </c:pt>
                <c:pt idx="77">
                  <c:v>3.7318863957279014</c:v>
                </c:pt>
                <c:pt idx="78">
                  <c:v>3.5512879215611619</c:v>
                </c:pt>
                <c:pt idx="79">
                  <c:v>3.3740404019315395</c:v>
                </c:pt>
                <c:pt idx="80">
                  <c:v>3.2000024463945675</c:v>
                </c:pt>
                <c:pt idx="81">
                  <c:v>3.0290413549010604</c:v>
                </c:pt>
                <c:pt idx="82">
                  <c:v>2.8610324162879106</c:v>
                </c:pt>
                <c:pt idx="83">
                  <c:v>2.6958582766554779</c:v>
                </c:pt>
                <c:pt idx="84">
                  <c:v>2.5334083694130483</c:v>
                </c:pt>
                <c:pt idx="85">
                  <c:v>2.373578399880147</c:v>
                </c:pt>
                <c:pt idx="86">
                  <c:v>2.2162698782712758</c:v>
                </c:pt>
                <c:pt idx="87">
                  <c:v>2.0613896956919975</c:v>
                </c:pt>
                <c:pt idx="88">
                  <c:v>1.9088497384584628</c:v>
                </c:pt>
                <c:pt idx="89">
                  <c:v>1.7585665366386918</c:v>
                </c:pt>
                <c:pt idx="90">
                  <c:v>1.6104609432180319</c:v>
                </c:pt>
                <c:pt idx="91">
                  <c:v>1.464457840725633</c:v>
                </c:pt>
                <c:pt idx="92">
                  <c:v>1.320485872534326</c:v>
                </c:pt>
                <c:pt idx="93">
                  <c:v>1.1784771963715133</c:v>
                </c:pt>
                <c:pt idx="94">
                  <c:v>1.0383672578616636</c:v>
                </c:pt>
                <c:pt idx="95">
                  <c:v>0.90009458216681248</c:v>
                </c:pt>
                <c:pt idx="96">
                  <c:v>0.76360058200658587</c:v>
                </c:pt>
                <c:pt idx="97">
                  <c:v>0.6288293805271884</c:v>
                </c:pt>
                <c:pt idx="98">
                  <c:v>0.49572764765340144</c:v>
                </c:pt>
                <c:pt idx="99">
                  <c:v>0.36424444870292533</c:v>
                </c:pt>
                <c:pt idx="100">
                  <c:v>0.23433110416928227</c:v>
                </c:pt>
                <c:pt idx="101">
                  <c:v>0.10594105969252822</c:v>
                </c:pt>
                <c:pt idx="102">
                  <c:v>-2.0970234663887491E-2</c:v>
                </c:pt>
                <c:pt idx="103">
                  <c:v>-0.14644543662349452</c:v>
                </c:pt>
                <c:pt idx="104">
                  <c:v>-0.27052541610992731</c:v>
                </c:pt>
                <c:pt idx="105">
                  <c:v>-0.3932493525085245</c:v>
                </c:pt>
                <c:pt idx="106">
                  <c:v>-0.51465482536067075</c:v>
                </c:pt>
                <c:pt idx="107">
                  <c:v>-0.6347778990196673</c:v>
                </c:pt>
                <c:pt idx="108">
                  <c:v>-0.75365320174797756</c:v>
                </c:pt>
                <c:pt idx="109">
                  <c:v>-0.87131399969132128</c:v>
                </c:pt>
                <c:pt idx="110">
                  <c:v>-0.98779226612586479</c:v>
                </c:pt>
                <c:pt idx="111">
                  <c:v>-1.1031187463391143</c:v>
                </c:pt>
                <c:pt idx="112">
                  <c:v>-1.2173230184733614</c:v>
                </c:pt>
                <c:pt idx="113">
                  <c:v>-1.3304335506318234</c:v>
                </c:pt>
                <c:pt idx="114">
                  <c:v>-1.4424777545218253</c:v>
                </c:pt>
                <c:pt idx="115">
                  <c:v>-1.5534820358860175</c:v>
                </c:pt>
                <c:pt idx="116">
                  <c:v>-1.6634718419514014</c:v>
                </c:pt>
                <c:pt idx="117">
                  <c:v>-1.7724717061072839</c:v>
                </c:pt>
                <c:pt idx="118">
                  <c:v>-1.8805052900053787</c:v>
                </c:pt>
                <c:pt idx="119">
                  <c:v>-1.9875954232602542</c:v>
                </c:pt>
                <c:pt idx="120">
                  <c:v>-2.093764140913501</c:v>
                </c:pt>
                <c:pt idx="121">
                  <c:v>-2.1990327188125245</c:v>
                </c:pt>
                <c:pt idx="122">
                  <c:v>-2.303421707042776</c:v>
                </c:pt>
                <c:pt idx="123">
                  <c:v>-2.4069509615415994</c:v>
                </c:pt>
                <c:pt idx="124">
                  <c:v>-2.5096396740121021</c:v>
                </c:pt>
                <c:pt idx="125">
                  <c:v>-2.6115064002464599</c:v>
                </c:pt>
                <c:pt idx="126">
                  <c:v>-2.7125690869599133</c:v>
                </c:pt>
                <c:pt idx="127">
                  <c:v>-2.812845097229224</c:v>
                </c:pt>
                <c:pt idx="128">
                  <c:v>-2.9123512346224372</c:v>
                </c:pt>
                <c:pt idx="129">
                  <c:v>-3.0111037661006419</c:v>
                </c:pt>
                <c:pt idx="130">
                  <c:v>-3.1091184437665524</c:v>
                </c:pt>
                <c:pt idx="131">
                  <c:v>-3.2064105255293631</c:v>
                </c:pt>
                <c:pt idx="132">
                  <c:v>-3.3029947947506564</c:v>
                </c:pt>
                <c:pt idx="133">
                  <c:v>-3.3988855789314738</c:v>
                </c:pt>
                <c:pt idx="134">
                  <c:v>-3.4940967674965782</c:v>
                </c:pt>
                <c:pt idx="135">
                  <c:v>-3.5886418287281767</c:v>
                </c:pt>
                <c:pt idx="136">
                  <c:v>-3.6825338258977656</c:v>
                </c:pt>
                <c:pt idx="137">
                  <c:v>-3.7757854326415967</c:v>
                </c:pt>
                <c:pt idx="138">
                  <c:v>-3.8684089476222465</c:v>
                </c:pt>
                <c:pt idx="139">
                  <c:v>-3.9604163085158572</c:v>
                </c:pt>
                <c:pt idx="140">
                  <c:v>-4.0518191053623598</c:v>
                </c:pt>
                <c:pt idx="141">
                  <c:v>-4.1426285933131819</c:v>
                </c:pt>
                <c:pt idx="142">
                  <c:v>-4.2328557048091975</c:v>
                </c:pt>
                <c:pt idx="143">
                  <c:v>-4.3225110612191964</c:v>
                </c:pt>
                <c:pt idx="144">
                  <c:v>-4.4116049839676181</c:v>
                </c:pt>
                <c:pt idx="145">
                  <c:v>-4.5001475051782238</c:v>
                </c:pt>
                <c:pt idx="146">
                  <c:v>-4.5881483778590235</c:v>
                </c:pt>
                <c:pt idx="147">
                  <c:v>-4.6756170856519201</c:v>
                </c:pt>
                <c:pt idx="148">
                  <c:v>-4.7625628521695109</c:v>
                </c:pt>
                <c:pt idx="149">
                  <c:v>-4.8489946499397281</c:v>
                </c:pt>
                <c:pt idx="150">
                  <c:v>-4.9349212089781789</c:v>
                </c:pt>
                <c:pt idx="151">
                  <c:v>-5.0203510250065193</c:v>
                </c:pt>
                <c:pt idx="152">
                  <c:v>-5.1052923673344619</c:v>
                </c:pt>
                <c:pt idx="153">
                  <c:v>-5.1897532864217242</c:v>
                </c:pt>
                <c:pt idx="154">
                  <c:v>-5.2737416211354828</c:v>
                </c:pt>
                <c:pt idx="155">
                  <c:v>-5.3572650057179692</c:v>
                </c:pt>
                <c:pt idx="156">
                  <c:v>-5.4403308764779119</c:v>
                </c:pt>
                <c:pt idx="157">
                  <c:v>-5.5229464782189863</c:v>
                </c:pt>
                <c:pt idx="158">
                  <c:v>-5.605118870417515</c:v>
                </c:pt>
                <c:pt idx="159">
                  <c:v>-5.6868549331610305</c:v>
                </c:pt>
                <c:pt idx="160">
                  <c:v>-5.7681613728587777</c:v>
                </c:pt>
                <c:pt idx="161">
                  <c:v>-5.8490447277345483</c:v>
                </c:pt>
                <c:pt idx="162">
                  <c:v>-5.9295113731116853</c:v>
                </c:pt>
                <c:pt idx="163">
                  <c:v>-6.0095675264996329</c:v>
                </c:pt>
                <c:pt idx="164">
                  <c:v>-6.0892192524908149</c:v>
                </c:pt>
                <c:pt idx="165">
                  <c:v>-6.1684724674763478</c:v>
                </c:pt>
                <c:pt idx="166">
                  <c:v>-6.247332944188396</c:v>
                </c:pt>
                <c:pt idx="167">
                  <c:v>-6.3258063160768359</c:v>
                </c:pt>
                <c:pt idx="168">
                  <c:v>-6.4038980815273145</c:v>
                </c:pt>
                <c:pt idx="169">
                  <c:v>-6.4816136079275468</c:v>
                </c:pt>
                <c:pt idx="170">
                  <c:v>-6.5589581355882753</c:v>
                </c:pt>
                <c:pt idx="171">
                  <c:v>-6.6359367815250527</c:v>
                </c:pt>
                <c:pt idx="172">
                  <c:v>-6.7125545431066778</c:v>
                </c:pt>
                <c:pt idx="173">
                  <c:v>-6.7888163015758582</c:v>
                </c:pt>
                <c:pt idx="174">
                  <c:v>-6.864726825447276</c:v>
                </c:pt>
                <c:pt idx="175">
                  <c:v>-6.9402907737882629</c:v>
                </c:pt>
                <c:pt idx="176">
                  <c:v>-7.0155126993866856</c:v>
                </c:pt>
                <c:pt idx="177">
                  <c:v>-7.0903970518106698</c:v>
                </c:pt>
                <c:pt idx="178">
                  <c:v>-7.1649481803645854</c:v>
                </c:pt>
                <c:pt idx="179">
                  <c:v>-7.2391703369452562</c:v>
                </c:pt>
                <c:pt idx="180">
                  <c:v>-7.3130676788025371</c:v>
                </c:pt>
                <c:pt idx="181">
                  <c:v>-7.3866442712078015</c:v>
                </c:pt>
                <c:pt idx="182">
                  <c:v>-7.4599040900341862</c:v>
                </c:pt>
                <c:pt idx="183">
                  <c:v>-7.5328510242517535</c:v>
                </c:pt>
                <c:pt idx="184">
                  <c:v>-7.6054888783410588</c:v>
                </c:pt>
                <c:pt idx="185">
                  <c:v>-7.6778213746281319</c:v>
                </c:pt>
                <c:pt idx="186">
                  <c:v>-7.7498521555438682</c:v>
                </c:pt>
                <c:pt idx="187">
                  <c:v>-7.8215847858107495</c:v>
                </c:pt>
                <c:pt idx="188">
                  <c:v>-7.8930227545595208</c:v>
                </c:pt>
                <c:pt idx="189">
                  <c:v>-7.9641694773785172</c:v>
                </c:pt>
                <c:pt idx="190">
                  <c:v>-8.0350282982981103</c:v>
                </c:pt>
                <c:pt idx="191">
                  <c:v>-8.1056024917126219</c:v>
                </c:pt>
                <c:pt idx="192">
                  <c:v>-8.175895264242067</c:v>
                </c:pt>
                <c:pt idx="193">
                  <c:v>-8.2459097565358324</c:v>
                </c:pt>
                <c:pt idx="194">
                  <c:v>-8.3156490450204767</c:v>
                </c:pt>
                <c:pt idx="195">
                  <c:v>-8.3851161435935495</c:v>
                </c:pt>
                <c:pt idx="196">
                  <c:v>-8.4543140052654593</c:v>
                </c:pt>
                <c:pt idx="197">
                  <c:v>-8.5232455237511946</c:v>
                </c:pt>
                <c:pt idx="198">
                  <c:v>-8.5919135350136138</c:v>
                </c:pt>
                <c:pt idx="199">
                  <c:v>-8.6603208187601126</c:v>
                </c:pt>
                <c:pt idx="200">
                  <c:v>-8.7284700998942046</c:v>
                </c:pt>
                <c:pt idx="201">
                  <c:v>-8.7963640499235769</c:v>
                </c:pt>
                <c:pt idx="202">
                  <c:v>-8.8640052883262079</c:v>
                </c:pt>
                <c:pt idx="203">
                  <c:v>-8.931396383875871</c:v>
                </c:pt>
                <c:pt idx="204">
                  <c:v>-8.9985398559285414</c:v>
                </c:pt>
                <c:pt idx="205">
                  <c:v>-9.0654381756708364</c:v>
                </c:pt>
                <c:pt idx="206">
                  <c:v>-9.1320937673320195</c:v>
                </c:pt>
                <c:pt idx="207">
                  <c:v>-9.1985090093605404</c:v>
                </c:pt>
                <c:pt idx="208">
                  <c:v>-9.2646862355665291</c:v>
                </c:pt>
                <c:pt idx="209">
                  <c:v>-9.3306277362311274</c:v>
                </c:pt>
                <c:pt idx="210">
                  <c:v>-9.3963357591839998</c:v>
                </c:pt>
                <c:pt idx="211">
                  <c:v>-9.4618125108498781</c:v>
                </c:pt>
                <c:pt idx="212">
                  <c:v>-9.5270601572652502</c:v>
                </c:pt>
                <c:pt idx="213">
                  <c:v>-9.5920808250661356</c:v>
                </c:pt>
                <c:pt idx="214">
                  <c:v>-9.6568766024478609</c:v>
                </c:pt>
                <c:pt idx="215">
                  <c:v>-9.7214495400978453</c:v>
                </c:pt>
                <c:pt idx="216">
                  <c:v>-9.7858016521020428</c:v>
                </c:pt>
                <c:pt idx="217">
                  <c:v>-9.849934916826129</c:v>
                </c:pt>
                <c:pt idx="218">
                  <c:v>-9.9138512777720607</c:v>
                </c:pt>
                <c:pt idx="219">
                  <c:v>-9.9775526444108742</c:v>
                </c:pt>
                <c:pt idx="220">
                  <c:v>-10.041040892992426</c:v>
                </c:pt>
                <c:pt idx="221">
                  <c:v>-10.104317867332785</c:v>
                </c:pt>
                <c:pt idx="222">
                  <c:v>-10.167385379580065</c:v>
                </c:pt>
                <c:pt idx="223">
                  <c:v>-10.230245210959241</c:v>
                </c:pt>
                <c:pt idx="224">
                  <c:v>-10.292899112496659</c:v>
                </c:pt>
                <c:pt idx="225">
                  <c:v>-10.355348805724917</c:v>
                </c:pt>
                <c:pt idx="226">
                  <c:v>-10.968973249325682</c:v>
                </c:pt>
                <c:pt idx="227">
                  <c:v>-11.563875756493399</c:v>
                </c:pt>
                <c:pt idx="228">
                  <c:v>-12.141383294283571</c:v>
                </c:pt>
                <c:pt idx="229">
                  <c:v>-12.702641780653664</c:v>
                </c:pt>
                <c:pt idx="230">
                  <c:v>-13.24865079520249</c:v>
                </c:pt>
                <c:pt idx="231">
                  <c:v>-13.780290627849936</c:v>
                </c:pt>
                <c:pt idx="232">
                  <c:v>-14.298343498901191</c:v>
                </c:pt>
                <c:pt idx="233">
                  <c:v>-14.803510312135996</c:v>
                </c:pt>
                <c:pt idx="234">
                  <c:v>-15.296423961997052</c:v>
                </c:pt>
                <c:pt idx="235">
                  <c:v>-15.777659966979201</c:v>
                </c:pt>
                <c:pt idx="236">
                  <c:v>-16.247745017293326</c:v>
                </c:pt>
                <c:pt idx="237">
                  <c:v>-16.707163887548997</c:v>
                </c:pt>
                <c:pt idx="238">
                  <c:v>-17.156365061866452</c:v>
                </c:pt>
                <c:pt idx="239">
                  <c:v>-17.595765340512198</c:v>
                </c:pt>
                <c:pt idx="240">
                  <c:v>-18.025753637423193</c:v>
                </c:pt>
                <c:pt idx="241">
                  <c:v>-18.446694132177864</c:v>
                </c:pt>
                <c:pt idx="242">
                  <c:v>-18.858928904670989</c:v>
                </c:pt>
                <c:pt idx="243">
                  <c:v>-19.262780153425101</c:v>
                </c:pt>
                <c:pt idx="244">
                  <c:v>-19.658552077238468</c:v>
                </c:pt>
                <c:pt idx="245">
                  <c:v>-20.046532483310457</c:v>
                </c:pt>
                <c:pt idx="246">
                  <c:v>-20.426994172029506</c:v>
                </c:pt>
                <c:pt idx="247">
                  <c:v>-20.800196138440189</c:v>
                </c:pt>
                <c:pt idx="248">
                  <c:v>-21.166384622402653</c:v>
                </c:pt>
                <c:pt idx="249">
                  <c:v>-21.525794033140997</c:v>
                </c:pt>
                <c:pt idx="250">
                  <c:v>-21.878647768878263</c:v>
                </c:pt>
                <c:pt idx="251">
                  <c:v>-22.225158948290122</c:v>
                </c:pt>
                <c:pt idx="252">
                  <c:v>-22.565531067354652</c:v>
                </c:pt>
                <c:pt idx="253">
                  <c:v>-22.899958592660383</c:v>
                </c:pt>
                <c:pt idx="254">
                  <c:v>-23.228627500223912</c:v>
                </c:pt>
                <c:pt idx="255">
                  <c:v>-23.551715767256297</c:v>
                </c:pt>
                <c:pt idx="256">
                  <c:v>-23.869393823022516</c:v>
                </c:pt>
                <c:pt idx="257">
                  <c:v>-24.1818249638937</c:v>
                </c:pt>
                <c:pt idx="258">
                  <c:v>-24.489165736848637</c:v>
                </c:pt>
                <c:pt idx="259">
                  <c:v>-24.79156629499634</c:v>
                </c:pt>
                <c:pt idx="260">
                  <c:v>-25.089170728135208</c:v>
                </c:pt>
                <c:pt idx="261">
                  <c:v>-25.382117370910088</c:v>
                </c:pt>
                <c:pt idx="262">
                  <c:v>-25.67053909075609</c:v>
                </c:pt>
                <c:pt idx="263">
                  <c:v>-25.954563557512135</c:v>
                </c:pt>
                <c:pt idx="264">
                  <c:v>-26.234313496334064</c:v>
                </c:pt>
                <c:pt idx="265">
                  <c:v>-26.509906925327442</c:v>
                </c:pt>
                <c:pt idx="266">
                  <c:v>-26.781457379145049</c:v>
                </c:pt>
                <c:pt idx="267">
                  <c:v>-27.049074119647489</c:v>
                </c:pt>
                <c:pt idx="268">
                  <c:v>-27.312862334601682</c:v>
                </c:pt>
                <c:pt idx="269">
                  <c:v>-27.572923325287391</c:v>
                </c:pt>
                <c:pt idx="270">
                  <c:v>-27.829354683792609</c:v>
                </c:pt>
                <c:pt idx="271">
                  <c:v>-28.082250460702124</c:v>
                </c:pt>
                <c:pt idx="272">
                  <c:v>-28.331701323817772</c:v>
                </c:pt>
                <c:pt idx="273">
                  <c:v>-28.577794708491304</c:v>
                </c:pt>
                <c:pt idx="274">
                  <c:v>-28.820614960101196</c:v>
                </c:pt>
                <c:pt idx="275">
                  <c:v>-29.060243469160412</c:v>
                </c:pt>
                <c:pt idx="276">
                  <c:v>-29.296758799503703</c:v>
                </c:pt>
                <c:pt idx="277">
                  <c:v>-29.530236809968294</c:v>
                </c:pt>
                <c:pt idx="278">
                  <c:v>-29.760750769951166</c:v>
                </c:pt>
                <c:pt idx="279">
                  <c:v>-29.988371469198469</c:v>
                </c:pt>
                <c:pt idx="280">
                  <c:v>-30.213167322157521</c:v>
                </c:pt>
                <c:pt idx="281">
                  <c:v>-30.435204467199522</c:v>
                </c:pt>
                <c:pt idx="282">
                  <c:v>-30.654546861000224</c:v>
                </c:pt>
                <c:pt idx="283">
                  <c:v>-30.871256368347204</c:v>
                </c:pt>
                <c:pt idx="284">
                  <c:v>-31.085392847625073</c:v>
                </c:pt>
                <c:pt idx="285">
                  <c:v>-31.297014232214128</c:v>
                </c:pt>
                <c:pt idx="286">
                  <c:v>-31.506176608023328</c:v>
                </c:pt>
                <c:pt idx="287">
                  <c:v>-31.712934287364924</c:v>
                </c:pt>
                <c:pt idx="288">
                  <c:v>-31.917339879365688</c:v>
                </c:pt>
                <c:pt idx="289">
                  <c:v>-32.119444357097805</c:v>
                </c:pt>
                <c:pt idx="290">
                  <c:v>-32.319297121601906</c:v>
                </c:pt>
                <c:pt idx="291">
                  <c:v>-32.516946062964642</c:v>
                </c:pt>
                <c:pt idx="292">
                  <c:v>-32.71243761860341</c:v>
                </c:pt>
                <c:pt idx="293">
                  <c:v>-32.905816828902687</c:v>
                </c:pt>
                <c:pt idx="294">
                  <c:v>-33.097127390337633</c:v>
                </c:pt>
                <c:pt idx="295">
                  <c:v>-33.286411706213244</c:v>
                </c:pt>
                <c:pt idx="296">
                  <c:v>-33.473710935139962</c:v>
                </c:pt>
                <c:pt idx="297">
                  <c:v>-33.659065037360094</c:v>
                </c:pt>
                <c:pt idx="298">
                  <c:v>-33.842512819032791</c:v>
                </c:pt>
                <c:pt idx="299">
                  <c:v>-34.024091974579441</c:v>
                </c:pt>
                <c:pt idx="300">
                  <c:v>-34.203839127185994</c:v>
                </c:pt>
                <c:pt idx="301">
                  <c:v>-34.381789867553032</c:v>
                </c:pt>
                <c:pt idx="302">
                  <c:v>-34.557978790979753</c:v>
                </c:pt>
                <c:pt idx="303">
                  <c:v>-34.732439532863367</c:v>
                </c:pt>
                <c:pt idx="304">
                  <c:v>-34.905204802690818</c:v>
                </c:pt>
                <c:pt idx="305">
                  <c:v>-35.07630641659577</c:v>
                </c:pt>
                <c:pt idx="306">
                  <c:v>-35.245775328549968</c:v>
                </c:pt>
                <c:pt idx="307">
                  <c:v>-35.413641660254164</c:v>
                </c:pt>
                <c:pt idx="308">
                  <c:v>-35.579934729790665</c:v>
                </c:pt>
                <c:pt idx="309">
                  <c:v>-35.744683079095985</c:v>
                </c:pt>
                <c:pt idx="310">
                  <c:v>-35.907914500309289</c:v>
                </c:pt>
                <c:pt idx="311">
                  <c:v>-36.069656061049244</c:v>
                </c:pt>
                <c:pt idx="312">
                  <c:v>-36.22993412866915</c:v>
                </c:pt>
                <c:pt idx="313">
                  <c:v>-36.38877439353783</c:v>
                </c:pt>
                <c:pt idx="314">
                  <c:v>-36.546201891391057</c:v>
                </c:pt>
                <c:pt idx="315">
                  <c:v>-36.702241024796251</c:v>
                </c:pt>
                <c:pt idx="316">
                  <c:v>-36.856915583770764</c:v>
                </c:pt>
                <c:pt idx="317">
                  <c:v>-37.010248765592223</c:v>
                </c:pt>
                <c:pt idx="318">
                  <c:v>-37.162263193837397</c:v>
                </c:pt>
                <c:pt idx="319">
                  <c:v>-37.31298093668412</c:v>
                </c:pt>
                <c:pt idx="320">
                  <c:v>-37.462423524509198</c:v>
                </c:pt>
                <c:pt idx="321">
                  <c:v>-37.610611966813565</c:v>
                </c:pt>
                <c:pt idx="322">
                  <c:v>-37.75756676850434</c:v>
                </c:pt>
                <c:pt idx="323">
                  <c:v>-37.903307945562048</c:v>
                </c:pt>
                <c:pt idx="324">
                  <c:v>-38.047855040119828</c:v>
                </c:pt>
                <c:pt idx="325">
                  <c:v>-38.19122713498016</c:v>
                </c:pt>
                <c:pt idx="326">
                  <c:v>-38.333442867593405</c:v>
                </c:pt>
                <c:pt idx="327">
                  <c:v>-38.474520443521257</c:v>
                </c:pt>
                <c:pt idx="328">
                  <c:v>-38.614477649407149</c:v>
                </c:pt>
                <c:pt idx="329">
                  <c:v>-38.753331865474451</c:v>
                </c:pt>
                <c:pt idx="330">
                  <c:v>-38.891100077572595</c:v>
                </c:pt>
                <c:pt idx="331">
                  <c:v>-39.027798888789825</c:v>
                </c:pt>
                <c:pt idx="332">
                  <c:v>-39.16344453065102</c:v>
                </c:pt>
                <c:pt idx="333">
                  <c:v>-39.29805287391757</c:v>
                </c:pt>
                <c:pt idx="334">
                  <c:v>-39.431639439005821</c:v>
                </c:pt>
                <c:pt idx="335">
                  <c:v>-39.564219406039875</c:v>
                </c:pt>
                <c:pt idx="336">
                  <c:v>-39.695807624553453</c:v>
                </c:pt>
                <c:pt idx="337">
                  <c:v>-39.826418622855371</c:v>
                </c:pt>
                <c:pt idx="338">
                  <c:v>-39.956066617071968</c:v>
                </c:pt>
                <c:pt idx="339">
                  <c:v>-40.084765519879667</c:v>
                </c:pt>
                <c:pt idx="340">
                  <c:v>-40.212528948939863</c:v>
                </c:pt>
                <c:pt idx="341">
                  <c:v>-40.339370235048222</c:v>
                </c:pt>
                <c:pt idx="342">
                  <c:v>-40.46530243000948</c:v>
                </c:pt>
                <c:pt idx="343">
                  <c:v>-40.590338314248562</c:v>
                </c:pt>
                <c:pt idx="344">
                  <c:v>-40.714490404168501</c:v>
                </c:pt>
                <c:pt idx="345">
                  <c:v>-40.837770959264702</c:v>
                </c:pt>
                <c:pt idx="346">
                  <c:v>-40.960191989005423</c:v>
                </c:pt>
                <c:pt idx="347">
                  <c:v>-41.081765259486929</c:v>
                </c:pt>
                <c:pt idx="348">
                  <c:v>-41.202502299872464</c:v>
                </c:pt>
                <c:pt idx="349">
                  <c:v>-41.322414408622848</c:v>
                </c:pt>
                <c:pt idx="350">
                  <c:v>-41.441512659526907</c:v>
                </c:pt>
                <c:pt idx="351">
                  <c:v>-41.559807907539081</c:v>
                </c:pt>
                <c:pt idx="352">
                  <c:v>-41.677310794431477</c:v>
                </c:pt>
                <c:pt idx="353">
                  <c:v>-41.794031754267358</c:v>
                </c:pt>
                <c:pt idx="354">
                  <c:v>-41.909981018702574</c:v>
                </c:pt>
                <c:pt idx="355">
                  <c:v>-42.025168622121363</c:v>
                </c:pt>
                <c:pt idx="356">
                  <c:v>-42.139604406612541</c:v>
                </c:pt>
                <c:pt idx="357">
                  <c:v>-42.253298026791946</c:v>
                </c:pt>
                <c:pt idx="358">
                  <c:v>-42.366258954476656</c:v>
                </c:pt>
                <c:pt idx="359">
                  <c:v>-42.478496483216468</c:v>
                </c:pt>
                <c:pt idx="360">
                  <c:v>-42.590019732687487</c:v>
                </c:pt>
                <c:pt idx="361">
                  <c:v>-42.70083765295314</c:v>
                </c:pt>
                <c:pt idx="362">
                  <c:v>-42.810959028596933</c:v>
                </c:pt>
                <c:pt idx="363">
                  <c:v>-42.920392482731778</c:v>
                </c:pt>
                <c:pt idx="364">
                  <c:v>-43.02914648089007</c:v>
                </c:pt>
                <c:pt idx="365">
                  <c:v>-43.137229334798704</c:v>
                </c:pt>
                <c:pt idx="366">
                  <c:v>-43.244649206043171</c:v>
                </c:pt>
                <c:pt idx="367">
                  <c:v>-43.351414109624301</c:v>
                </c:pt>
                <c:pt idx="368">
                  <c:v>-43.4575319174117</c:v>
                </c:pt>
                <c:pt idx="369">
                  <c:v>-43.563010361497078</c:v>
                </c:pt>
                <c:pt idx="370">
                  <c:v>-43.667857037451142</c:v>
                </c:pt>
                <c:pt idx="371">
                  <c:v>-43.772079407487169</c:v>
                </c:pt>
                <c:pt idx="372">
                  <c:v>-43.875684803534497</c:v>
                </c:pt>
                <c:pt idx="373">
                  <c:v>-43.978680430224912</c:v>
                </c:pt>
                <c:pt idx="374">
                  <c:v>-44.081073367794836</c:v>
                </c:pt>
                <c:pt idx="375">
                  <c:v>-44.182870574906168</c:v>
                </c:pt>
                <c:pt idx="376">
                  <c:v>-44.284078891388418</c:v>
                </c:pt>
                <c:pt idx="377">
                  <c:v>-44.384705040904677</c:v>
                </c:pt>
                <c:pt idx="378">
                  <c:v>-44.484755633544147</c:v>
                </c:pt>
                <c:pt idx="379">
                  <c:v>-44.584237168343265</c:v>
                </c:pt>
                <c:pt idx="380">
                  <c:v>-44.683156035738037</c:v>
                </c:pt>
                <c:pt idx="381">
                  <c:v>-44.781518519949699</c:v>
                </c:pt>
                <c:pt idx="382">
                  <c:v>-44.87933080130577</c:v>
                </c:pt>
                <c:pt idx="383">
                  <c:v>-44.976598958498698</c:v>
                </c:pt>
                <c:pt idx="384">
                  <c:v>-45.073328970784026</c:v>
                </c:pt>
                <c:pt idx="385">
                  <c:v>-45.16952672011989</c:v>
                </c:pt>
                <c:pt idx="386">
                  <c:v>-45.265197993249906</c:v>
                </c:pt>
                <c:pt idx="387">
                  <c:v>-45.36034848373103</c:v>
                </c:pt>
                <c:pt idx="388">
                  <c:v>-45.454983793908177</c:v>
                </c:pt>
                <c:pt idx="389">
                  <c:v>-45.549109436837341</c:v>
                </c:pt>
                <c:pt idx="390">
                  <c:v>-45.64273083815862</c:v>
                </c:pt>
                <c:pt idx="391">
                  <c:v>-45.735853337920823</c:v>
                </c:pt>
                <c:pt idx="392">
                  <c:v>-45.828482192359139</c:v>
                </c:pt>
                <c:pt idx="393">
                  <c:v>-45.920622575627249</c:v>
                </c:pt>
                <c:pt idx="394">
                  <c:v>-46.01227958148521</c:v>
                </c:pt>
                <c:pt idx="395">
                  <c:v>-46.103458224944653</c:v>
                </c:pt>
                <c:pt idx="396">
                  <c:v>-46.194163443872291</c:v>
                </c:pt>
                <c:pt idx="397">
                  <c:v>-46.284400100553221</c:v>
                </c:pt>
                <c:pt idx="398">
                  <c:v>-46.37417298321509</c:v>
                </c:pt>
                <c:pt idx="399">
                  <c:v>-46.463486807514329</c:v>
                </c:pt>
                <c:pt idx="400">
                  <c:v>-46.552346217985551</c:v>
                </c:pt>
                <c:pt idx="401">
                  <c:v>-46.640755789455241</c:v>
                </c:pt>
                <c:pt idx="402">
                  <c:v>-46.728720028420689</c:v>
                </c:pt>
                <c:pt idx="403">
                  <c:v>-46.816243374395285</c:v>
                </c:pt>
                <c:pt idx="404">
                  <c:v>-46.903330201221074</c:v>
                </c:pt>
                <c:pt idx="405">
                  <c:v>-46.989984818349541</c:v>
                </c:pt>
                <c:pt idx="406">
                  <c:v>-47.076211472091536</c:v>
                </c:pt>
                <c:pt idx="407">
                  <c:v>-47.162014346837267</c:v>
                </c:pt>
                <c:pt idx="408">
                  <c:v>-47.247397566247045</c:v>
                </c:pt>
                <c:pt idx="409">
                  <c:v>-47.332365194413875</c:v>
                </c:pt>
                <c:pt idx="410">
                  <c:v>-47.416921236998412</c:v>
                </c:pt>
                <c:pt idx="411">
                  <c:v>-47.501069642337328</c:v>
                </c:pt>
                <c:pt idx="412">
                  <c:v>-47.584814302525501</c:v>
                </c:pt>
                <c:pt idx="413">
                  <c:v>-47.668159054473165</c:v>
                </c:pt>
                <c:pt idx="414">
                  <c:v>-47.751107680938283</c:v>
                </c:pt>
                <c:pt idx="415">
                  <c:v>-47.833663911535183</c:v>
                </c:pt>
                <c:pt idx="416">
                  <c:v>-47.915831423719915</c:v>
                </c:pt>
                <c:pt idx="417">
                  <c:v>-47.997613843753001</c:v>
                </c:pt>
                <c:pt idx="418">
                  <c:v>-48.079014747640159</c:v>
                </c:pt>
                <c:pt idx="419">
                  <c:v>-48.160037662051806</c:v>
                </c:pt>
                <c:pt idx="420">
                  <c:v>-48.240686065221524</c:v>
                </c:pt>
                <c:pt idx="421">
                  <c:v>-48.320963387824477</c:v>
                </c:pt>
                <c:pt idx="422">
                  <c:v>-48.400873013836012</c:v>
                </c:pt>
                <c:pt idx="423">
                  <c:v>-48.480418281371072</c:v>
                </c:pt>
                <c:pt idx="424">
                  <c:v>-48.559602483505024</c:v>
                </c:pt>
                <c:pt idx="425">
                  <c:v>-48.638428869076208</c:v>
                </c:pt>
                <c:pt idx="426">
                  <c:v>-48.716900643470851</c:v>
                </c:pt>
                <c:pt idx="427">
                  <c:v>-48.79502096939067</c:v>
                </c:pt>
                <c:pt idx="428">
                  <c:v>-48.8727929676038</c:v>
                </c:pt>
                <c:pt idx="429">
                  <c:v>-48.950219717679275</c:v>
                </c:pt>
                <c:pt idx="430">
                  <c:v>-49.027304258705577</c:v>
                </c:pt>
                <c:pt idx="431">
                  <c:v>-49.104049589993735</c:v>
                </c:pt>
                <c:pt idx="432">
                  <c:v>-49.180458671765294</c:v>
                </c:pt>
                <c:pt idx="433">
                  <c:v>-49.256534425825407</c:v>
                </c:pt>
                <c:pt idx="434">
                  <c:v>-49.332279736221842</c:v>
                </c:pt>
                <c:pt idx="435">
                  <c:v>-49.407697449889689</c:v>
                </c:pt>
                <c:pt idx="436">
                  <c:v>-49.482790377282669</c:v>
                </c:pt>
                <c:pt idx="437">
                  <c:v>-49.557561292990997</c:v>
                </c:pt>
                <c:pt idx="438">
                  <c:v>-49.632012936346356</c:v>
                </c:pt>
                <c:pt idx="439">
                  <c:v>-49.706148012014168</c:v>
                </c:pt>
                <c:pt idx="440">
                  <c:v>-49.779969190573595</c:v>
                </c:pt>
                <c:pt idx="441">
                  <c:v>-49.853479109085505</c:v>
                </c:pt>
                <c:pt idx="442">
                  <c:v>-49.926680371648658</c:v>
                </c:pt>
                <c:pt idx="443">
                  <c:v>-49.999575549944538</c:v>
                </c:pt>
                <c:pt idx="444">
                  <c:v>-50.072167183770951</c:v>
                </c:pt>
                <c:pt idx="445">
                  <c:v>-50.144457781564789</c:v>
                </c:pt>
                <c:pt idx="446">
                  <c:v>-50.216449820914121</c:v>
                </c:pt>
                <c:pt idx="447">
                  <c:v>-50.288145749059971</c:v>
                </c:pt>
                <c:pt idx="448">
                  <c:v>-50.359547983387969</c:v>
                </c:pt>
                <c:pt idx="449">
                  <c:v>-50.430658911910065</c:v>
                </c:pt>
                <c:pt idx="450">
                  <c:v>-50.501480893736705</c:v>
                </c:pt>
                <c:pt idx="451">
                  <c:v>-50.572016259539517</c:v>
                </c:pt>
                <c:pt idx="452">
                  <c:v>-50.642267312004854</c:v>
                </c:pt>
                <c:pt idx="453">
                  <c:v>-50.712236326278351</c:v>
                </c:pt>
                <c:pt idx="454">
                  <c:v>-50.781925550400757</c:v>
                </c:pt>
                <c:pt idx="455">
                  <c:v>-50.851337205735135</c:v>
                </c:pt>
                <c:pt idx="456">
                  <c:v>-50.920473487385827</c:v>
                </c:pt>
                <c:pt idx="457">
                  <c:v>-50.989336564609161</c:v>
                </c:pt>
                <c:pt idx="458">
                  <c:v>-51.057928581216217</c:v>
                </c:pt>
                <c:pt idx="459">
                  <c:v>-51.126251655967856</c:v>
                </c:pt>
                <c:pt idx="460">
                  <c:v>-51.194307882962072</c:v>
                </c:pt>
                <c:pt idx="461">
                  <c:v>-51.262099332013939</c:v>
                </c:pt>
                <c:pt idx="462">
                  <c:v>-51.329628049028358</c:v>
                </c:pt>
                <c:pt idx="463">
                  <c:v>-51.396896056365591</c:v>
                </c:pt>
                <c:pt idx="464">
                  <c:v>-51.463905353199941</c:v>
                </c:pt>
                <c:pt idx="465">
                  <c:v>-51.530657915871643</c:v>
                </c:pt>
                <c:pt idx="466">
                  <c:v>-51.597155698232122</c:v>
                </c:pt>
                <c:pt idx="467">
                  <c:v>-51.663400631982725</c:v>
                </c:pt>
                <c:pt idx="468">
                  <c:v>-51.72939462700726</c:v>
                </c:pt>
                <c:pt idx="469">
                  <c:v>-51.795139571698137</c:v>
                </c:pt>
                <c:pt idx="470">
                  <c:v>-51.860637333276649</c:v>
                </c:pt>
                <c:pt idx="471">
                  <c:v>-51.925889758107232</c:v>
                </c:pt>
                <c:pt idx="472">
                  <c:v>-51.990898672005898</c:v>
                </c:pt>
                <c:pt idx="473">
                  <c:v>-52.055665880543131</c:v>
                </c:pt>
                <c:pt idx="474">
                  <c:v>-52.12019316934115</c:v>
                </c:pt>
                <c:pt idx="475">
                  <c:v>-52.184482304365744</c:v>
                </c:pt>
                <c:pt idx="476">
                  <c:v>-52.248535032212885</c:v>
                </c:pt>
                <c:pt idx="477">
                  <c:v>-52.312353080390054</c:v>
                </c:pt>
                <c:pt idx="478">
                  <c:v>-52.375938157592621</c:v>
                </c:pt>
                <c:pt idx="479">
                  <c:v>-52.439291953975086</c:v>
                </c:pt>
                <c:pt idx="480">
                  <c:v>-52.50241614141764</c:v>
                </c:pt>
                <c:pt idx="481">
                  <c:v>-52.565312373787862</c:v>
                </c:pt>
                <c:pt idx="482">
                  <c:v>-52.627982287197774</c:v>
                </c:pt>
                <c:pt idx="483">
                  <c:v>-52.690427500256398</c:v>
                </c:pt>
                <c:pt idx="484">
                  <c:v>-52.752649614317747</c:v>
                </c:pt>
                <c:pt idx="485">
                  <c:v>-52.814650213724583</c:v>
                </c:pt>
                <c:pt idx="486">
                  <c:v>-52.876430866047798</c:v>
                </c:pt>
                <c:pt idx="487">
                  <c:v>-52.937993122321615</c:v>
                </c:pt>
                <c:pt idx="488">
                  <c:v>-52.999338517274822</c:v>
                </c:pt>
                <c:pt idx="489">
                  <c:v>-53.060468569557806</c:v>
                </c:pt>
                <c:pt idx="490">
                  <c:v>-53.121384781965737</c:v>
                </c:pt>
                <c:pt idx="491">
                  <c:v>-53.18208864165797</c:v>
                </c:pt>
                <c:pt idx="492">
                  <c:v>-53.242581620373613</c:v>
                </c:pt>
                <c:pt idx="493">
                  <c:v>-53.302865174643372</c:v>
                </c:pt>
                <c:pt idx="494">
                  <c:v>-53.362940745997847</c:v>
                </c:pt>
                <c:pt idx="495">
                  <c:v>-53.422809761172239</c:v>
                </c:pt>
                <c:pt idx="496">
                  <c:v>-53.482473632307645</c:v>
                </c:pt>
                <c:pt idx="497">
                  <c:v>-53.541933757148819</c:v>
                </c:pt>
                <c:pt idx="498">
                  <c:v>-53.601191519238817</c:v>
                </c:pt>
                <c:pt idx="499">
                  <c:v>-53.660248288110139</c:v>
                </c:pt>
                <c:pt idx="500">
                  <c:v>-53.719105419472854</c:v>
                </c:pt>
                <c:pt idx="501">
                  <c:v>-53.777764255399461</c:v>
                </c:pt>
                <c:pt idx="502">
                  <c:v>-53.836226124506808</c:v>
                </c:pt>
                <c:pt idx="503">
                  <c:v>-53.894492342134861</c:v>
                </c:pt>
                <c:pt idx="504">
                  <c:v>-53.952564210522588</c:v>
                </c:pt>
                <c:pt idx="505">
                  <c:v>-54.010443018980972</c:v>
                </c:pt>
                <c:pt idx="506">
                  <c:v>-54.068130044063132</c:v>
                </c:pt>
                <c:pt idx="507">
                  <c:v>-54.125626549731706</c:v>
                </c:pt>
                <c:pt idx="508">
                  <c:v>-54.182933787523446</c:v>
                </c:pt>
                <c:pt idx="509">
                  <c:v>-54.240052996711221</c:v>
                </c:pt>
                <c:pt idx="510">
                  <c:v>-54.296985404463307</c:v>
                </c:pt>
                <c:pt idx="511">
                  <c:v>-54.353732226000197</c:v>
                </c:pt>
                <c:pt idx="512">
                  <c:v>-54.410294664748804</c:v>
                </c:pt>
                <c:pt idx="513">
                  <c:v>-54.466673912494237</c:v>
                </c:pt>
                <c:pt idx="514">
                  <c:v>-54.522871149529102</c:v>
                </c:pt>
                <c:pt idx="515">
                  <c:v>-54.578887544800551</c:v>
                </c:pt>
                <c:pt idx="516">
                  <c:v>-54.634724256054774</c:v>
                </c:pt>
                <c:pt idx="517">
                  <c:v>-54.690382429979429</c:v>
                </c:pt>
                <c:pt idx="518">
                  <c:v>-54.745863202343671</c:v>
                </c:pt>
                <c:pt idx="519">
                  <c:v>-54.801167698136041</c:v>
                </c:pt>
                <c:pt idx="520">
                  <c:v>-54.856297031700166</c:v>
                </c:pt>
                <c:pt idx="521">
                  <c:v>-54.911252306868363</c:v>
                </c:pt>
                <c:pt idx="522">
                  <c:v>-54.966034617093101</c:v>
                </c:pt>
                <c:pt idx="523">
                  <c:v>-55.020645045576501</c:v>
                </c:pt>
                <c:pt idx="524">
                  <c:v>-55.075084665397767</c:v>
                </c:pt>
                <c:pt idx="525">
                  <c:v>-55.129354539638655</c:v>
                </c:pt>
                <c:pt idx="526">
                  <c:v>-55.183455721507009</c:v>
                </c:pt>
                <c:pt idx="527">
                  <c:v>-55.237389254458463</c:v>
                </c:pt>
                <c:pt idx="528">
                  <c:v>-55.291156172316121</c:v>
                </c:pt>
                <c:pt idx="529">
                  <c:v>-55.344757499388649</c:v>
                </c:pt>
                <c:pt idx="530">
                  <c:v>-55.398194250586286</c:v>
                </c:pt>
                <c:pt idx="531">
                  <c:v>-55.451467431535342</c:v>
                </c:pt>
                <c:pt idx="532">
                  <c:v>-55.504578038690795</c:v>
                </c:pt>
                <c:pt idx="533">
                  <c:v>-55.55752705944731</c:v>
                </c:pt>
                <c:pt idx="534">
                  <c:v>-55.610315472248487</c:v>
                </c:pt>
                <c:pt idx="535">
                  <c:v>-55.662944246694536</c:v>
                </c:pt>
                <c:pt idx="536">
                  <c:v>-55.715414343648291</c:v>
                </c:pt>
                <c:pt idx="537">
                  <c:v>-55.767726715339727</c:v>
                </c:pt>
                <c:pt idx="538">
                  <c:v>-55.819882305468781</c:v>
                </c:pt>
                <c:pt idx="539">
                  <c:v>-55.871882049306848</c:v>
                </c:pt>
                <c:pt idx="540">
                  <c:v>-55.923726873796554</c:v>
                </c:pt>
                <c:pt idx="541">
                  <c:v>-55.975417697650229</c:v>
                </c:pt>
                <c:pt idx="542">
                  <c:v>-56.026955431446837</c:v>
                </c:pt>
                <c:pt idx="543">
                  <c:v>-56.078340977727592</c:v>
                </c:pt>
                <c:pt idx="544">
                  <c:v>-56.129575231089987</c:v>
                </c:pt>
                <c:pt idx="545">
                  <c:v>-56.180659078280677</c:v>
                </c:pt>
                <c:pt idx="546">
                  <c:v>-56.231593398286854</c:v>
                </c:pt>
                <c:pt idx="547">
                  <c:v>-56.282379062426351</c:v>
                </c:pt>
                <c:pt idx="548">
                  <c:v>-56.333016934436472</c:v>
                </c:pt>
                <c:pt idx="549">
                  <c:v>-56.383507870561473</c:v>
                </c:pt>
                <c:pt idx="550">
                  <c:v>-56.433852719638878</c:v>
                </c:pt>
                <c:pt idx="551">
                  <c:v>-56.484052323184457</c:v>
                </c:pt>
                <c:pt idx="552">
                  <c:v>-56.534107515476073</c:v>
                </c:pt>
                <c:pt idx="553">
                  <c:v>-56.58401912363631</c:v>
                </c:pt>
                <c:pt idx="554">
                  <c:v>-56.633787967713893</c:v>
                </c:pt>
                <c:pt idx="555">
                  <c:v>-56.683414860763989</c:v>
                </c:pt>
                <c:pt idx="556">
                  <c:v>-56.732900608927409</c:v>
                </c:pt>
                <c:pt idx="557">
                  <c:v>-56.782246011508583</c:v>
                </c:pt>
                <c:pt idx="558">
                  <c:v>-56.831451861052578</c:v>
                </c:pt>
                <c:pt idx="559">
                  <c:v>-56.880518943420917</c:v>
                </c:pt>
                <c:pt idx="560">
                  <c:v>-56.929448037866436</c:v>
                </c:pt>
                <c:pt idx="561">
                  <c:v>-56.978239917107018</c:v>
                </c:pt>
                <c:pt idx="562">
                  <c:v>-57.026895347398359</c:v>
                </c:pt>
                <c:pt idx="563">
                  <c:v>-57.075415088605688</c:v>
                </c:pt>
                <c:pt idx="564">
                  <c:v>-57.123799894274555</c:v>
                </c:pt>
                <c:pt idx="565">
                  <c:v>-57.172050511700547</c:v>
                </c:pt>
                <c:pt idx="566">
                  <c:v>-57.220167681998134</c:v>
                </c:pt>
                <c:pt idx="567">
                  <c:v>-57.268152140168539</c:v>
                </c:pt>
                <c:pt idx="568">
                  <c:v>-57.31600461516669</c:v>
                </c:pt>
                <c:pt idx="569">
                  <c:v>-57.363725829967215</c:v>
                </c:pt>
                <c:pt idx="570">
                  <c:v>-57.411316501629614</c:v>
                </c:pt>
                <c:pt idx="571">
                  <c:v>-57.458777341362492</c:v>
                </c:pt>
                <c:pt idx="572">
                  <c:v>-57.506109054586936</c:v>
                </c:pt>
                <c:pt idx="573">
                  <c:v>-57.553312340999064</c:v>
                </c:pt>
                <c:pt idx="574">
                  <c:v>-57.600387894631702</c:v>
                </c:pt>
                <c:pt idx="575">
                  <c:v>-57.64733640391519</c:v>
                </c:pt>
                <c:pt idx="576">
                  <c:v>-57.694158551737559</c:v>
                </c:pt>
                <c:pt idx="577">
                  <c:v>-57.740855015503627</c:v>
                </c:pt>
                <c:pt idx="578">
                  <c:v>-57.787426467193541</c:v>
                </c:pt>
                <c:pt idx="579">
                  <c:v>-57.833873573420462</c:v>
                </c:pt>
                <c:pt idx="580">
                  <c:v>-57.88019699548741</c:v>
                </c:pt>
                <c:pt idx="581">
                  <c:v>-57.926397389443522</c:v>
                </c:pt>
                <c:pt idx="582">
                  <c:v>-57.972475406139417</c:v>
                </c:pt>
                <c:pt idx="583">
                  <c:v>-58.018431691281897</c:v>
                </c:pt>
                <c:pt idx="584">
                  <c:v>-58.064266885487974</c:v>
                </c:pt>
                <c:pt idx="585">
                  <c:v>-58.10998162433809</c:v>
                </c:pt>
                <c:pt idx="586">
                  <c:v>-58.15557653842874</c:v>
                </c:pt>
                <c:pt idx="587">
                  <c:v>-58.201052253424344</c:v>
                </c:pt>
                <c:pt idx="588">
                  <c:v>-58.246409390108496</c:v>
                </c:pt>
                <c:pt idx="589">
                  <c:v>-58.29164856443451</c:v>
                </c:pt>
                <c:pt idx="590">
                  <c:v>-58.336770387575356</c:v>
                </c:pt>
                <c:pt idx="591">
                  <c:v>-58.381775465972872</c:v>
                </c:pt>
                <c:pt idx="592">
                  <c:v>-58.42666440138651</c:v>
                </c:pt>
                <c:pt idx="593">
                  <c:v>-58.471437790941209</c:v>
                </c:pt>
                <c:pt idx="594">
                  <c:v>-58.516096227174913</c:v>
                </c:pt>
                <c:pt idx="595">
                  <c:v>-58.560640298085346</c:v>
                </c:pt>
                <c:pt idx="596">
                  <c:v>-58.605070587176129</c:v>
                </c:pt>
                <c:pt idx="597">
                  <c:v>-58.649387673502545</c:v>
                </c:pt>
                <c:pt idx="598">
                  <c:v>-58.693592131716457</c:v>
                </c:pt>
                <c:pt idx="599">
                  <c:v>-58.737684532110841</c:v>
                </c:pt>
                <c:pt idx="600">
                  <c:v>-58.781665440663687</c:v>
                </c:pt>
                <c:pt idx="601">
                  <c:v>-58.825535419081362</c:v>
                </c:pt>
                <c:pt idx="602">
                  <c:v>-58.869295024841421</c:v>
                </c:pt>
                <c:pt idx="603">
                  <c:v>-58.912944811234922</c:v>
                </c:pt>
                <c:pt idx="604">
                  <c:v>-58.956485327408181</c:v>
                </c:pt>
                <c:pt idx="605">
                  <c:v>-58.999917118403971</c:v>
                </c:pt>
                <c:pt idx="606">
                  <c:v>-61.043842906611985</c:v>
                </c:pt>
                <c:pt idx="607">
                  <c:v>-62.872587740103555</c:v>
                </c:pt>
                <c:pt idx="608">
                  <c:v>-64.527145349465201</c:v>
                </c:pt>
                <c:pt idx="609">
                  <c:v>-66.037813597439055</c:v>
                </c:pt>
                <c:pt idx="610">
                  <c:v>-67.427617720929433</c:v>
                </c:pt>
                <c:pt idx="611">
                  <c:v>-68.714465518859967</c:v>
                </c:pt>
                <c:pt idx="612">
                  <c:v>-69.912559262612746</c:v>
                </c:pt>
                <c:pt idx="613">
                  <c:v>-71.033352087363937</c:v>
                </c:pt>
                <c:pt idx="614">
                  <c:v>-72.086214529533535</c:v>
                </c:pt>
                <c:pt idx="615">
                  <c:v>-73.078910601542105</c:v>
                </c:pt>
                <c:pt idx="616">
                  <c:v>-74.017945183071518</c:v>
                </c:pt>
                <c:pt idx="617">
                  <c:v>-74.90882232828352</c:v>
                </c:pt>
                <c:pt idx="618">
                  <c:v>-75.2527649906026</c:v>
                </c:pt>
                <c:pt idx="619">
                  <c:v>-75.590031153931875</c:v>
                </c:pt>
                <c:pt idx="620">
                  <c:v>-75.920875049957075</c:v>
                </c:pt>
                <c:pt idx="621">
                  <c:v>-76.245536662470329</c:v>
                </c:pt>
                <c:pt idx="622">
                  <c:v>-76.564242772364139</c:v>
                </c:pt>
                <c:pt idx="623">
                  <c:v>-76.877207908558077</c:v>
                </c:pt>
                <c:pt idx="624">
                  <c:v>-77.184635214838124</c:v>
                </c:pt>
                <c:pt idx="625">
                  <c:v>-77.486717241375544</c:v>
                </c:pt>
                <c:pt idx="626">
                  <c:v>-77.783636668643567</c:v>
                </c:pt>
                <c:pt idx="627">
                  <c:v>-78.075566970543406</c:v>
                </c:pt>
                <c:pt idx="628">
                  <c:v>-78.362673022763573</c:v>
                </c:pt>
                <c:pt idx="629">
                  <c:v>-78.645111661711553</c:v>
                </c:pt>
                <c:pt idx="630">
                  <c:v>-78.923032198759088</c:v>
                </c:pt>
                <c:pt idx="631">
                  <c:v>-79.196576894020694</c:v>
                </c:pt>
                <c:pt idx="632">
                  <c:v>-79.465881393426841</c:v>
                </c:pt>
                <c:pt idx="633">
                  <c:v>-79.731075132452048</c:v>
                </c:pt>
                <c:pt idx="634">
                  <c:v>-79.992281709504326</c:v>
                </c:pt>
                <c:pt idx="635">
                  <c:v>-80.249619231671105</c:v>
                </c:pt>
                <c:pt idx="636">
                  <c:v>-80.503200635241512</c:v>
                </c:pt>
                <c:pt idx="637">
                  <c:v>-80.753133983181215</c:v>
                </c:pt>
                <c:pt idx="638">
                  <c:v>-80.999522741520153</c:v>
                </c:pt>
                <c:pt idx="639">
                  <c:v>-81.24246603642176</c:v>
                </c:pt>
                <c:pt idx="640">
                  <c:v>-81.482058893531573</c:v>
                </c:pt>
                <c:pt idx="641">
                  <c:v>-81.71839246105101</c:v>
                </c:pt>
                <c:pt idx="642">
                  <c:v>-81.951554217846322</c:v>
                </c:pt>
                <c:pt idx="643">
                  <c:v>-82.18162816778144</c:v>
                </c:pt>
                <c:pt idx="644">
                  <c:v>-82.408695021354674</c:v>
                </c:pt>
                <c:pt idx="645">
                  <c:v>-82.632832365621681</c:v>
                </c:pt>
                <c:pt idx="646">
                  <c:v>-82.854114823299483</c:v>
                </c:pt>
                <c:pt idx="647">
                  <c:v>-83.072614201868021</c:v>
                </c:pt>
                <c:pt idx="648">
                  <c:v>-83.288399633414073</c:v>
                </c:pt>
                <c:pt idx="649">
                  <c:v>-83.501537705899011</c:v>
                </c:pt>
                <c:pt idx="650">
                  <c:v>-83.71209258647383</c:v>
                </c:pt>
                <c:pt idx="651">
                  <c:v>-83.920126137412382</c:v>
                </c:pt>
                <c:pt idx="652">
                  <c:v>-84.125698025187461</c:v>
                </c:pt>
                <c:pt idx="653">
                  <c:v>-84.328865823169735</c:v>
                </c:pt>
                <c:pt idx="654">
                  <c:v>-84.529685108392755</c:v>
                </c:pt>
                <c:pt idx="655">
                  <c:v>-84.728209552789977</c:v>
                </c:pt>
                <c:pt idx="656">
                  <c:v>-84.924491009278839</c:v>
                </c:pt>
                <c:pt idx="657">
                  <c:v>-85.118579593037182</c:v>
                </c:pt>
                <c:pt idx="658">
                  <c:v>-85.310523758290572</c:v>
                </c:pt>
                <c:pt idx="659">
                  <c:v>-85.500370370904733</c:v>
                </c:pt>
                <c:pt idx="660">
                  <c:v>-85.688164777055221</c:v>
                </c:pt>
                <c:pt idx="661">
                  <c:v>-85.873950868226089</c:v>
                </c:pt>
                <c:pt idx="662">
                  <c:v>-86.057771142770122</c:v>
                </c:pt>
                <c:pt idx="663">
                  <c:v>-86.239666764247161</c:v>
                </c:pt>
                <c:pt idx="664">
                  <c:v>-86.419677616740273</c:v>
                </c:pt>
                <c:pt idx="665">
                  <c:v>-86.597842357336106</c:v>
                </c:pt>
                <c:pt idx="666">
                  <c:v>-86.774198465941765</c:v>
                </c:pt>
                <c:pt idx="667">
                  <c:v>-86.948782292599063</c:v>
                </c:pt>
              </c:numCache>
            </c:numRef>
          </c:yVal>
          <c:smooth val="0"/>
          <c:extLst>
            <c:ext xmlns:c16="http://schemas.microsoft.com/office/drawing/2014/chart" uri="{C3380CC4-5D6E-409C-BE32-E72D297353CC}">
              <c16:uniqueId val="{00000000-C323-45F5-AD89-2A9969707A73}"/>
            </c:ext>
          </c:extLst>
        </c:ser>
        <c:ser>
          <c:idx val="2"/>
          <c:order val="2"/>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Calculations'!$BF$9:$BF$676</c:f>
              <c:numCache>
                <c:formatCode>General</c:formatCode>
                <c:ptCount val="668"/>
                <c:pt idx="0">
                  <c:v>84.156532964818524</c:v>
                </c:pt>
                <c:pt idx="1">
                  <c:v>80.016094312562075</c:v>
                </c:pt>
                <c:pt idx="2">
                  <c:v>76.953425185304638</c:v>
                </c:pt>
                <c:pt idx="3">
                  <c:v>74.627566903476961</c:v>
                </c:pt>
                <c:pt idx="4">
                  <c:v>72.771808215289525</c:v>
                </c:pt>
                <c:pt idx="5">
                  <c:v>71.233646081227008</c:v>
                </c:pt>
                <c:pt idx="6">
                  <c:v>69.922370402214696</c:v>
                </c:pt>
                <c:pt idx="7">
                  <c:v>68.780594933653404</c:v>
                </c:pt>
                <c:pt idx="8">
                  <c:v>67.7699889805494</c:v>
                </c:pt>
                <c:pt idx="9">
                  <c:v>66.863779597659857</c:v>
                </c:pt>
                <c:pt idx="10">
                  <c:v>60.872489153489731</c:v>
                </c:pt>
                <c:pt idx="11">
                  <c:v>57.357228387327396</c:v>
                </c:pt>
                <c:pt idx="12">
                  <c:v>54.862070987944655</c:v>
                </c:pt>
                <c:pt idx="13">
                  <c:v>52.926991460881951</c:v>
                </c:pt>
                <c:pt idx="14">
                  <c:v>51.346595918467095</c:v>
                </c:pt>
                <c:pt idx="15">
                  <c:v>50.011205508823309</c:v>
                </c:pt>
                <c:pt idx="16">
                  <c:v>48.855314464188488</c:v>
                </c:pt>
                <c:pt idx="17">
                  <c:v>47.836655619223613</c:v>
                </c:pt>
                <c:pt idx="18">
                  <c:v>46.926362680546994</c:v>
                </c:pt>
                <c:pt idx="19">
                  <c:v>40.981196536745429</c:v>
                </c:pt>
                <c:pt idx="20">
                  <c:v>37.584163049036185</c:v>
                </c:pt>
                <c:pt idx="21">
                  <c:v>35.259009457847036</c:v>
                </c:pt>
                <c:pt idx="22">
                  <c:v>33.542324803827356</c:v>
                </c:pt>
                <c:pt idx="23">
                  <c:v>32.226978757453253</c:v>
                </c:pt>
                <c:pt idx="24">
                  <c:v>31.201834720328243</c:v>
                </c:pt>
                <c:pt idx="25">
                  <c:v>30.400000883810652</c:v>
                </c:pt>
                <c:pt idx="26">
                  <c:v>29.777889584006978</c:v>
                </c:pt>
                <c:pt idx="27">
                  <c:v>29.30542137389326</c:v>
                </c:pt>
                <c:pt idx="28">
                  <c:v>28.595243141065339</c:v>
                </c:pt>
                <c:pt idx="29">
                  <c:v>29.921172490518188</c:v>
                </c:pt>
                <c:pt idx="30">
                  <c:v>33.004653816049803</c:v>
                </c:pt>
                <c:pt idx="31">
                  <c:v>36.486599350038759</c:v>
                </c:pt>
                <c:pt idx="32">
                  <c:v>33.843474015455001</c:v>
                </c:pt>
                <c:pt idx="33">
                  <c:v>29.393020134147847</c:v>
                </c:pt>
                <c:pt idx="34">
                  <c:v>26.115087375937321</c:v>
                </c:pt>
                <c:pt idx="35">
                  <c:v>23.686870361776371</c:v>
                </c:pt>
                <c:pt idx="36">
                  <c:v>21.794734511477138</c:v>
                </c:pt>
                <c:pt idx="37">
                  <c:v>20.258419280998314</c:v>
                </c:pt>
                <c:pt idx="38">
                  <c:v>18.971544338785051</c:v>
                </c:pt>
                <c:pt idx="39">
                  <c:v>17.867516437067358</c:v>
                </c:pt>
                <c:pt idx="40">
                  <c:v>16.902388191309118</c:v>
                </c:pt>
                <c:pt idx="41">
                  <c:v>16.045865747119709</c:v>
                </c:pt>
                <c:pt idx="42">
                  <c:v>15.276306029940967</c:v>
                </c:pt>
                <c:pt idx="43">
                  <c:v>14.57777942957547</c:v>
                </c:pt>
                <c:pt idx="44">
                  <c:v>13.938263537913251</c:v>
                </c:pt>
                <c:pt idx="45">
                  <c:v>13.348487925221598</c:v>
                </c:pt>
                <c:pt idx="46">
                  <c:v>12.801170137397794</c:v>
                </c:pt>
                <c:pt idx="47">
                  <c:v>12.29049565552139</c:v>
                </c:pt>
                <c:pt idx="48">
                  <c:v>11.811754940415289</c:v>
                </c:pt>
                <c:pt idx="49">
                  <c:v>11.361084486234741</c:v>
                </c:pt>
                <c:pt idx="50">
                  <c:v>10.935278450887056</c:v>
                </c:pt>
                <c:pt idx="51">
                  <c:v>10.531649229679411</c:v>
                </c:pt>
                <c:pt idx="52">
                  <c:v>10.147922634741759</c:v>
                </c:pt>
                <c:pt idx="53">
                  <c:v>9.7821579731497685</c:v>
                </c:pt>
                <c:pt idx="54">
                  <c:v>9.4326863242320851</c:v>
                </c:pt>
                <c:pt idx="55">
                  <c:v>9.0980623112606445</c:v>
                </c:pt>
                <c:pt idx="56">
                  <c:v>8.7770260109266331</c:v>
                </c:pt>
                <c:pt idx="57">
                  <c:v>8.4684725710461795</c:v>
                </c:pt>
                <c:pt idx="58">
                  <c:v>8.1714277544845348</c:v>
                </c:pt>
                <c:pt idx="59">
                  <c:v>7.8850280861785995</c:v>
                </c:pt>
                <c:pt idx="60">
                  <c:v>7.6085046096936892</c:v>
                </c:pt>
                <c:pt idx="61">
                  <c:v>7.3411694993552601</c:v>
                </c:pt>
                <c:pt idx="62">
                  <c:v>7.0824049502042978</c:v>
                </c:pt>
                <c:pt idx="63">
                  <c:v>6.8316538989976099</c:v>
                </c:pt>
                <c:pt idx="64">
                  <c:v>6.5884122277957138</c:v>
                </c:pt>
                <c:pt idx="65">
                  <c:v>6.3522221761814617</c:v>
                </c:pt>
                <c:pt idx="66">
                  <c:v>6.1226667450984866</c:v>
                </c:pt>
                <c:pt idx="67">
                  <c:v>5.8993649191848228</c:v>
                </c:pt>
                <c:pt idx="68">
                  <c:v>5.6819675685617579</c:v>
                </c:pt>
                <c:pt idx="69">
                  <c:v>5.4701539177041028</c:v>
                </c:pt>
                <c:pt idx="70">
                  <c:v>5.2636284900250017</c:v>
                </c:pt>
                <c:pt idx="71">
                  <c:v>5.0621184534656862</c:v>
                </c:pt>
                <c:pt idx="72">
                  <c:v>4.8653713056711982</c:v>
                </c:pt>
                <c:pt idx="73">
                  <c:v>4.6731528480002931</c:v>
                </c:pt>
                <c:pt idx="74">
                  <c:v>4.4852454062272615</c:v>
                </c:pt>
                <c:pt idx="75">
                  <c:v>4.3014462627797494</c:v>
                </c:pt>
                <c:pt idx="76">
                  <c:v>4.1215662710544283</c:v>
                </c:pt>
                <c:pt idx="77">
                  <c:v>3.9454286270223071</c:v>
                </c:pt>
                <c:pt idx="78">
                  <c:v>3.7728677771804042</c:v>
                </c:pt>
                <c:pt idx="79">
                  <c:v>3.6037284450865985</c:v>
                </c:pt>
                <c:pt idx="80">
                  <c:v>3.4378647613558213</c:v>
                </c:pt>
                <c:pt idx="81">
                  <c:v>3.2751394841983981</c:v>
                </c:pt>
                <c:pt idx="82">
                  <c:v>3.1154232994257312</c:v>
                </c:pt>
                <c:pt idx="83">
                  <c:v>2.9585941903984563</c:v>
                </c:pt>
                <c:pt idx="84">
                  <c:v>2.8045368696992123</c:v>
                </c:pt>
                <c:pt idx="85">
                  <c:v>2.6531422654189001</c:v>
                </c:pt>
                <c:pt idx="86">
                  <c:v>2.5043070558846239</c:v>
                </c:pt>
                <c:pt idx="87">
                  <c:v>2.3579332474579027</c:v>
                </c:pt>
                <c:pt idx="88">
                  <c:v>2.2139277907159469</c:v>
                </c:pt>
                <c:pt idx="89">
                  <c:v>2.072202230914856</c:v>
                </c:pt>
                <c:pt idx="90">
                  <c:v>1.9326723891375477</c:v>
                </c:pt>
                <c:pt idx="91">
                  <c:v>1.7952580709637731</c:v>
                </c:pt>
                <c:pt idx="92">
                  <c:v>1.6598827998747214</c:v>
                </c:pt>
                <c:pt idx="93">
                  <c:v>1.5264735729302004</c:v>
                </c:pt>
                <c:pt idx="94">
                  <c:v>1.3949606365388758</c:v>
                </c:pt>
                <c:pt idx="95">
                  <c:v>1.2652772803881711</c:v>
                </c:pt>
                <c:pt idx="96">
                  <c:v>1.1373596478150614</c:v>
                </c:pt>
                <c:pt idx="97">
                  <c:v>1.011146561086893</c:v>
                </c:pt>
                <c:pt idx="98">
                  <c:v>0.88657936022619677</c:v>
                </c:pt>
                <c:pt idx="99">
                  <c:v>0.76360175415794007</c:v>
                </c:pt>
                <c:pt idx="100">
                  <c:v>0.64215968308514726</c:v>
                </c:pt>
                <c:pt idx="101">
                  <c:v>0.52220119111115793</c:v>
                </c:pt>
                <c:pt idx="102">
                  <c:v>0.40367630822603168</c:v>
                </c:pt>
                <c:pt idx="103">
                  <c:v>0.28653694086261816</c:v>
                </c:pt>
                <c:pt idx="104">
                  <c:v>0.17073677030571718</c:v>
                </c:pt>
                <c:pt idx="105">
                  <c:v>5.6231158307030696E-2</c:v>
                </c:pt>
                <c:pt idx="106">
                  <c:v>-5.7022940679699291E-2</c:v>
                </c:pt>
                <c:pt idx="107">
                  <c:v>-0.16906706117384776</c:v>
                </c:pt>
                <c:pt idx="108">
                  <c:v>-0.2799413027350795</c:v>
                </c:pt>
                <c:pt idx="109">
                  <c:v>-0.38968440085995598</c:v>
                </c:pt>
                <c:pt idx="110">
                  <c:v>-0.49833379310639131</c:v>
                </c:pt>
                <c:pt idx="111">
                  <c:v>-0.60592568080882492</c:v>
                </c:pt>
                <c:pt idx="112">
                  <c:v>-0.7124950867155142</c:v>
                </c:pt>
                <c:pt idx="113">
                  <c:v>-0.81807590885067827</c:v>
                </c:pt>
                <c:pt idx="114">
                  <c:v>-0.92270097087868352</c:v>
                </c:pt>
                <c:pt idx="115">
                  <c:v>-1.0264020692241118</c:v>
                </c:pt>
                <c:pt idx="116">
                  <c:v>-1.1292100171808614</c:v>
                </c:pt>
                <c:pt idx="117">
                  <c:v>-1.2311546862243445</c:v>
                </c:pt>
                <c:pt idx="118">
                  <c:v>-1.3322650447237785</c:v>
                </c:pt>
                <c:pt idx="119">
                  <c:v>-1.4325691942361223</c:v>
                </c:pt>
                <c:pt idx="120">
                  <c:v>-1.5320944035488668</c:v>
                </c:pt>
                <c:pt idx="121">
                  <c:v>-1.6308671406264885</c:v>
                </c:pt>
                <c:pt idx="122">
                  <c:v>-1.7289131026033062</c:v>
                </c:pt>
                <c:pt idx="123">
                  <c:v>-1.8262572439551681</c:v>
                </c:pt>
                <c:pt idx="124">
                  <c:v>-1.9229238029725904</c:v>
                </c:pt>
                <c:pt idx="125">
                  <c:v>-2.0189363266491487</c:v>
                </c:pt>
                <c:pt idx="126">
                  <c:v>-2.1143176940908619</c:v>
                </c:pt>
                <c:pt idx="127">
                  <c:v>-2.2090901385449695</c:v>
                </c:pt>
                <c:pt idx="128">
                  <c:v>-2.3032752681396125</c:v>
                </c:pt>
                <c:pt idx="129">
                  <c:v>-2.3968940854198131</c:v>
                </c:pt>
                <c:pt idx="130">
                  <c:v>-2.4899670057594743</c:v>
                </c:pt>
                <c:pt idx="131">
                  <c:v>-2.5825138747236851</c:v>
                </c:pt>
                <c:pt idx="132">
                  <c:v>-2.6745539844511019</c:v>
                </c:pt>
                <c:pt idx="133">
                  <c:v>-2.7661060891213092</c:v>
                </c:pt>
                <c:pt idx="134">
                  <c:v>-2.8571884195684127</c:v>
                </c:pt>
                <c:pt idx="135">
                  <c:v>-2.9478186970978335</c:v>
                </c:pt>
                <c:pt idx="136">
                  <c:v>-3.0380141465602124</c:v>
                </c:pt>
                <c:pt idx="137">
                  <c:v>-3.1277915087326114</c:v>
                </c:pt>
                <c:pt idx="138">
                  <c:v>-3.2171670520546281</c:v>
                </c:pt>
                <c:pt idx="139">
                  <c:v>-3.3061565837636824</c:v>
                </c:pt>
                <c:pt idx="140">
                  <c:v>-3.3947754604716773</c:v>
                </c:pt>
                <c:pt idx="141">
                  <c:v>-3.4830385982222922</c:v>
                </c:pt>
                <c:pt idx="142">
                  <c:v>-3.5709604820660785</c:v>
                </c:pt>
                <c:pt idx="143">
                  <c:v>-3.6585551751884631</c:v>
                </c:pt>
                <c:pt idx="144">
                  <c:v>-3.7458363276234707</c:v>
                </c:pt>
                <c:pt idx="145">
                  <c:v>-3.8328171845843606</c:v>
                </c:pt>
                <c:pt idx="146">
                  <c:v>-3.9195105944403519</c:v>
                </c:pt>
                <c:pt idx="147">
                  <c:v>-4.005929016367082</c:v>
                </c:pt>
                <c:pt idx="148">
                  <c:v>-4.0920845276967457</c:v>
                </c:pt>
                <c:pt idx="149">
                  <c:v>-4.1779888309923621</c:v>
                </c:pt>
                <c:pt idx="150">
                  <c:v>-4.2636532608692139</c:v>
                </c:pt>
                <c:pt idx="151">
                  <c:v>-4.3490887905851094</c:v>
                </c:pt>
                <c:pt idx="152">
                  <c:v>-4.4343060384198365</c:v>
                </c:pt>
                <c:pt idx="153">
                  <c:v>-4.5193152738628575</c:v>
                </c:pt>
                <c:pt idx="154">
                  <c:v>-4.6041264236272754</c:v>
                </c:pt>
                <c:pt idx="155">
                  <c:v>-4.6887490775067917</c:v>
                </c:pt>
                <c:pt idx="156">
                  <c:v>-4.773192494091349</c:v>
                </c:pt>
                <c:pt idx="157">
                  <c:v>-4.8574656063562553</c:v>
                </c:pt>
                <c:pt idx="158">
                  <c:v>-4.9415770271383233</c:v>
                </c:pt>
                <c:pt idx="159">
                  <c:v>-5.0255350545118693</c:v>
                </c:pt>
                <c:pt idx="160">
                  <c:v>-5.109347677076272</c:v>
                </c:pt>
                <c:pt idx="161">
                  <c:v>-5.1930225791661062</c:v>
                </c:pt>
                <c:pt idx="162">
                  <c:v>-5.2765671459939378</c:v>
                </c:pt>
                <c:pt idx="163">
                  <c:v>-5.3599884687348966</c:v>
                </c:pt>
                <c:pt idx="164">
                  <c:v>-5.443293349561741</c:v>
                </c:pt>
                <c:pt idx="165">
                  <c:v>-5.5264883066379671</c:v>
                </c:pt>
                <c:pt idx="166">
                  <c:v>-5.6095795790760281</c:v>
                </c:pt>
                <c:pt idx="167">
                  <c:v>-5.6925731318670465</c:v>
                </c:pt>
                <c:pt idx="168">
                  <c:v>-5.7754746607875447</c:v>
                </c:pt>
                <c:pt idx="169">
                  <c:v>-5.8582895972883637</c:v>
                </c:pt>
                <c:pt idx="170">
                  <c:v>-5.9410231133700133</c:v>
                </c:pt>
                <c:pt idx="171">
                  <c:v>-6.0236801264484585</c:v>
                </c:pt>
                <c:pt idx="172">
                  <c:v>-6.1062653042144346</c:v>
                </c:pt>
                <c:pt idx="173">
                  <c:v>-6.1887830694891903</c:v>
                </c:pt>
                <c:pt idx="174">
                  <c:v>-6.2712376050787322</c:v>
                </c:pt>
                <c:pt idx="175">
                  <c:v>-6.353632858628516</c:v>
                </c:pt>
                <c:pt idx="176">
                  <c:v>-6.4359725474796567</c:v>
                </c:pt>
                <c:pt idx="177">
                  <c:v>-6.5182601635277937</c:v>
                </c:pt>
                <c:pt idx="178">
                  <c:v>-6.600498978084806</c:v>
                </c:pt>
                <c:pt idx="179">
                  <c:v>-6.6826920467437319</c:v>
                </c:pt>
                <c:pt idx="180">
                  <c:v>-6.764842214246408</c:v>
                </c:pt>
                <c:pt idx="181">
                  <c:v>-6.8469521193533822</c:v>
                </c:pt>
                <c:pt idx="182">
                  <c:v>-6.9290241997151174</c:v>
                </c:pt>
                <c:pt idx="183">
                  <c:v>-7.0110606967433728</c:v>
                </c:pt>
                <c:pt idx="184">
                  <c:v>-7.0930636604812092</c:v>
                </c:pt>
                <c:pt idx="185">
                  <c:v>-7.1750349544700889</c:v>
                </c:pt>
                <c:pt idx="186">
                  <c:v>-7.2569762606119941</c:v>
                </c:pt>
                <c:pt idx="187">
                  <c:v>-7.3388890840246486</c:v>
                </c:pt>
                <c:pt idx="188">
                  <c:v>-7.4207747578874459</c:v>
                </c:pt>
                <c:pt idx="189">
                  <c:v>-7.5026344482757414</c:v>
                </c:pt>
                <c:pt idx="190">
                  <c:v>-7.5844691589809177</c:v>
                </c:pt>
                <c:pt idx="191">
                  <c:v>-7.6662797363136352</c:v>
                </c:pt>
                <c:pt idx="192">
                  <c:v>-7.7480668738874154</c:v>
                </c:pt>
                <c:pt idx="193">
                  <c:v>-7.8298311173798449</c:v>
                </c:pt>
                <c:pt idx="194">
                  <c:v>-7.9115728692683653</c:v>
                </c:pt>
                <c:pt idx="195">
                  <c:v>-7.9932923935379723</c:v>
                </c:pt>
                <c:pt idx="196">
                  <c:v>-8.0749898203575672</c:v>
                </c:pt>
                <c:pt idx="197">
                  <c:v>-8.1566651507222936</c:v>
                </c:pt>
                <c:pt idx="198">
                  <c:v>-8.2383182610587031</c:v>
                </c:pt>
                <c:pt idx="199">
                  <c:v>-8.3199489077899322</c:v>
                </c:pt>
                <c:pt idx="200">
                  <c:v>-8.4015567318579869</c:v>
                </c:pt>
                <c:pt idx="201">
                  <c:v>-8.4831412632002223</c:v>
                </c:pt>
                <c:pt idx="202">
                  <c:v>-8.5647019251772729</c:v>
                </c:pt>
                <c:pt idx="203">
                  <c:v>-8.6462380389497557</c:v>
                </c:pt>
                <c:pt idx="204">
                  <c:v>-8.7277488278009088</c:v>
                </c:pt>
                <c:pt idx="205">
                  <c:v>-8.8092334214028671</c:v>
                </c:pt>
                <c:pt idx="206">
                  <c:v>-8.8906908600238541</c:v>
                </c:pt>
                <c:pt idx="207">
                  <c:v>-8.9721200986740808</c:v>
                </c:pt>
                <c:pt idx="208">
                  <c:v>-9.0535200111880165</c:v>
                </c:pt>
                <c:pt idx="209">
                  <c:v>-9.13488939424089</c:v>
                </c:pt>
                <c:pt idx="210">
                  <c:v>-9.2162269712973792</c:v>
                </c:pt>
                <c:pt idx="211">
                  <c:v>-9.2975313964906476</c:v>
                </c:pt>
                <c:pt idx="212">
                  <c:v>-9.3788012584297942</c:v>
                </c:pt>
                <c:pt idx="213">
                  <c:v>-9.4600350839342049</c:v>
                </c:pt>
                <c:pt idx="214">
                  <c:v>-9.5412313416932104</c:v>
                </c:pt>
                <c:pt idx="215">
                  <c:v>-9.6223884458496585</c:v>
                </c:pt>
                <c:pt idx="216">
                  <c:v>-9.703504759506167</c:v>
                </c:pt>
                <c:pt idx="217">
                  <c:v>-9.7845785981528302</c:v>
                </c:pt>
                <c:pt idx="218">
                  <c:v>-9.8656082330155854</c:v>
                </c:pt>
                <c:pt idx="219">
                  <c:v>-9.9465918943241167</c:v>
                </c:pt>
                <c:pt idx="220">
                  <c:v>-10.027527774498804</c:v>
                </c:pt>
                <c:pt idx="221">
                  <c:v>-10.108414031255951</c:v>
                </c:pt>
                <c:pt idx="222">
                  <c:v>-10.189248790630849</c:v>
                </c:pt>
                <c:pt idx="223">
                  <c:v>-10.270030149918487</c:v>
                </c:pt>
                <c:pt idx="224">
                  <c:v>-10.350756180531391</c:v>
                </c:pt>
                <c:pt idx="225">
                  <c:v>-10.431424930774739</c:v>
                </c:pt>
                <c:pt idx="226">
                  <c:v>-11.234521261052544</c:v>
                </c:pt>
                <c:pt idx="227">
                  <c:v>-12.029664289205108</c:v>
                </c:pt>
                <c:pt idx="228">
                  <c:v>-12.814866983918026</c:v>
                </c:pt>
                <c:pt idx="229">
                  <c:v>-13.588312502115951</c:v>
                </c:pt>
                <c:pt idx="230">
                  <c:v>-14.34843707613908</c:v>
                </c:pt>
                <c:pt idx="231">
                  <c:v>-15.093966329471362</c:v>
                </c:pt>
                <c:pt idx="232">
                  <c:v>-15.823919033117424</c:v>
                </c:pt>
                <c:pt idx="233">
                  <c:v>-16.53759014055246</c:v>
                </c:pt>
                <c:pt idx="234">
                  <c:v>-17.23452221362793</c:v>
                </c:pt>
                <c:pt idx="235">
                  <c:v>-17.914471726730813</c:v>
                </c:pt>
                <c:pt idx="236">
                  <c:v>-18.577374533506482</c:v>
                </c:pt>
                <c:pt idx="237">
                  <c:v>-19.223313094119678</c:v>
                </c:pt>
                <c:pt idx="238">
                  <c:v>-19.852486859038066</c:v>
                </c:pt>
                <c:pt idx="239">
                  <c:v>-20.465186401026134</c:v>
                </c:pt>
                <c:pt idx="240">
                  <c:v>-21.061771382664073</c:v>
                </c:pt>
                <c:pt idx="241">
                  <c:v>-21.642652154624411</c:v>
                </c:pt>
                <c:pt idx="242">
                  <c:v>-22.208274630265734</c:v>
                </c:pt>
                <c:pt idx="243">
                  <c:v>-22.759108023124014</c:v>
                </c:pt>
                <c:pt idx="244">
                  <c:v>-23.295635029375724</c:v>
                </c:pt>
                <c:pt idx="245">
                  <c:v>-23.818344063072445</c:v>
                </c:pt>
                <c:pt idx="246">
                  <c:v>-24.327723192357507</c:v>
                </c:pt>
                <c:pt idx="247">
                  <c:v>-24.824255470442292</c:v>
                </c:pt>
                <c:pt idx="248">
                  <c:v>-25.308415400328542</c:v>
                </c:pt>
                <c:pt idx="249">
                  <c:v>-25.780666314175544</c:v>
                </c:pt>
                <c:pt idx="250">
                  <c:v>-26.241458485491677</c:v>
                </c:pt>
                <c:pt idx="251">
                  <c:v>-26.691227824592005</c:v>
                </c:pt>
                <c:pt idx="252">
                  <c:v>-27.130395035153803</c:v>
                </c:pt>
                <c:pt idx="253">
                  <c:v>-27.559365132636216</c:v>
                </c:pt>
                <c:pt idx="254">
                  <c:v>-27.978527244338814</c:v>
                </c:pt>
                <c:pt idx="255">
                  <c:v>-28.388254626507589</c:v>
                </c:pt>
                <c:pt idx="256">
                  <c:v>-28.788904846679799</c:v>
                </c:pt>
                <c:pt idx="257">
                  <c:v>-29.180820089862983</c:v>
                </c:pt>
                <c:pt idx="258">
                  <c:v>-29.56432755558119</c:v>
                </c:pt>
                <c:pt idx="259">
                  <c:v>-29.939739919643596</c:v>
                </c:pt>
                <c:pt idx="260">
                  <c:v>-30.307355839994308</c:v>
                </c:pt>
                <c:pt idx="261">
                  <c:v>-30.667460490431711</c:v>
                </c:pt>
                <c:pt idx="262">
                  <c:v>-31.020326109543998</c:v>
                </c:pt>
                <c:pt idx="263">
                  <c:v>-31.366212555061278</c:v>
                </c:pt>
                <c:pt idx="264">
                  <c:v>-31.705367856107326</c:v>
                </c:pt>
                <c:pt idx="265">
                  <c:v>-32.03802875765787</c:v>
                </c:pt>
                <c:pt idx="266">
                  <c:v>-32.364421252964121</c:v>
                </c:pt>
                <c:pt idx="267">
                  <c:v>-32.684761100854239</c:v>
                </c:pt>
                <c:pt idx="268">
                  <c:v>-32.999254325738512</c:v>
                </c:pt>
                <c:pt idx="269">
                  <c:v>-33.308097698863683</c:v>
                </c:pt>
                <c:pt idx="270">
                  <c:v>-33.611479199926862</c:v>
                </c:pt>
                <c:pt idx="271">
                  <c:v>-33.909578458598972</c:v>
                </c:pt>
                <c:pt idx="272">
                  <c:v>-34.202567175848124</c:v>
                </c:pt>
                <c:pt idx="273">
                  <c:v>-34.490609525213038</c:v>
                </c:pt>
                <c:pt idx="274">
                  <c:v>-34.773862534373329</c:v>
                </c:pt>
                <c:pt idx="275">
                  <c:v>-35.052476447508312</c:v>
                </c:pt>
                <c:pt idx="276">
                  <c:v>-35.326595069041325</c:v>
                </c:pt>
                <c:pt idx="277">
                  <c:v>-35.596356089439219</c:v>
                </c:pt>
                <c:pt idx="278">
                  <c:v>-35.861891393784155</c:v>
                </c:pt>
                <c:pt idx="279">
                  <c:v>-36.123327353862955</c:v>
                </c:pt>
                <c:pt idx="280">
                  <c:v>-36.380785104531384</c:v>
                </c:pt>
                <c:pt idx="281">
                  <c:v>-36.634380805111107</c:v>
                </c:pt>
                <c:pt idx="282">
                  <c:v>-36.884225886569055</c:v>
                </c:pt>
                <c:pt idx="283">
                  <c:v>-37.130427285212562</c:v>
                </c:pt>
                <c:pt idx="284">
                  <c:v>-37.3730876636142</c:v>
                </c:pt>
                <c:pt idx="285">
                  <c:v>-37.612305619455384</c:v>
                </c:pt>
                <c:pt idx="286">
                  <c:v>-37.84817588295202</c:v>
                </c:pt>
                <c:pt idx="287">
                  <c:v>-38.080789503496881</c:v>
                </c:pt>
                <c:pt idx="288">
                  <c:v>-38.310234026124945</c:v>
                </c:pt>
                <c:pt idx="289">
                  <c:v>-38.536593658378678</c:v>
                </c:pt>
                <c:pt idx="290">
                  <c:v>-38.759949428120891</c:v>
                </c:pt>
                <c:pt idx="291">
                  <c:v>-38.980379332814877</c:v>
                </c:pt>
                <c:pt idx="292">
                  <c:v>-39.197958480762722</c:v>
                </c:pt>
                <c:pt idx="293">
                  <c:v>-39.412759224766546</c:v>
                </c:pt>
                <c:pt idx="294">
                  <c:v>-39.624851288650532</c:v>
                </c:pt>
                <c:pt idx="295">
                  <c:v>-39.834301887057293</c:v>
                </c:pt>
                <c:pt idx="296">
                  <c:v>-40.041175838907535</c:v>
                </c:pt>
                <c:pt idx="297">
                  <c:v>-40.245535674889766</c:v>
                </c:pt>
                <c:pt idx="298">
                  <c:v>-40.447441739324944</c:v>
                </c:pt>
                <c:pt idx="299">
                  <c:v>-40.646952286730134</c:v>
                </c:pt>
                <c:pt idx="300">
                  <c:v>-40.844123573386611</c:v>
                </c:pt>
                <c:pt idx="301">
                  <c:v>-41.039009944198654</c:v>
                </c:pt>
                <c:pt idx="302">
                  <c:v>-41.231663915112655</c:v>
                </c:pt>
                <c:pt idx="303">
                  <c:v>-41.422136251349599</c:v>
                </c:pt>
                <c:pt idx="304">
                  <c:v>-41.610476041688557</c:v>
                </c:pt>
                <c:pt idx="305">
                  <c:v>-41.796730769024947</c:v>
                </c:pt>
                <c:pt idx="306">
                  <c:v>-41.980946377413019</c:v>
                </c:pt>
                <c:pt idx="307">
                  <c:v>-42.163167335790064</c:v>
                </c:pt>
                <c:pt idx="308">
                  <c:v>-42.34343669856738</c:v>
                </c:pt>
                <c:pt idx="309">
                  <c:v>-42.521796163262266</c:v>
                </c:pt>
                <c:pt idx="310">
                  <c:v>-42.69828612533442</c:v>
                </c:pt>
                <c:pt idx="311">
                  <c:v>-42.872945730380692</c:v>
                </c:pt>
                <c:pt idx="312">
                  <c:v>-43.04581292383255</c:v>
                </c:pt>
                <c:pt idx="313">
                  <c:v>-43.216924498292251</c:v>
                </c:pt>
                <c:pt idx="314">
                  <c:v>-43.386316138635557</c:v>
                </c:pt>
                <c:pt idx="315">
                  <c:v>-43.554022465001047</c:v>
                </c:pt>
                <c:pt idx="316">
                  <c:v>-43.720077073779237</c:v>
                </c:pt>
                <c:pt idx="317">
                  <c:v>-43.884512576707934</c:v>
                </c:pt>
                <c:pt idx="318">
                  <c:v>-44.047360638173963</c:v>
                </c:pt>
                <c:pt idx="319">
                  <c:v>-44.208652010815605</c:v>
                </c:pt>
                <c:pt idx="320">
                  <c:v>-44.368416569514544</c:v>
                </c:pt>
                <c:pt idx="321">
                  <c:v>-44.526683343861094</c:v>
                </c:pt>
                <c:pt idx="322">
                  <c:v>-44.683480549171506</c:v>
                </c:pt>
                <c:pt idx="323">
                  <c:v>-44.838835616131689</c:v>
                </c:pt>
                <c:pt idx="324">
                  <c:v>-44.992775219137464</c:v>
                </c:pt>
                <c:pt idx="325">
                  <c:v>-45.145325303397364</c:v>
                </c:pt>
                <c:pt idx="326">
                  <c:v>-45.296511110860536</c:v>
                </c:pt>
                <c:pt idx="327">
                  <c:v>-45.446357205028349</c:v>
                </c:pt>
                <c:pt idx="328">
                  <c:v>-45.594887494705453</c:v>
                </c:pt>
                <c:pt idx="329">
                  <c:v>-45.742125256742732</c:v>
                </c:pt>
                <c:pt idx="330">
                  <c:v>-45.888093157821636</c:v>
                </c:pt>
                <c:pt idx="331">
                  <c:v>-46.032813275326696</c:v>
                </c:pt>
                <c:pt idx="332">
                  <c:v>-46.176307117350667</c:v>
                </c:pt>
                <c:pt idx="333">
                  <c:v>-46.318595641873948</c:v>
                </c:pt>
                <c:pt idx="334">
                  <c:v>-46.459699275157995</c:v>
                </c:pt>
                <c:pt idx="335">
                  <c:v>-46.599637929389992</c:v>
                </c:pt>
                <c:pt idx="336">
                  <c:v>-46.738431019614524</c:v>
                </c:pt>
                <c:pt idx="337">
                  <c:v>-46.876097479985475</c:v>
                </c:pt>
                <c:pt idx="338">
                  <c:v>-47.012655779370121</c:v>
                </c:pt>
                <c:pt idx="339">
                  <c:v>-47.148123936335445</c:v>
                </c:pt>
                <c:pt idx="340">
                  <c:v>-47.282519533545212</c:v>
                </c:pt>
                <c:pt idx="341">
                  <c:v>-47.415859731594779</c:v>
                </c:pt>
                <c:pt idx="342">
                  <c:v>-47.548161282309408</c:v>
                </c:pt>
                <c:pt idx="343">
                  <c:v>-47.679440541530163</c:v>
                </c:pt>
                <c:pt idx="344">
                  <c:v>-47.809713481410718</c:v>
                </c:pt>
                <c:pt idx="345">
                  <c:v>-47.938995702246672</c:v>
                </c:pt>
                <c:pt idx="346">
                  <c:v>-48.067302443858473</c:v>
                </c:pt>
                <c:pt idx="347">
                  <c:v>-48.19464859654736</c:v>
                </c:pt>
                <c:pt idx="348">
                  <c:v>-48.3210487116433</c:v>
                </c:pt>
                <c:pt idx="349">
                  <c:v>-48.446517011662593</c:v>
                </c:pt>
                <c:pt idx="350">
                  <c:v>-48.571067400092176</c:v>
                </c:pt>
                <c:pt idx="351">
                  <c:v>-48.694713470816581</c:v>
                </c:pt>
                <c:pt idx="352">
                  <c:v>-48.817468517202975</c:v>
                </c:pt>
                <c:pt idx="353">
                  <c:v>-48.939345540858795</c:v>
                </c:pt>
                <c:pt idx="354">
                  <c:v>-49.06035726007579</c:v>
                </c:pt>
                <c:pt idx="355">
                  <c:v>-49.180516117973752</c:v>
                </c:pt>
                <c:pt idx="356">
                  <c:v>-49.299834290356408</c:v>
                </c:pt>
                <c:pt idx="357">
                  <c:v>-49.418323693291406</c:v>
                </c:pt>
                <c:pt idx="358">
                  <c:v>-49.535995990425896</c:v>
                </c:pt>
                <c:pt idx="359">
                  <c:v>-49.652862600048486</c:v>
                </c:pt>
                <c:pt idx="360">
                  <c:v>-49.76893470190798</c:v>
                </c:pt>
                <c:pt idx="361">
                  <c:v>-49.884223243798552</c:v>
                </c:pt>
                <c:pt idx="362">
                  <c:v>-49.998738947921183</c:v>
                </c:pt>
                <c:pt idx="363">
                  <c:v>-50.112492317029833</c:v>
                </c:pt>
                <c:pt idx="364">
                  <c:v>-50.22549364037134</c:v>
                </c:pt>
                <c:pt idx="365">
                  <c:v>-50.337752999426961</c:v>
                </c:pt>
                <c:pt idx="366">
                  <c:v>-50.449280273463472</c:v>
                </c:pt>
                <c:pt idx="367">
                  <c:v>-50.560085144901208</c:v>
                </c:pt>
                <c:pt idx="368">
                  <c:v>-50.670177104506337</c:v>
                </c:pt>
                <c:pt idx="369">
                  <c:v>-50.77956545641382</c:v>
                </c:pt>
                <c:pt idx="370">
                  <c:v>-50.888259322988027</c:v>
                </c:pt>
                <c:pt idx="371">
                  <c:v>-50.996267649526771</c:v>
                </c:pt>
                <c:pt idx="372">
                  <c:v>-51.103599208815076</c:v>
                </c:pt>
                <c:pt idx="373">
                  <c:v>-51.210262605534098</c:v>
                </c:pt>
                <c:pt idx="374">
                  <c:v>-51.316266280530726</c:v>
                </c:pt>
                <c:pt idx="375">
                  <c:v>-51.421618514953202</c:v>
                </c:pt>
                <c:pt idx="376">
                  <c:v>-51.526327434257496</c:v>
                </c:pt>
                <c:pt idx="377">
                  <c:v>-51.630401012089386</c:v>
                </c:pt>
                <c:pt idx="378">
                  <c:v>-51.73384707404675</c:v>
                </c:pt>
                <c:pt idx="379">
                  <c:v>-51.836673301326435</c:v>
                </c:pt>
                <c:pt idx="380">
                  <c:v>-51.938887234259937</c:v>
                </c:pt>
                <c:pt idx="381">
                  <c:v>-52.040496275741873</c:v>
                </c:pt>
                <c:pt idx="382">
                  <c:v>-52.141507694555074</c:v>
                </c:pt>
                <c:pt idx="383">
                  <c:v>-52.241928628596014</c:v>
                </c:pt>
                <c:pt idx="384">
                  <c:v>-52.341766088004206</c:v>
                </c:pt>
                <c:pt idx="385">
                  <c:v>-52.441026958198776</c:v>
                </c:pt>
                <c:pt idx="386">
                  <c:v>-52.539718002825637</c:v>
                </c:pt>
                <c:pt idx="387">
                  <c:v>-52.637845866618264</c:v>
                </c:pt>
                <c:pt idx="388">
                  <c:v>-52.735417078175146</c:v>
                </c:pt>
                <c:pt idx="389">
                  <c:v>-52.832438052656869</c:v>
                </c:pt>
                <c:pt idx="390">
                  <c:v>-52.92891509440534</c:v>
                </c:pt>
                <c:pt idx="391">
                  <c:v>-53.024854399488113</c:v>
                </c:pt>
                <c:pt idx="392">
                  <c:v>-53.120262058170169</c:v>
                </c:pt>
                <c:pt idx="393">
                  <c:v>-53.215144057315683</c:v>
                </c:pt>
                <c:pt idx="394">
                  <c:v>-53.309506282722054</c:v>
                </c:pt>
                <c:pt idx="395">
                  <c:v>-53.403354521388628</c:v>
                </c:pt>
                <c:pt idx="396">
                  <c:v>-53.496694463722122</c:v>
                </c:pt>
                <c:pt idx="397">
                  <c:v>-53.589531705680912</c:v>
                </c:pt>
                <c:pt idx="398">
                  <c:v>-53.681871750860154</c:v>
                </c:pt>
                <c:pt idx="399">
                  <c:v>-53.773720012519853</c:v>
                </c:pt>
                <c:pt idx="400">
                  <c:v>-53.865081815557446</c:v>
                </c:pt>
                <c:pt idx="401">
                  <c:v>-53.955962398426976</c:v>
                </c:pt>
                <c:pt idx="402">
                  <c:v>-54.046366915006381</c:v>
                </c:pt>
                <c:pt idx="403">
                  <c:v>-54.136300436414722</c:v>
                </c:pt>
                <c:pt idx="404">
                  <c:v>-54.225767952780814</c:v>
                </c:pt>
                <c:pt idx="405">
                  <c:v>-54.31477437496487</c:v>
                </c:pt>
                <c:pt idx="406">
                  <c:v>-54.403324536234699</c:v>
                </c:pt>
                <c:pt idx="407">
                  <c:v>-54.491423193897745</c:v>
                </c:pt>
                <c:pt idx="408">
                  <c:v>-54.579075030890436</c:v>
                </c:pt>
                <c:pt idx="409">
                  <c:v>-54.666284657326287</c:v>
                </c:pt>
                <c:pt idx="410">
                  <c:v>-54.753056612003718</c:v>
                </c:pt>
                <c:pt idx="411">
                  <c:v>-54.839395363875177</c:v>
                </c:pt>
                <c:pt idx="412">
                  <c:v>-54.92530531347861</c:v>
                </c:pt>
                <c:pt idx="413">
                  <c:v>-55.01079079433228</c:v>
                </c:pt>
                <c:pt idx="414">
                  <c:v>-55.095856074294325</c:v>
                </c:pt>
                <c:pt idx="415">
                  <c:v>-55.180505356887963</c:v>
                </c:pt>
                <c:pt idx="416">
                  <c:v>-55.264742782593352</c:v>
                </c:pt>
                <c:pt idx="417">
                  <c:v>-55.34857243010719</c:v>
                </c:pt>
                <c:pt idx="418">
                  <c:v>-55.431998317570987</c:v>
                </c:pt>
                <c:pt idx="419">
                  <c:v>-55.515024403768919</c:v>
                </c:pt>
                <c:pt idx="420">
                  <c:v>-55.597654589296141</c:v>
                </c:pt>
                <c:pt idx="421">
                  <c:v>-55.679892717698529</c:v>
                </c:pt>
                <c:pt idx="422">
                  <c:v>-55.761742576584545</c:v>
                </c:pt>
                <c:pt idx="423">
                  <c:v>-55.843207898710162</c:v>
                </c:pt>
                <c:pt idx="424">
                  <c:v>-55.924292363037523</c:v>
                </c:pt>
                <c:pt idx="425">
                  <c:v>-56.004999595768226</c:v>
                </c:pt>
                <c:pt idx="426">
                  <c:v>-56.085333171351749</c:v>
                </c:pt>
                <c:pt idx="427">
                  <c:v>-56.165296613469984</c:v>
                </c:pt>
                <c:pt idx="428">
                  <c:v>-56.244893395998368</c:v>
                </c:pt>
                <c:pt idx="429">
                  <c:v>-56.32412694394435</c:v>
                </c:pt>
                <c:pt idx="430">
                  <c:v>-56.403000634363778</c:v>
                </c:pt>
                <c:pt idx="431">
                  <c:v>-56.481517797255954</c:v>
                </c:pt>
                <c:pt idx="432">
                  <c:v>-56.559681716437765</c:v>
                </c:pt>
                <c:pt idx="433">
                  <c:v>-56.637495630397609</c:v>
                </c:pt>
                <c:pt idx="434">
                  <c:v>-56.714962733129695</c:v>
                </c:pt>
                <c:pt idx="435">
                  <c:v>-56.792086174949091</c:v>
                </c:pt>
                <c:pt idx="436">
                  <c:v>-56.86886906328823</c:v>
                </c:pt>
                <c:pt idx="437">
                  <c:v>-56.945314463475221</c:v>
                </c:pt>
                <c:pt idx="438">
                  <c:v>-57.021425399494696</c:v>
                </c:pt>
                <c:pt idx="439">
                  <c:v>-57.097204854731331</c:v>
                </c:pt>
                <c:pt idx="440">
                  <c:v>-57.172655772696793</c:v>
                </c:pt>
                <c:pt idx="441">
                  <c:v>-57.247781057740482</c:v>
                </c:pt>
                <c:pt idx="442">
                  <c:v>-57.322583575744311</c:v>
                </c:pt>
                <c:pt idx="443">
                  <c:v>-57.397066154802317</c:v>
                </c:pt>
                <c:pt idx="444">
                  <c:v>-57.471231585885143</c:v>
                </c:pt>
                <c:pt idx="445">
                  <c:v>-57.545082623489954</c:v>
                </c:pt>
                <c:pt idx="446">
                  <c:v>-57.618621986276267</c:v>
                </c:pt>
                <c:pt idx="447">
                  <c:v>-57.691852357687843</c:v>
                </c:pt>
                <c:pt idx="448">
                  <c:v>-57.764776386561103</c:v>
                </c:pt>
                <c:pt idx="449">
                  <c:v>-57.837396687720499</c:v>
                </c:pt>
                <c:pt idx="450">
                  <c:v>-57.90971584256112</c:v>
                </c:pt>
                <c:pt idx="451">
                  <c:v>-57.981736399618704</c:v>
                </c:pt>
                <c:pt idx="452">
                  <c:v>-58.053460875127655</c:v>
                </c:pt>
                <c:pt idx="453">
                  <c:v>-58.124891753567184</c:v>
                </c:pt>
                <c:pt idx="454">
                  <c:v>-58.196031488195949</c:v>
                </c:pt>
                <c:pt idx="455">
                  <c:v>-58.266882501575353</c:v>
                </c:pt>
                <c:pt idx="456">
                  <c:v>-58.337447186082088</c:v>
                </c:pt>
                <c:pt idx="457">
                  <c:v>-58.407727904409796</c:v>
                </c:pt>
                <c:pt idx="458">
                  <c:v>-58.477726990060432</c:v>
                </c:pt>
                <c:pt idx="459">
                  <c:v>-58.547446747825461</c:v>
                </c:pt>
                <c:pt idx="460">
                  <c:v>-58.616889454257127</c:v>
                </c:pt>
                <c:pt idx="461">
                  <c:v>-58.686057358130086</c:v>
                </c:pt>
                <c:pt idx="462">
                  <c:v>-58.75495268089356</c:v>
                </c:pt>
                <c:pt idx="463">
                  <c:v>-58.82357761711441</c:v>
                </c:pt>
                <c:pt idx="464">
                  <c:v>-58.891934334911141</c:v>
                </c:pt>
                <c:pt idx="465">
                  <c:v>-58.96002497637916</c:v>
                </c:pt>
                <c:pt idx="466">
                  <c:v>-59.02785165800757</c:v>
                </c:pt>
                <c:pt idx="467">
                  <c:v>-59.095416471087546</c:v>
                </c:pt>
                <c:pt idx="468">
                  <c:v>-59.162721482112644</c:v>
                </c:pt>
                <c:pt idx="469">
                  <c:v>-59.229768733171106</c:v>
                </c:pt>
                <c:pt idx="470">
                  <c:v>-59.296560242330443</c:v>
                </c:pt>
                <c:pt idx="471">
                  <c:v>-59.363098004014461</c:v>
                </c:pt>
                <c:pt idx="472">
                  <c:v>-59.429383989372859</c:v>
                </c:pt>
                <c:pt idx="473">
                  <c:v>-59.495420146643653</c:v>
                </c:pt>
                <c:pt idx="474">
                  <c:v>-59.56120840150853</c:v>
                </c:pt>
                <c:pt idx="475">
                  <c:v>-59.626750657441292</c:v>
                </c:pt>
                <c:pt idx="476">
                  <c:v>-59.692048796049619</c:v>
                </c:pt>
                <c:pt idx="477">
                  <c:v>-59.75710467741024</c:v>
                </c:pt>
                <c:pt idx="478">
                  <c:v>-59.821920140397673</c:v>
                </c:pt>
                <c:pt idx="479">
                  <c:v>-59.886497003006731</c:v>
                </c:pt>
                <c:pt idx="480">
                  <c:v>-59.95083706266886</c:v>
                </c:pt>
                <c:pt idx="481">
                  <c:v>-60.014942096562507</c:v>
                </c:pt>
                <c:pt idx="482">
                  <c:v>-60.078813861917631</c:v>
                </c:pt>
                <c:pt idx="483">
                  <c:v>-60.142454096314509</c:v>
                </c:pt>
                <c:pt idx="484">
                  <c:v>-60.205864517976913</c:v>
                </c:pt>
                <c:pt idx="485">
                  <c:v>-60.269046826059885</c:v>
                </c:pt>
                <c:pt idx="486">
                  <c:v>-60.332002700932065</c:v>
                </c:pt>
                <c:pt idx="487">
                  <c:v>-60.394733804452905</c:v>
                </c:pt>
                <c:pt idx="488">
                  <c:v>-60.457241780244708</c:v>
                </c:pt>
                <c:pt idx="489">
                  <c:v>-60.519528253959663</c:v>
                </c:pt>
                <c:pt idx="490">
                  <c:v>-60.581594833542063</c:v>
                </c:pt>
                <c:pt idx="491">
                  <c:v>-60.643443109485624</c:v>
                </c:pt>
                <c:pt idx="492">
                  <c:v>-60.705074655086271</c:v>
                </c:pt>
                <c:pt idx="493">
                  <c:v>-60.766491026690225</c:v>
                </c:pt>
                <c:pt idx="494">
                  <c:v>-60.827693763937695</c:v>
                </c:pt>
                <c:pt idx="495">
                  <c:v>-60.888684390002162</c:v>
                </c:pt>
                <c:pt idx="496">
                  <c:v>-60.949464411825353</c:v>
                </c:pt>
                <c:pt idx="497">
                  <c:v>-61.010035320348109</c:v>
                </c:pt>
                <c:pt idx="498">
                  <c:v>-61.070398590737049</c:v>
                </c:pt>
                <c:pt idx="499">
                  <c:v>-61.130555682607266</c:v>
                </c:pt>
                <c:pt idx="500">
                  <c:v>-61.190508040241134</c:v>
                </c:pt>
                <c:pt idx="501">
                  <c:v>-61.25025709280316</c:v>
                </c:pt>
                <c:pt idx="502">
                  <c:v>-61.309804254551203</c:v>
                </c:pt>
                <c:pt idx="503">
                  <c:v>-61.369150925043876</c:v>
                </c:pt>
                <c:pt idx="504">
                  <c:v>-61.428298489344471</c:v>
                </c:pt>
                <c:pt idx="505">
                  <c:v>-61.487248318221226</c:v>
                </c:pt>
                <c:pt idx="506">
                  <c:v>-61.546001768344205</c:v>
                </c:pt>
                <c:pt idx="507">
                  <c:v>-61.604560182478771</c:v>
                </c:pt>
                <c:pt idx="508">
                  <c:v>-61.662924889675764</c:v>
                </c:pt>
                <c:pt idx="509">
                  <c:v>-61.721097205458364</c:v>
                </c:pt>
                <c:pt idx="510">
                  <c:v>-61.779078432005818</c:v>
                </c:pt>
                <c:pt idx="511">
                  <c:v>-61.836869858334069</c:v>
                </c:pt>
                <c:pt idx="512">
                  <c:v>-61.894472760473256</c:v>
                </c:pt>
                <c:pt idx="513">
                  <c:v>-61.951888401642314</c:v>
                </c:pt>
                <c:pt idx="514">
                  <c:v>-62.009118032420545</c:v>
                </c:pt>
                <c:pt idx="515">
                  <c:v>-62.066162890916381</c:v>
                </c:pt>
                <c:pt idx="516">
                  <c:v>-62.123024202933301</c:v>
                </c:pt>
                <c:pt idx="517">
                  <c:v>-62.179703182133011</c:v>
                </c:pt>
                <c:pt idx="518">
                  <c:v>-62.236201030195922</c:v>
                </c:pt>
                <c:pt idx="519">
                  <c:v>-62.29251893697888</c:v>
                </c:pt>
                <c:pt idx="520">
                  <c:v>-62.348658080670475</c:v>
                </c:pt>
                <c:pt idx="521">
                  <c:v>-62.404619627943639</c:v>
                </c:pt>
                <c:pt idx="522">
                  <c:v>-62.46040473410585</c:v>
                </c:pt>
                <c:pt idx="523">
                  <c:v>-62.516014543246818</c:v>
                </c:pt>
                <c:pt idx="524">
                  <c:v>-62.571450188383821</c:v>
                </c:pt>
                <c:pt idx="525">
                  <c:v>-62.626712791604653</c:v>
                </c:pt>
                <c:pt idx="526">
                  <c:v>-62.681803464208329</c:v>
                </c:pt>
                <c:pt idx="527">
                  <c:v>-62.736723306843359</c:v>
                </c:pt>
                <c:pt idx="528">
                  <c:v>-62.791473409644105</c:v>
                </c:pt>
                <c:pt idx="529">
                  <c:v>-62.846054852364574</c:v>
                </c:pt>
                <c:pt idx="530">
                  <c:v>-62.900468704510416</c:v>
                </c:pt>
                <c:pt idx="531">
                  <c:v>-62.954716025468649</c:v>
                </c:pt>
                <c:pt idx="532">
                  <c:v>-63.008797864635362</c:v>
                </c:pt>
                <c:pt idx="533">
                  <c:v>-63.062715261541385</c:v>
                </c:pt>
                <c:pt idx="534">
                  <c:v>-63.116469245976106</c:v>
                </c:pt>
                <c:pt idx="535">
                  <c:v>-63.170060838109102</c:v>
                </c:pt>
                <c:pt idx="536">
                  <c:v>-63.22349104861015</c:v>
                </c:pt>
                <c:pt idx="537">
                  <c:v>-63.276760878767121</c:v>
                </c:pt>
                <c:pt idx="538">
                  <c:v>-63.329871320602258</c:v>
                </c:pt>
                <c:pt idx="539">
                  <c:v>-63.382823356986464</c:v>
                </c:pt>
                <c:pt idx="540">
                  <c:v>-63.435617961751944</c:v>
                </c:pt>
                <c:pt idx="541">
                  <c:v>-63.488256099803102</c:v>
                </c:pt>
                <c:pt idx="542">
                  <c:v>-63.540738727225666</c:v>
                </c:pt>
                <c:pt idx="543">
                  <c:v>-63.593066791394257</c:v>
                </c:pt>
                <c:pt idx="544">
                  <c:v>-63.645241231078174</c:v>
                </c:pt>
                <c:pt idx="545">
                  <c:v>-63.697262976545744</c:v>
                </c:pt>
                <c:pt idx="546">
                  <c:v>-63.749132949666929</c:v>
                </c:pt>
                <c:pt idx="547">
                  <c:v>-63.800852064014478</c:v>
                </c:pt>
                <c:pt idx="548">
                  <c:v>-63.852421224963535</c:v>
                </c:pt>
                <c:pt idx="549">
                  <c:v>-63.903841329789742</c:v>
                </c:pt>
                <c:pt idx="550">
                  <c:v>-63.955113267765888</c:v>
                </c:pt>
                <c:pt idx="551">
                  <c:v>-64.006237920257092</c:v>
                </c:pt>
                <c:pt idx="552">
                  <c:v>-64.05721616081459</c:v>
                </c:pt>
                <c:pt idx="553">
                  <c:v>-64.108048855268137</c:v>
                </c:pt>
                <c:pt idx="554">
                  <c:v>-64.158736861817019</c:v>
                </c:pt>
                <c:pt idx="555">
                  <c:v>-64.209281031119744</c:v>
                </c:pt>
                <c:pt idx="556">
                  <c:v>-64.259682206382422</c:v>
                </c:pt>
                <c:pt idx="557">
                  <c:v>-64.309941223445776</c:v>
                </c:pt>
                <c:pt idx="558">
                  <c:v>-64.360058910871004</c:v>
                </c:pt>
                <c:pt idx="559">
                  <c:v>-64.410036090024306</c:v>
                </c:pt>
                <c:pt idx="560">
                  <c:v>-64.459873575160202</c:v>
                </c:pt>
                <c:pt idx="561">
                  <c:v>-64.509572173503642</c:v>
                </c:pt>
                <c:pt idx="562">
                  <c:v>-64.559132685330923</c:v>
                </c:pt>
                <c:pt idx="563">
                  <c:v>-64.608555904049453</c:v>
                </c:pt>
                <c:pt idx="564">
                  <c:v>-64.657842616276412</c:v>
                </c:pt>
                <c:pt idx="565">
                  <c:v>-64.706993601916182</c:v>
                </c:pt>
                <c:pt idx="566">
                  <c:v>-64.756009634236747</c:v>
                </c:pt>
                <c:pt idx="567">
                  <c:v>-64.804891479945042</c:v>
                </c:pt>
                <c:pt idx="568">
                  <c:v>-64.853639899261111</c:v>
                </c:pt>
                <c:pt idx="569">
                  <c:v>-64.902255645991318</c:v>
                </c:pt>
                <c:pt idx="570">
                  <c:v>-64.950739467600513</c:v>
                </c:pt>
                <c:pt idx="571">
                  <c:v>-64.99909210528314</c:v>
                </c:pt>
                <c:pt idx="572">
                  <c:v>-65.047314294033342</c:v>
                </c:pt>
                <c:pt idx="573">
                  <c:v>-65.095406762714234</c:v>
                </c:pt>
                <c:pt idx="574">
                  <c:v>-65.143370234125911</c:v>
                </c:pt>
                <c:pt idx="575">
                  <c:v>-65.191205425072823</c:v>
                </c:pt>
                <c:pt idx="576">
                  <c:v>-65.238913046430042</c:v>
                </c:pt>
                <c:pt idx="577">
                  <c:v>-65.286493803208671</c:v>
                </c:pt>
                <c:pt idx="578">
                  <c:v>-65.333948394620251</c:v>
                </c:pt>
                <c:pt idx="579">
                  <c:v>-65.381277514140479</c:v>
                </c:pt>
                <c:pt idx="580">
                  <c:v>-65.428481849571867</c:v>
                </c:pt>
                <c:pt idx="581">
                  <c:v>-65.475562083105615</c:v>
                </c:pt>
                <c:pt idx="582">
                  <c:v>-65.522518891382646</c:v>
                </c:pt>
                <c:pt idx="583">
                  <c:v>-65.569352945553831</c:v>
                </c:pt>
                <c:pt idx="584">
                  <c:v>-65.616064911339308</c:v>
                </c:pt>
                <c:pt idx="585">
                  <c:v>-65.66265544908714</c:v>
                </c:pt>
                <c:pt idx="586">
                  <c:v>-65.709125213830987</c:v>
                </c:pt>
                <c:pt idx="587">
                  <c:v>-65.755474855347259</c:v>
                </c:pt>
                <c:pt idx="588">
                  <c:v>-65.801705018211223</c:v>
                </c:pt>
                <c:pt idx="589">
                  <c:v>-65.847816341852607</c:v>
                </c:pt>
                <c:pt idx="590">
                  <c:v>-65.893809460610242</c:v>
                </c:pt>
                <c:pt idx="591">
                  <c:v>-65.939685003786195</c:v>
                </c:pt>
                <c:pt idx="592">
                  <c:v>-65.98544359569901</c:v>
                </c:pt>
                <c:pt idx="593">
                  <c:v>-66.031085855736279</c:v>
                </c:pt>
                <c:pt idx="594">
                  <c:v>-66.076612398406652</c:v>
                </c:pt>
                <c:pt idx="595">
                  <c:v>-66.122023833390926</c:v>
                </c:pt>
                <c:pt idx="596">
                  <c:v>-66.16732076559272</c:v>
                </c:pt>
                <c:pt idx="597">
                  <c:v>-66.212503795188283</c:v>
                </c:pt>
                <c:pt idx="598">
                  <c:v>-66.257573517675738</c:v>
                </c:pt>
                <c:pt idx="599">
                  <c:v>-66.302530523923707</c:v>
                </c:pt>
                <c:pt idx="600">
                  <c:v>-66.347375400219249</c:v>
                </c:pt>
                <c:pt idx="601">
                  <c:v>-66.392108728315222</c:v>
                </c:pt>
                <c:pt idx="602">
                  <c:v>-66.436731085476978</c:v>
                </c:pt>
                <c:pt idx="603">
                  <c:v>-66.481243044528526</c:v>
                </c:pt>
                <c:pt idx="604">
                  <c:v>-66.52564517389807</c:v>
                </c:pt>
                <c:pt idx="605">
                  <c:v>-66.569938037662922</c:v>
                </c:pt>
                <c:pt idx="606">
                  <c:v>-68.656586750464513</c:v>
                </c:pt>
                <c:pt idx="607">
                  <c:v>-70.528422037887736</c:v>
                </c:pt>
                <c:pt idx="608">
                  <c:v>-72.227421628501617</c:v>
                </c:pt>
                <c:pt idx="609">
                  <c:v>-73.784436694199883</c:v>
                </c:pt>
                <c:pt idx="610">
                  <c:v>-75.222802744765303</c:v>
                </c:pt>
                <c:pt idx="611">
                  <c:v>-76.560593014888653</c:v>
                </c:pt>
                <c:pt idx="612">
                  <c:v>-77.812084877386255</c:v>
                </c:pt>
                <c:pt idx="613">
                  <c:v>-78.988748059034762</c:v>
                </c:pt>
                <c:pt idx="614">
                  <c:v>-80.099930613129814</c:v>
                </c:pt>
                <c:pt idx="615">
                  <c:v>-81.153347354276022</c:v>
                </c:pt>
                <c:pt idx="616">
                  <c:v>-82.155435408353668</c:v>
                </c:pt>
                <c:pt idx="617">
                  <c:v>-83.111618094043649</c:v>
                </c:pt>
                <c:pt idx="618">
                  <c:v>-83.481490282332658</c:v>
                </c:pt>
                <c:pt idx="619">
                  <c:v>-83.845030084971256</c:v>
                </c:pt>
                <c:pt idx="620">
                  <c:v>-84.202486230078193</c:v>
                </c:pt>
                <c:pt idx="621">
                  <c:v>-84.554093018045961</c:v>
                </c:pt>
                <c:pt idx="622">
                  <c:v>-84.90007139203918</c:v>
                </c:pt>
                <c:pt idx="623">
                  <c:v>-85.240629911702911</c:v>
                </c:pt>
                <c:pt idx="624">
                  <c:v>-85.575965640417849</c:v>
                </c:pt>
                <c:pt idx="625">
                  <c:v>-85.906264955169775</c:v>
                </c:pt>
                <c:pt idx="626">
                  <c:v>-86.231704287007943</c:v>
                </c:pt>
                <c:pt idx="627">
                  <c:v>-86.552450799120635</c:v>
                </c:pt>
                <c:pt idx="628">
                  <c:v>-86.868663008738153</c:v>
                </c:pt>
                <c:pt idx="629">
                  <c:v>-87.180491358361024</c:v>
                </c:pt>
                <c:pt idx="630">
                  <c:v>-87.488078741191828</c:v>
                </c:pt>
                <c:pt idx="631">
                  <c:v>-87.791560985107893</c:v>
                </c:pt>
                <c:pt idx="632">
                  <c:v>-88.0910672990384</c:v>
                </c:pt>
                <c:pt idx="633">
                  <c:v>-88.386720685195115</c:v>
                </c:pt>
                <c:pt idx="634">
                  <c:v>-88.678638320239727</c:v>
                </c:pt>
                <c:pt idx="635">
                  <c:v>-88.966931908151224</c:v>
                </c:pt>
                <c:pt idx="636">
                  <c:v>-89.251708007271588</c:v>
                </c:pt>
                <c:pt idx="637">
                  <c:v>-89.533068333758749</c:v>
                </c:pt>
                <c:pt idx="638">
                  <c:v>-89.811110043452828</c:v>
                </c:pt>
                <c:pt idx="639">
                  <c:v>-90.085925993965432</c:v>
                </c:pt>
                <c:pt idx="640">
                  <c:v>-90.357604988625795</c:v>
                </c:pt>
                <c:pt idx="641">
                  <c:v>-90.62623200376251</c:v>
                </c:pt>
                <c:pt idx="642">
                  <c:v>-90.891888400659738</c:v>
                </c:pt>
                <c:pt idx="643">
                  <c:v>-91.154652123402954</c:v>
                </c:pt>
                <c:pt idx="644">
                  <c:v>-91.41459788371759</c:v>
                </c:pt>
                <c:pt idx="645">
                  <c:v>-91.671797333804918</c:v>
                </c:pt>
                <c:pt idx="646">
                  <c:v>-91.926319228089341</c:v>
                </c:pt>
                <c:pt idx="647">
                  <c:v>-92.178229574711082</c:v>
                </c:pt>
                <c:pt idx="648">
                  <c:v>-92.427591777526146</c:v>
                </c:pt>
                <c:pt idx="649">
                  <c:v>-92.67446676930939</c:v>
                </c:pt>
                <c:pt idx="650">
                  <c:v>-92.918913136798537</c:v>
                </c:pt>
                <c:pt idx="651">
                  <c:v>-93.160987238162832</c:v>
                </c:pt>
                <c:pt idx="652">
                  <c:v>-93.400743313432386</c:v>
                </c:pt>
                <c:pt idx="653">
                  <c:v>-93.638233588380359</c:v>
                </c:pt>
                <c:pt idx="654">
                  <c:v>-93.873508372310383</c:v>
                </c:pt>
                <c:pt idx="655">
                  <c:v>-94.106616150165721</c:v>
                </c:pt>
                <c:pt idx="656">
                  <c:v>-94.337603669344062</c:v>
                </c:pt>
                <c:pt idx="657">
                  <c:v>-94.566516021571488</c:v>
                </c:pt>
                <c:pt idx="658">
                  <c:v>-94.793396720162576</c:v>
                </c:pt>
                <c:pt idx="659">
                  <c:v>-95.018287772968307</c:v>
                </c:pt>
                <c:pt idx="660">
                  <c:v>-95.24122975129103</c:v>
                </c:pt>
                <c:pt idx="661">
                  <c:v>-95.462261855024877</c:v>
                </c:pt>
                <c:pt idx="662">
                  <c:v>-95.681421974260871</c:v>
                </c:pt>
                <c:pt idx="663">
                  <c:v>-95.898746747579352</c:v>
                </c:pt>
                <c:pt idx="664">
                  <c:v>-96.114271617234635</c:v>
                </c:pt>
                <c:pt idx="665">
                  <c:v>-96.328030881424638</c:v>
                </c:pt>
                <c:pt idx="666">
                  <c:v>-96.540057743822217</c:v>
                </c:pt>
                <c:pt idx="667">
                  <c:v>-96.750384360534412</c:v>
                </c:pt>
              </c:numCache>
            </c:numRef>
          </c:yVal>
          <c:smooth val="1"/>
          <c:extLst>
            <c:ext xmlns:c16="http://schemas.microsoft.com/office/drawing/2014/chart" uri="{C3380CC4-5D6E-409C-BE32-E72D297353CC}">
              <c16:uniqueId val="{00000001-C323-45F5-AD89-2A9969707A73}"/>
            </c:ext>
          </c:extLst>
        </c:ser>
        <c:dLbls>
          <c:showLegendKey val="0"/>
          <c:showVal val="0"/>
          <c:showCatName val="0"/>
          <c:showSerName val="0"/>
          <c:showPercent val="0"/>
          <c:showBubbleSize val="0"/>
        </c:dLbls>
        <c:axId val="177420544"/>
        <c:axId val="177426816"/>
      </c:scatterChart>
      <c:scatterChart>
        <c:scatterStyle val="lineMarker"/>
        <c:varyColors val="0"/>
        <c:ser>
          <c:idx val="1"/>
          <c:order val="1"/>
          <c:tx>
            <c:v>PhaseMargin</c:v>
          </c:tx>
          <c:spPr>
            <a:ln w="12700">
              <a:solidFill>
                <a:srgbClr val="000000"/>
              </a:solidFill>
              <a:prstDash val="lgDash"/>
            </a:ln>
          </c:spPr>
          <c:marker>
            <c:symbol val="square"/>
            <c:size val="3"/>
            <c:spPr>
              <a:noFill/>
              <a:ln w="9525">
                <a:noFill/>
              </a:ln>
            </c:spPr>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Calculations'!$Z$9:$Z$676</c:f>
              <c:numCache>
                <c:formatCode>General</c:formatCode>
                <c:ptCount val="668"/>
                <c:pt idx="0">
                  <c:v>90.043721996982143</c:v>
                </c:pt>
                <c:pt idx="1">
                  <c:v>90.087443971126149</c:v>
                </c:pt>
                <c:pt idx="2">
                  <c:v>90.131165899593967</c:v>
                </c:pt>
                <c:pt idx="3">
                  <c:v>90.174887759547588</c:v>
                </c:pt>
                <c:pt idx="4">
                  <c:v>90.218609528149159</c:v>
                </c:pt>
                <c:pt idx="5">
                  <c:v>90.262331182560985</c:v>
                </c:pt>
                <c:pt idx="6">
                  <c:v>90.306052699945567</c:v>
                </c:pt>
                <c:pt idx="7">
                  <c:v>90.349774057465666</c:v>
                </c:pt>
                <c:pt idx="8">
                  <c:v>90.393495232284408</c:v>
                </c:pt>
                <c:pt idx="9">
                  <c:v>90.43721620156515</c:v>
                </c:pt>
                <c:pt idx="10">
                  <c:v>90.874409566059356</c:v>
                </c:pt>
                <c:pt idx="11">
                  <c:v>91.311557260647774</c:v>
                </c:pt>
                <c:pt idx="12">
                  <c:v>91.748636460964178</c:v>
                </c:pt>
                <c:pt idx="13">
                  <c:v>92.185624355336728</c:v>
                </c:pt>
                <c:pt idx="14">
                  <c:v>92.622498149003704</c:v>
                </c:pt>
                <c:pt idx="15">
                  <c:v>93.059235068315274</c:v>
                </c:pt>
                <c:pt idx="16">
                  <c:v>93.495812364918692</c:v>
                </c:pt>
                <c:pt idx="17">
                  <c:v>93.932207319922767</c:v>
                </c:pt>
                <c:pt idx="18">
                  <c:v>94.368397248038988</c:v>
                </c:pt>
                <c:pt idx="19">
                  <c:v>98.71406144717038</c:v>
                </c:pt>
                <c:pt idx="20">
                  <c:v>103.01467206990307</c:v>
                </c:pt>
                <c:pt idx="21">
                  <c:v>107.24870102224051</c:v>
                </c:pt>
                <c:pt idx="22">
                  <c:v>111.39573074987776</c:v>
                </c:pt>
                <c:pt idx="23">
                  <c:v>115.43668746668845</c:v>
                </c:pt>
                <c:pt idx="24">
                  <c:v>119.35397405588871</c:v>
                </c:pt>
                <c:pt idx="25">
                  <c:v>123.13149488957808</c:v>
                </c:pt>
                <c:pt idx="26">
                  <c:v>126.75457125776364</c:v>
                </c:pt>
                <c:pt idx="27">
                  <c:v>130.20975029307345</c:v>
                </c:pt>
                <c:pt idx="28">
                  <c:v>144.53663172491147</c:v>
                </c:pt>
                <c:pt idx="29">
                  <c:v>152.51530462705975</c:v>
                </c:pt>
                <c:pt idx="30">
                  <c:v>149.16924292424991</c:v>
                </c:pt>
                <c:pt idx="31">
                  <c:v>117.67856534737285</c:v>
                </c:pt>
                <c:pt idx="32">
                  <c:v>73.372685605773114</c:v>
                </c:pt>
                <c:pt idx="33">
                  <c:v>58.30861150405488</c:v>
                </c:pt>
                <c:pt idx="34">
                  <c:v>54.705986686298132</c:v>
                </c:pt>
                <c:pt idx="35">
                  <c:v>54.443009873762321</c:v>
                </c:pt>
                <c:pt idx="36">
                  <c:v>55.286116228355695</c:v>
                </c:pt>
                <c:pt idx="37">
                  <c:v>56.492497967082045</c:v>
                </c:pt>
                <c:pt idx="38">
                  <c:v>57.778483213572244</c:v>
                </c:pt>
                <c:pt idx="39">
                  <c:v>59.028661596197196</c:v>
                </c:pt>
                <c:pt idx="40">
                  <c:v>60.196746683512984</c:v>
                </c:pt>
                <c:pt idx="41">
                  <c:v>61.266875511324457</c:v>
                </c:pt>
                <c:pt idx="42">
                  <c:v>62.237002916301606</c:v>
                </c:pt>
                <c:pt idx="43">
                  <c:v>63.111300185623264</c:v>
                </c:pt>
                <c:pt idx="44">
                  <c:v>63.896529165175906</c:v>
                </c:pt>
                <c:pt idx="45">
                  <c:v>64.600278263659447</c:v>
                </c:pt>
                <c:pt idx="46">
                  <c:v>65.230108344263073</c:v>
                </c:pt>
                <c:pt idx="47">
                  <c:v>65.793156055694766</c:v>
                </c:pt>
                <c:pt idx="48">
                  <c:v>66.29597050747816</c:v>
                </c:pt>
                <c:pt idx="49">
                  <c:v>66.744468812097153</c:v>
                </c:pt>
                <c:pt idx="50">
                  <c:v>67.143950745639174</c:v>
                </c:pt>
                <c:pt idx="51">
                  <c:v>67.499140969529151</c:v>
                </c:pt>
                <c:pt idx="52">
                  <c:v>67.814242130877844</c:v>
                </c:pt>
                <c:pt idx="53">
                  <c:v>68.092990144857637</c:v>
                </c:pt>
                <c:pt idx="54">
                  <c:v>68.338707294547476</c:v>
                </c:pt>
                <c:pt idx="55">
                  <c:v>68.554351139250258</c:v>
                </c:pt>
                <c:pt idx="56">
                  <c:v>68.742558492977082</c:v>
                </c:pt>
                <c:pt idx="57">
                  <c:v>68.905684404395231</c:v>
                </c:pt>
                <c:pt idx="58">
                  <c:v>69.045836404988151</c:v>
                </c:pt>
                <c:pt idx="59">
                  <c:v>69.164904442619545</c:v>
                </c:pt>
                <c:pt idx="60">
                  <c:v>69.264586967219302</c:v>
                </c:pt>
                <c:pt idx="61">
                  <c:v>69.346413631487806</c:v>
                </c:pt>
                <c:pt idx="62">
                  <c:v>69.411765039236172</c:v>
                </c:pt>
                <c:pt idx="63">
                  <c:v>69.461889932292223</c:v>
                </c:pt>
                <c:pt idx="64">
                  <c:v>69.497920162055777</c:v>
                </c:pt>
                <c:pt idx="65">
                  <c:v>69.520883748142765</c:v>
                </c:pt>
                <c:pt idx="66">
                  <c:v>69.531716286222931</c:v>
                </c:pt>
                <c:pt idx="67">
                  <c:v>69.531270931009729</c:v>
                </c:pt>
                <c:pt idx="68">
                  <c:v>69.520327148571496</c:v>
                </c:pt>
                <c:pt idx="69">
                  <c:v>69.499598404516547</c:v>
                </c:pt>
                <c:pt idx="70">
                  <c:v>69.469738930807338</c:v>
                </c:pt>
                <c:pt idx="71">
                  <c:v>69.431349693557948</c:v>
                </c:pt>
                <c:pt idx="72">
                  <c:v>69.384983666734115</c:v>
                </c:pt>
                <c:pt idx="73">
                  <c:v>69.331150501809702</c:v>
                </c:pt>
                <c:pt idx="74">
                  <c:v>69.270320670762956</c:v>
                </c:pt>
                <c:pt idx="75">
                  <c:v>69.202929149004532</c:v>
                </c:pt>
                <c:pt idx="76">
                  <c:v>69.129378695631345</c:v>
                </c:pt>
                <c:pt idx="77">
                  <c:v>69.050042780556552</c:v>
                </c:pt>
                <c:pt idx="78">
                  <c:v>68.965268201370037</c:v>
                </c:pt>
                <c:pt idx="79">
                  <c:v>68.875377427058652</c:v>
                </c:pt>
                <c:pt idx="80">
                  <c:v>68.780670700816984</c:v>
                </c:pt>
                <c:pt idx="81">
                  <c:v>68.681427929975925</c:v>
                </c:pt>
                <c:pt idx="82">
                  <c:v>68.577910387471235</c:v>
                </c:pt>
                <c:pt idx="83">
                  <c:v>68.470362246168676</c:v>
                </c:pt>
                <c:pt idx="84">
                  <c:v>68.359011964687653</c:v>
                </c:pt>
                <c:pt idx="85">
                  <c:v>68.2440735410581</c:v>
                </c:pt>
                <c:pt idx="86">
                  <c:v>68.12574764854547</c:v>
                </c:pt>
                <c:pt idx="87">
                  <c:v>68.004222666250911</c:v>
                </c:pt>
                <c:pt idx="88">
                  <c:v>67.879675615590557</c:v>
                </c:pt>
                <c:pt idx="89">
                  <c:v>67.752273012451695</c:v>
                </c:pt>
                <c:pt idx="90">
                  <c:v>67.622171643686769</c:v>
                </c:pt>
                <c:pt idx="91">
                  <c:v>67.489519275612992</c:v>
                </c:pt>
                <c:pt idx="92">
                  <c:v>67.354455301316889</c:v>
                </c:pt>
                <c:pt idx="93">
                  <c:v>67.217111332804905</c:v>
                </c:pt>
                <c:pt idx="94">
                  <c:v>67.077611743372472</c:v>
                </c:pt>
                <c:pt idx="95">
                  <c:v>66.936074164980056</c:v>
                </c:pt>
                <c:pt idx="96">
                  <c:v>66.792609944908676</c:v>
                </c:pt>
                <c:pt idx="97">
                  <c:v>66.647324565512676</c:v>
                </c:pt>
                <c:pt idx="98">
                  <c:v>66.500318030487591</c:v>
                </c:pt>
                <c:pt idx="99">
                  <c:v>66.351685220715552</c:v>
                </c:pt>
                <c:pt idx="100">
                  <c:v>66.201516222436283</c:v>
                </c:pt>
                <c:pt idx="101">
                  <c:v>66.049896630214889</c:v>
                </c:pt>
                <c:pt idx="102">
                  <c:v>65.896907826928327</c:v>
                </c:pt>
                <c:pt idx="103">
                  <c:v>65.742627242773864</c:v>
                </c:pt>
                <c:pt idx="104">
                  <c:v>65.587128595106549</c:v>
                </c:pt>
                <c:pt idx="105">
                  <c:v>65.430482110737273</c:v>
                </c:pt>
                <c:pt idx="106">
                  <c:v>65.272754732168536</c:v>
                </c:pt>
                <c:pt idx="107">
                  <c:v>65.114010309103222</c:v>
                </c:pt>
                <c:pt idx="108">
                  <c:v>64.954309776439473</c:v>
                </c:pt>
                <c:pt idx="109">
                  <c:v>64.793711319849592</c:v>
                </c:pt>
                <c:pt idx="110">
                  <c:v>64.632270529943582</c:v>
                </c:pt>
                <c:pt idx="111">
                  <c:v>64.47004054592486</c:v>
                </c:pt>
                <c:pt idx="112">
                  <c:v>64.307072189565403</c:v>
                </c:pt>
                <c:pt idx="113">
                  <c:v>64.143414090255561</c:v>
                </c:pt>
                <c:pt idx="114">
                  <c:v>63.979112801814736</c:v>
                </c:pt>
                <c:pt idx="115">
                  <c:v>63.814212911692763</c:v>
                </c:pt>
                <c:pt idx="116">
                  <c:v>63.648757143135143</c:v>
                </c:pt>
                <c:pt idx="117">
                  <c:v>63.482786450838731</c:v>
                </c:pt>
                <c:pt idx="118">
                  <c:v>63.316340110578295</c:v>
                </c:pt>
                <c:pt idx="119">
                  <c:v>63.149455803245942</c:v>
                </c:pt>
                <c:pt idx="120">
                  <c:v>62.982169693707547</c:v>
                </c:pt>
                <c:pt idx="121">
                  <c:v>62.814516504848967</c:v>
                </c:pt>
                <c:pt idx="122">
                  <c:v>62.646529587153154</c:v>
                </c:pt>
                <c:pt idx="123">
                  <c:v>62.478240984122337</c:v>
                </c:pt>
                <c:pt idx="124">
                  <c:v>62.309681493835683</c:v>
                </c:pt>
                <c:pt idx="125">
                  <c:v>62.140880726908236</c:v>
                </c:pt>
                <c:pt idx="126">
                  <c:v>61.97186716109735</c:v>
                </c:pt>
                <c:pt idx="127">
                  <c:v>61.802668192784509</c:v>
                </c:pt>
                <c:pt idx="128">
                  <c:v>61.63331018554031</c:v>
                </c:pt>
                <c:pt idx="129">
                  <c:v>61.463818515968086</c:v>
                </c:pt>
                <c:pt idx="130">
                  <c:v>61.294217617005202</c:v>
                </c:pt>
                <c:pt idx="131">
                  <c:v>61.124531018846625</c:v>
                </c:pt>
                <c:pt idx="132">
                  <c:v>60.954781387646065</c:v>
                </c:pt>
                <c:pt idx="133">
                  <c:v>60.7849905621364</c:v>
                </c:pt>
                <c:pt idx="134">
                  <c:v>60.615179588301118</c:v>
                </c:pt>
                <c:pt idx="135">
                  <c:v>60.445368752220418</c:v>
                </c:pt>
                <c:pt idx="136">
                  <c:v>60.275577611204866</c:v>
                </c:pt>
                <c:pt idx="137">
                  <c:v>60.105825023323476</c:v>
                </c:pt>
                <c:pt idx="138">
                  <c:v>59.936129175423574</c:v>
                </c:pt>
                <c:pt idx="139">
                  <c:v>59.766507609734845</c:v>
                </c:pt>
                <c:pt idx="140">
                  <c:v>59.596977249142853</c:v>
                </c:pt>
                <c:pt idx="141">
                  <c:v>59.427554421211227</c:v>
                </c:pt>
                <c:pt idx="142">
                  <c:v>59.258254881026232</c:v>
                </c:pt>
                <c:pt idx="143">
                  <c:v>59.089093832934111</c:v>
                </c:pt>
                <c:pt idx="144">
                  <c:v>58.9200859512341</c:v>
                </c:pt>
                <c:pt idx="145">
                  <c:v>58.75124539988883</c:v>
                </c:pt>
                <c:pt idx="146">
                  <c:v>58.582585851307101</c:v>
                </c:pt>
                <c:pt idx="147">
                  <c:v>58.414120504252793</c:v>
                </c:pt>
                <c:pt idx="148">
                  <c:v>58.245862100928179</c:v>
                </c:pt>
                <c:pt idx="149">
                  <c:v>58.077822943278278</c:v>
                </c:pt>
                <c:pt idx="150">
                  <c:v>57.910014908559319</c:v>
                </c:pt>
                <c:pt idx="151">
                  <c:v>57.742449464211305</c:v>
                </c:pt>
                <c:pt idx="152">
                  <c:v>57.575137682072892</c:v>
                </c:pt>
                <c:pt idx="153">
                  <c:v>57.408090251974329</c:v>
                </c:pt>
                <c:pt idx="154">
                  <c:v>57.241317494741281</c:v>
                </c:pt>
                <c:pt idx="155">
                  <c:v>57.074829374640458</c:v>
                </c:pt>
                <c:pt idx="156">
                  <c:v>56.908635511298115</c:v>
                </c:pt>
                <c:pt idx="157">
                  <c:v>56.742745191116654</c:v>
                </c:pt>
                <c:pt idx="158">
                  <c:v>56.57716737821687</c:v>
                </c:pt>
                <c:pt idx="159">
                  <c:v>56.411910724930252</c:v>
                </c:pt>
                <c:pt idx="160">
                  <c:v>56.246983581863006</c:v>
                </c:pt>
                <c:pt idx="161">
                  <c:v>56.082394007554612</c:v>
                </c:pt>
                <c:pt idx="162">
                  <c:v>55.918149777751069</c:v>
                </c:pt>
                <c:pt idx="163">
                  <c:v>55.754258394311066</c:v>
                </c:pt>
                <c:pt idx="164">
                  <c:v>55.590727093764457</c:v>
                </c:pt>
                <c:pt idx="165">
                  <c:v>55.42756285553898</c:v>
                </c:pt>
                <c:pt idx="166">
                  <c:v>55.264772409871824</c:v>
                </c:pt>
                <c:pt idx="167">
                  <c:v>55.102362245421048</c:v>
                </c:pt>
                <c:pt idx="168">
                  <c:v>54.940338616591291</c:v>
                </c:pt>
                <c:pt idx="169">
                  <c:v>54.778707550586461</c:v>
                </c:pt>
                <c:pt idx="170">
                  <c:v>54.617474854204005</c:v>
                </c:pt>
                <c:pt idx="171">
                  <c:v>54.456646120380299</c:v>
                </c:pt>
                <c:pt idx="172">
                  <c:v>54.29622673450082</c:v>
                </c:pt>
                <c:pt idx="173">
                  <c:v>54.136221880484626</c:v>
                </c:pt>
                <c:pt idx="174">
                  <c:v>53.976636546653424</c:v>
                </c:pt>
                <c:pt idx="175">
                  <c:v>53.817475531395601</c:v>
                </c:pt>
                <c:pt idx="176">
                  <c:v>53.658743448633246</c:v>
                </c:pt>
                <c:pt idx="177">
                  <c:v>53.500444733101872</c:v>
                </c:pt>
                <c:pt idx="178">
                  <c:v>53.342583645450603</c:v>
                </c:pt>
                <c:pt idx="179">
                  <c:v>53.185164277170387</c:v>
                </c:pt>
                <c:pt idx="180">
                  <c:v>53.028190555357739</c:v>
                </c:pt>
                <c:pt idx="181">
                  <c:v>52.871666247321457</c:v>
                </c:pt>
                <c:pt idx="182">
                  <c:v>52.715594965038349</c:v>
                </c:pt>
                <c:pt idx="183">
                  <c:v>52.559980169464367</c:v>
                </c:pt>
                <c:pt idx="184">
                  <c:v>52.404825174707639</c:v>
                </c:pt>
                <c:pt idx="185">
                  <c:v>52.250133152068386</c:v>
                </c:pt>
                <c:pt idx="186">
                  <c:v>52.09590713395167</c:v>
                </c:pt>
                <c:pt idx="187">
                  <c:v>51.942150017657724</c:v>
                </c:pt>
                <c:pt idx="188">
                  <c:v>51.788864569054908</c:v>
                </c:pt>
                <c:pt idx="189">
                  <c:v>51.636053426140421</c:v>
                </c:pt>
                <c:pt idx="190">
                  <c:v>51.483719102491875</c:v>
                </c:pt>
                <c:pt idx="191">
                  <c:v>51.331863990615432</c:v>
                </c:pt>
                <c:pt idx="192">
                  <c:v>51.180490365194004</c:v>
                </c:pt>
                <c:pt idx="193">
                  <c:v>51.029600386238116</c:v>
                </c:pt>
                <c:pt idx="194">
                  <c:v>50.879196102145727</c:v>
                </c:pt>
                <c:pt idx="195">
                  <c:v>50.729279452671562</c:v>
                </c:pt>
                <c:pt idx="196">
                  <c:v>50.579852271811262</c:v>
                </c:pt>
                <c:pt idx="197">
                  <c:v>50.430916290602823</c:v>
                </c:pt>
                <c:pt idx="198">
                  <c:v>50.282473139847866</c:v>
                </c:pt>
                <c:pt idx="199">
                  <c:v>50.134524352757296</c:v>
                </c:pt>
                <c:pt idx="200">
                  <c:v>49.98707136752094</c:v>
                </c:pt>
                <c:pt idx="201">
                  <c:v>49.840115529808088</c:v>
                </c:pt>
                <c:pt idx="202">
                  <c:v>49.693658095197037</c:v>
                </c:pt>
                <c:pt idx="203">
                  <c:v>49.547700231539579</c:v>
                </c:pt>
                <c:pt idx="204">
                  <c:v>49.402243021260489</c:v>
                </c:pt>
                <c:pt idx="205">
                  <c:v>49.257287463594992</c:v>
                </c:pt>
                <c:pt idx="206">
                  <c:v>49.112834476766807</c:v>
                </c:pt>
                <c:pt idx="207">
                  <c:v>48.968884900107554</c:v>
                </c:pt>
                <c:pt idx="208">
                  <c:v>48.825439496120765</c:v>
                </c:pt>
                <c:pt idx="209">
                  <c:v>48.68249895249096</c:v>
                </c:pt>
                <c:pt idx="210">
                  <c:v>48.540063884041444</c:v>
                </c:pt>
                <c:pt idx="211">
                  <c:v>48.398134834640132</c:v>
                </c:pt>
                <c:pt idx="212">
                  <c:v>48.256712279057069</c:v>
                </c:pt>
                <c:pt idx="213">
                  <c:v>48.115796624774305</c:v>
                </c:pt>
                <c:pt idx="214">
                  <c:v>47.97538821374917</c:v>
                </c:pt>
                <c:pt idx="215">
                  <c:v>47.835487324133794</c:v>
                </c:pt>
                <c:pt idx="216">
                  <c:v>47.69609417195062</c:v>
                </c:pt>
                <c:pt idx="217">
                  <c:v>47.557208912726367</c:v>
                </c:pt>
                <c:pt idx="218">
                  <c:v>47.418831643085355</c:v>
                </c:pt>
                <c:pt idx="219">
                  <c:v>47.280962402302976</c:v>
                </c:pt>
                <c:pt idx="220">
                  <c:v>47.143601173821367</c:v>
                </c:pt>
                <c:pt idx="221">
                  <c:v>47.006747886727908</c:v>
                </c:pt>
                <c:pt idx="222">
                  <c:v>46.870402417197283</c:v>
                </c:pt>
                <c:pt idx="223">
                  <c:v>46.73456458989881</c:v>
                </c:pt>
                <c:pt idx="224">
                  <c:v>46.599234179369887</c:v>
                </c:pt>
                <c:pt idx="225">
                  <c:v>46.4644109113556</c:v>
                </c:pt>
                <c:pt idx="226">
                  <c:v>45.143978375318937</c:v>
                </c:pt>
                <c:pt idx="227">
                  <c:v>43.873642752482965</c:v>
                </c:pt>
                <c:pt idx="228">
                  <c:v>42.652503445600757</c:v>
                </c:pt>
                <c:pt idx="229">
                  <c:v>41.479396013738977</c:v>
                </c:pt>
                <c:pt idx="230">
                  <c:v>40.352963576604566</c:v>
                </c:pt>
                <c:pt idx="231">
                  <c:v>39.27171372708122</c:v>
                </c:pt>
                <c:pt idx="232">
                  <c:v>38.234063887164467</c:v>
                </c:pt>
                <c:pt idx="233">
                  <c:v>37.238377370179251</c:v>
                </c:pt>
                <c:pt idx="234">
                  <c:v>36.282991926275628</c:v>
                </c:pt>
                <c:pt idx="235">
                  <c:v>35.366242187005014</c:v>
                </c:pt>
                <c:pt idx="236">
                  <c:v>34.486477149472591</c:v>
                </c:pt>
                <c:pt idx="237">
                  <c:v>33.642073626207718</c:v>
                </c:pt>
                <c:pt idx="238">
                  <c:v>32.831446417062466</c:v>
                </c:pt>
                <c:pt idx="239">
                  <c:v>32.053055823062493</c:v>
                </c:pt>
                <c:pt idx="240">
                  <c:v>31.305413011463401</c:v>
                </c:pt>
                <c:pt idx="241">
                  <c:v>30.587083650788202</c:v>
                </c:pt>
                <c:pt idx="242">
                  <c:v>29.896690160265251</c:v>
                </c:pt>
                <c:pt idx="243">
                  <c:v>29.232912856752648</c:v>
                </c:pt>
                <c:pt idx="244">
                  <c:v>28.594490231539737</c:v>
                </c:pt>
                <c:pt idx="245">
                  <c:v>27.980218547460851</c:v>
                </c:pt>
                <c:pt idx="246">
                  <c:v>27.38895091201411</c:v>
                </c:pt>
                <c:pt idx="247">
                  <c:v>26.819595953419139</c:v>
                </c:pt>
                <c:pt idx="248">
                  <c:v>26.271116202750676</c:v>
                </c:pt>
                <c:pt idx="249">
                  <c:v>25.742526265612412</c:v>
                </c:pt>
                <c:pt idx="250">
                  <c:v>25.232890850572971</c:v>
                </c:pt>
                <c:pt idx="251">
                  <c:v>24.741322708198169</c:v>
                </c:pt>
                <c:pt idx="252">
                  <c:v>24.266980523491242</c:v>
                </c:pt>
                <c:pt idx="253">
                  <c:v>23.809066795505288</c:v>
                </c:pt>
                <c:pt idx="254">
                  <c:v>23.366825730475654</c:v>
                </c:pt>
                <c:pt idx="255">
                  <c:v>22.939541168761053</c:v>
                </c:pt>
                <c:pt idx="256">
                  <c:v>22.526534560945265</c:v>
                </c:pt>
                <c:pt idx="257">
                  <c:v>22.127163004444952</c:v>
                </c:pt>
                <c:pt idx="258">
                  <c:v>21.740817348729649</c:v>
                </c:pt>
                <c:pt idx="259">
                  <c:v>21.366920374653944</c:v>
                </c:pt>
                <c:pt idx="260">
                  <c:v>21.004925051319248</c:v>
                </c:pt>
                <c:pt idx="261">
                  <c:v>20.654312872226654</c:v>
                </c:pt>
                <c:pt idx="262">
                  <c:v>20.31459227118043</c:v>
                </c:pt>
                <c:pt idx="263">
                  <c:v>19.985297117387375</c:v>
                </c:pt>
                <c:pt idx="264">
                  <c:v>19.665985288416778</c:v>
                </c:pt>
                <c:pt idx="265">
                  <c:v>19.356237319099876</c:v>
                </c:pt>
                <c:pt idx="266">
                  <c:v>19.055655124011764</c:v>
                </c:pt>
                <c:pt idx="267">
                  <c:v>18.763860790874844</c:v>
                </c:pt>
                <c:pt idx="268">
                  <c:v>18.480495442013193</c:v>
                </c:pt>
                <c:pt idx="269">
                  <c:v>18.205218160860369</c:v>
                </c:pt>
                <c:pt idx="270">
                  <c:v>17.937704980465128</c:v>
                </c:pt>
                <c:pt idx="271">
                  <c:v>17.677647930918141</c:v>
                </c:pt>
                <c:pt idx="272">
                  <c:v>17.424754142658202</c:v>
                </c:pt>
                <c:pt idx="273">
                  <c:v>17.178745002664698</c:v>
                </c:pt>
                <c:pt idx="274">
                  <c:v>16.939355360625655</c:v>
                </c:pt>
                <c:pt idx="275">
                  <c:v>16.70633278226353</c:v>
                </c:pt>
                <c:pt idx="276">
                  <c:v>16.479436847106598</c:v>
                </c:pt>
                <c:pt idx="277">
                  <c:v>16.258438488108879</c:v>
                </c:pt>
                <c:pt idx="278">
                  <c:v>16.043119370638522</c:v>
                </c:pt>
                <c:pt idx="279">
                  <c:v>15.833271308474991</c:v>
                </c:pt>
                <c:pt idx="280">
                  <c:v>15.628695714576821</c:v>
                </c:pt>
                <c:pt idx="281">
                  <c:v>15.42920308449996</c:v>
                </c:pt>
                <c:pt idx="282">
                  <c:v>15.234612510464757</c:v>
                </c:pt>
                <c:pt idx="283">
                  <c:v>15.044751224181368</c:v>
                </c:pt>
                <c:pt idx="284">
                  <c:v>14.859454166655041</c:v>
                </c:pt>
                <c:pt idx="285">
                  <c:v>14.678563583297205</c:v>
                </c:pt>
                <c:pt idx="286">
                  <c:v>14.501928642768974</c:v>
                </c:pt>
                <c:pt idx="287">
                  <c:v>14.329405078080015</c:v>
                </c:pt>
                <c:pt idx="288">
                  <c:v>14.160854848557221</c:v>
                </c:pt>
                <c:pt idx="289">
                  <c:v>13.996145821383152</c:v>
                </c:pt>
                <c:pt idx="290">
                  <c:v>13.835151471488075</c:v>
                </c:pt>
                <c:pt idx="291">
                  <c:v>13.677750598653432</c:v>
                </c:pt>
                <c:pt idx="292">
                  <c:v>13.523827060759942</c:v>
                </c:pt>
                <c:pt idx="293">
                  <c:v>13.373269522180777</c:v>
                </c:pt>
                <c:pt idx="294">
                  <c:v>13.225971216383215</c:v>
                </c:pt>
                <c:pt idx="295">
                  <c:v>13.08182972186566</c:v>
                </c:pt>
                <c:pt idx="296">
                  <c:v>12.940746750608611</c:v>
                </c:pt>
                <c:pt idx="297">
                  <c:v>12.80262794827587</c:v>
                </c:pt>
                <c:pt idx="298">
                  <c:v>12.66738270544738</c:v>
                </c:pt>
                <c:pt idx="299">
                  <c:v>12.534923979215364</c:v>
                </c:pt>
                <c:pt idx="300">
                  <c:v>12.405168124514461</c:v>
                </c:pt>
                <c:pt idx="301">
                  <c:v>12.27803473460142</c:v>
                </c:pt>
                <c:pt idx="302">
                  <c:v>12.153446490133206</c:v>
                </c:pt>
                <c:pt idx="303">
                  <c:v>12.031329016331881</c:v>
                </c:pt>
                <c:pt idx="304">
                  <c:v>11.911610747753713</c:v>
                </c:pt>
                <c:pt idx="305">
                  <c:v>11.794222800213703</c:v>
                </c:pt>
                <c:pt idx="306">
                  <c:v>11.679098849443733</c:v>
                </c:pt>
                <c:pt idx="307">
                  <c:v>11.566175016089744</c:v>
                </c:pt>
                <c:pt idx="308">
                  <c:v>11.455389756678727</c:v>
                </c:pt>
                <c:pt idx="309">
                  <c:v>11.346683760209004</c:v>
                </c:pt>
                <c:pt idx="310">
                  <c:v>11.239999850039425</c:v>
                </c:pt>
                <c:pt idx="311">
                  <c:v>11.135282890774079</c:v>
                </c:pt>
                <c:pt idx="312">
                  <c:v>11.032479699856623</c:v>
                </c:pt>
                <c:pt idx="313">
                  <c:v>10.931538963607323</c:v>
                </c:pt>
                <c:pt idx="314">
                  <c:v>10.832411157452412</c:v>
                </c:pt>
                <c:pt idx="315">
                  <c:v>10.735048470109547</c:v>
                </c:pt>
                <c:pt idx="316">
                  <c:v>10.639404731509785</c:v>
                </c:pt>
                <c:pt idx="317">
                  <c:v>10.545435344247693</c:v>
                </c:pt>
                <c:pt idx="318">
                  <c:v>10.453097218365855</c:v>
                </c:pt>
                <c:pt idx="319">
                  <c:v>10.362348709289876</c:v>
                </c:pt>
                <c:pt idx="320">
                  <c:v>10.273149558742915</c:v>
                </c:pt>
                <c:pt idx="321">
                  <c:v>10.185460838477809</c:v>
                </c:pt>
                <c:pt idx="322">
                  <c:v>10.099244896675287</c:v>
                </c:pt>
                <c:pt idx="323">
                  <c:v>10.014465306864111</c:v>
                </c:pt>
                <c:pt idx="324">
                  <c:v>9.9310868192310977</c:v>
                </c:pt>
                <c:pt idx="325">
                  <c:v>9.8490753141919924</c:v>
                </c:pt>
                <c:pt idx="326">
                  <c:v>9.7683977581059764</c:v>
                </c:pt>
                <c:pt idx="327">
                  <c:v>9.6890221610203184</c:v>
                </c:pt>
                <c:pt idx="328">
                  <c:v>9.6109175363408781</c:v>
                </c:pt>
                <c:pt idx="329">
                  <c:v>9.5340538623273687</c:v>
                </c:pt>
                <c:pt idx="330">
                  <c:v>9.4584020453207529</c:v>
                </c:pt>
                <c:pt idx="331">
                  <c:v>9.3839338846136968</c:v>
                </c:pt>
                <c:pt idx="332">
                  <c:v>9.3106220388805241</c:v>
                </c:pt>
                <c:pt idx="333">
                  <c:v>9.2384399940882531</c:v>
                </c:pt>
                <c:pt idx="334">
                  <c:v>9.1673620328141681</c:v>
                </c:pt>
                <c:pt idx="335">
                  <c:v>9.0973632048994091</c:v>
                </c:pt>
                <c:pt idx="336">
                  <c:v>9.0284192993732972</c:v>
                </c:pt>
                <c:pt idx="337">
                  <c:v>8.9605068175839904</c:v>
                </c:pt>
                <c:pt idx="338">
                  <c:v>8.8936029474783709</c:v>
                </c:pt>
                <c:pt idx="339">
                  <c:v>8.8276855389735829</c:v>
                </c:pt>
                <c:pt idx="340">
                  <c:v>8.762733080367866</c:v>
                </c:pt>
                <c:pt idx="341">
                  <c:v>8.6987246757408343</c:v>
                </c:pt>
                <c:pt idx="342">
                  <c:v>8.6356400232954229</c:v>
                </c:pt>
                <c:pt idx="343">
                  <c:v>8.5734593945970801</c:v>
                </c:pt>
                <c:pt idx="344">
                  <c:v>8.5121636146671733</c:v>
                </c:pt>
                <c:pt idx="345">
                  <c:v>8.4517340428909051</c:v>
                </c:pt>
                <c:pt idx="346">
                  <c:v>8.3921525547015392</c:v>
                </c:pt>
                <c:pt idx="347">
                  <c:v>8.3334015240049553</c:v>
                </c:pt>
                <c:pt idx="348">
                  <c:v>8.2754638063093466</c:v>
                </c:pt>
                <c:pt idx="349">
                  <c:v>8.2183227225293365</c:v>
                </c:pt>
                <c:pt idx="350">
                  <c:v>8.1619620434321973</c:v>
                </c:pt>
                <c:pt idx="351">
                  <c:v>8.1063659746975816</c:v>
                </c:pt>
                <c:pt idx="352">
                  <c:v>8.0515191425631372</c:v>
                </c:pt>
                <c:pt idx="353">
                  <c:v>7.9974065800295193</c:v>
                </c:pt>
                <c:pt idx="354">
                  <c:v>7.9440137135998441</c:v>
                </c:pt>
                <c:pt idx="355">
                  <c:v>7.8913263505296243</c:v>
                </c:pt>
                <c:pt idx="356">
                  <c:v>7.8393306665651608</c:v>
                </c:pt>
                <c:pt idx="357">
                  <c:v>7.7880131941483626</c:v>
                </c:pt>
                <c:pt idx="358">
                  <c:v>7.7373608110681005</c:v>
                </c:pt>
                <c:pt idx="359">
                  <c:v>7.687360729538284</c:v>
                </c:pt>
                <c:pt idx="360">
                  <c:v>7.6380004856845574</c:v>
                </c:pt>
                <c:pt idx="361">
                  <c:v>7.5892679294217658</c:v>
                </c:pt>
                <c:pt idx="362">
                  <c:v>7.5411512147059341</c:v>
                </c:pt>
                <c:pt idx="363">
                  <c:v>7.4936387901443879</c:v>
                </c:pt>
                <c:pt idx="364">
                  <c:v>7.4467193899491235</c:v>
                </c:pt>
                <c:pt idx="365">
                  <c:v>7.4003820252190451</c:v>
                </c:pt>
                <c:pt idx="366">
                  <c:v>7.3546159755371434</c:v>
                </c:pt>
                <c:pt idx="367">
                  <c:v>7.3094107808696833</c:v>
                </c:pt>
                <c:pt idx="368">
                  <c:v>7.2647562337550085</c:v>
                </c:pt>
                <c:pt idx="369">
                  <c:v>7.2206423717697135</c:v>
                </c:pt>
                <c:pt idx="370">
                  <c:v>7.1770594702609856</c:v>
                </c:pt>
                <c:pt idx="371">
                  <c:v>7.1339980353349688</c:v>
                </c:pt>
                <c:pt idx="372">
                  <c:v>7.0914487970892139</c:v>
                </c:pt>
                <c:pt idx="373">
                  <c:v>7.0494027030813697</c:v>
                </c:pt>
                <c:pt idx="374">
                  <c:v>7.0078509120227466</c:v>
                </c:pt>
                <c:pt idx="375">
                  <c:v>6.9667847876895621</c:v>
                </c:pt>
                <c:pt idx="376">
                  <c:v>6.9261958930416938</c:v>
                </c:pt>
                <c:pt idx="377">
                  <c:v>6.8860759845418897</c:v>
                </c:pt>
                <c:pt idx="378">
                  <c:v>6.8464170066671386</c:v>
                </c:pt>
                <c:pt idx="379">
                  <c:v>6.8072110866044966</c:v>
                </c:pt>
                <c:pt idx="380">
                  <c:v>6.76845052912455</c:v>
                </c:pt>
                <c:pt idx="381">
                  <c:v>6.7301278116258629</c:v>
                </c:pt>
                <c:pt idx="382">
                  <c:v>6.6922355793431336</c:v>
                </c:pt>
                <c:pt idx="383">
                  <c:v>6.6547666407134614</c:v>
                </c:pt>
                <c:pt idx="384">
                  <c:v>6.6177139628942712</c:v>
                </c:pt>
                <c:pt idx="385">
                  <c:v>6.581070667427781</c:v>
                </c:pt>
                <c:pt idx="386">
                  <c:v>6.5448300260457302</c:v>
                </c:pt>
                <c:pt idx="387">
                  <c:v>6.5089854566094516</c:v>
                </c:pt>
                <c:pt idx="388">
                  <c:v>6.4735305191805423</c:v>
                </c:pt>
                <c:pt idx="389">
                  <c:v>6.4384589122171292</c:v>
                </c:pt>
                <c:pt idx="390">
                  <c:v>6.4037644688903299</c:v>
                </c:pt>
                <c:pt idx="391">
                  <c:v>6.369441153517954</c:v>
                </c:pt>
                <c:pt idx="392">
                  <c:v>6.3354830581102419</c:v>
                </c:pt>
                <c:pt idx="393">
                  <c:v>6.3018843990229811</c:v>
                </c:pt>
                <c:pt idx="394">
                  <c:v>6.2686395137160105</c:v>
                </c:pt>
                <c:pt idx="395">
                  <c:v>6.2357428576113989</c:v>
                </c:pt>
                <c:pt idx="396">
                  <c:v>6.2031890010485427</c:v>
                </c:pt>
                <c:pt idx="397">
                  <c:v>6.1709726263331106</c:v>
                </c:pt>
                <c:pt idx="398">
                  <c:v>6.1390885248756035</c:v>
                </c:pt>
                <c:pt idx="399">
                  <c:v>6.1075315944172814</c:v>
                </c:pt>
                <c:pt idx="400">
                  <c:v>6.0762968363395657</c:v>
                </c:pt>
                <c:pt idx="401">
                  <c:v>6.0453793530547273</c:v>
                </c:pt>
                <c:pt idx="402">
                  <c:v>6.0147743454745353</c:v>
                </c:pt>
                <c:pt idx="403">
                  <c:v>5.9844771105545647</c:v>
                </c:pt>
                <c:pt idx="404">
                  <c:v>5.954483038910837</c:v>
                </c:pt>
                <c:pt idx="405">
                  <c:v>5.9247876125072878</c:v>
                </c:pt>
                <c:pt idx="406">
                  <c:v>5.8953864024111056</c:v>
                </c:pt>
                <c:pt idx="407">
                  <c:v>5.86627506661344</c:v>
                </c:pt>
                <c:pt idx="408">
                  <c:v>5.837449347913747</c:v>
                </c:pt>
                <c:pt idx="409">
                  <c:v>5.8089050718655244</c:v>
                </c:pt>
                <c:pt idx="410">
                  <c:v>5.7806381447806814</c:v>
                </c:pt>
                <c:pt idx="411">
                  <c:v>5.7526445517921161</c:v>
                </c:pt>
                <c:pt idx="412">
                  <c:v>5.7249203549706351</c:v>
                </c:pt>
                <c:pt idx="413">
                  <c:v>5.6974616914962439</c:v>
                </c:pt>
                <c:pt idx="414">
                  <c:v>5.6702647718805963</c:v>
                </c:pt>
                <c:pt idx="415">
                  <c:v>5.6433258782398354</c:v>
                </c:pt>
                <c:pt idx="416">
                  <c:v>5.6166413626158089</c:v>
                </c:pt>
                <c:pt idx="417">
                  <c:v>5.5902076453440657</c:v>
                </c:pt>
                <c:pt idx="418">
                  <c:v>5.5640212134673277</c:v>
                </c:pt>
                <c:pt idx="419">
                  <c:v>5.5380786191926461</c:v>
                </c:pt>
                <c:pt idx="420">
                  <c:v>5.5123764783915306</c:v>
                </c:pt>
                <c:pt idx="421">
                  <c:v>5.4869114691404093</c:v>
                </c:pt>
                <c:pt idx="422">
                  <c:v>5.4616803303017605</c:v>
                </c:pt>
                <c:pt idx="423">
                  <c:v>5.436679860143272</c:v>
                </c:pt>
                <c:pt idx="424">
                  <c:v>5.4119069149944892</c:v>
                </c:pt>
                <c:pt idx="425">
                  <c:v>5.3873584079397574</c:v>
                </c:pt>
                <c:pt idx="426">
                  <c:v>5.3630313075460094</c:v>
                </c:pt>
                <c:pt idx="427">
                  <c:v>5.3389226366250568</c:v>
                </c:pt>
                <c:pt idx="428">
                  <c:v>5.3150294710277706</c:v>
                </c:pt>
                <c:pt idx="429">
                  <c:v>5.2913489384714012</c:v>
                </c:pt>
                <c:pt idx="430">
                  <c:v>5.2678782173967704</c:v>
                </c:pt>
                <c:pt idx="431">
                  <c:v>5.2446145358562433</c:v>
                </c:pt>
                <c:pt idx="432">
                  <c:v>5.2215551704300651</c:v>
                </c:pt>
                <c:pt idx="433">
                  <c:v>5.198697445171689</c:v>
                </c:pt>
                <c:pt idx="434">
                  <c:v>5.1760387305796485</c:v>
                </c:pt>
                <c:pt idx="435">
                  <c:v>5.1535764425964032</c:v>
                </c:pt>
                <c:pt idx="436">
                  <c:v>5.1313080416330479</c:v>
                </c:pt>
                <c:pt idx="437">
                  <c:v>5.1092310316183216</c:v>
                </c:pt>
                <c:pt idx="438">
                  <c:v>5.0873429590726857</c:v>
                </c:pt>
                <c:pt idx="439">
                  <c:v>5.0656414122052809</c:v>
                </c:pt>
                <c:pt idx="440">
                  <c:v>5.0441240200339621</c:v>
                </c:pt>
                <c:pt idx="441">
                  <c:v>5.0227884515274468</c:v>
                </c:pt>
                <c:pt idx="442">
                  <c:v>5.0016324147690909</c:v>
                </c:pt>
                <c:pt idx="443">
                  <c:v>4.9806536561410155</c:v>
                </c:pt>
                <c:pt idx="444">
                  <c:v>4.9598499595293504</c:v>
                </c:pt>
                <c:pt idx="445">
                  <c:v>4.939219145548492</c:v>
                </c:pt>
                <c:pt idx="446">
                  <c:v>4.9187590707846596</c:v>
                </c:pt>
                <c:pt idx="447">
                  <c:v>4.8984676270582383</c:v>
                </c:pt>
                <c:pt idx="448">
                  <c:v>4.878342740703971</c:v>
                </c:pt>
                <c:pt idx="449">
                  <c:v>4.8583823718684584</c:v>
                </c:pt>
                <c:pt idx="450">
                  <c:v>4.8385845138254808</c:v>
                </c:pt>
                <c:pt idx="451">
                  <c:v>4.8189471923070073</c:v>
                </c:pt>
                <c:pt idx="452">
                  <c:v>4.7994684648505199</c:v>
                </c:pt>
                <c:pt idx="453">
                  <c:v>4.78014642016268</c:v>
                </c:pt>
                <c:pt idx="454">
                  <c:v>4.7609791774972052</c:v>
                </c:pt>
                <c:pt idx="455">
                  <c:v>4.7419648860480663</c:v>
                </c:pt>
                <c:pt idx="456">
                  <c:v>4.72310172435715</c:v>
                </c:pt>
                <c:pt idx="457">
                  <c:v>4.7043878997357353</c:v>
                </c:pt>
                <c:pt idx="458">
                  <c:v>4.6858216476992709</c:v>
                </c:pt>
                <c:pt idx="459">
                  <c:v>4.6674012314163349</c:v>
                </c:pt>
                <c:pt idx="460">
                  <c:v>4.6491249411691626</c:v>
                </c:pt>
                <c:pt idx="461">
                  <c:v>4.6309910938279018</c:v>
                </c:pt>
                <c:pt idx="462">
                  <c:v>4.6129980323363213</c:v>
                </c:pt>
                <c:pt idx="463">
                  <c:v>4.5951441252095151</c:v>
                </c:pt>
                <c:pt idx="464">
                  <c:v>4.57742776604357</c:v>
                </c:pt>
                <c:pt idx="465">
                  <c:v>4.5598473730357227</c:v>
                </c:pt>
                <c:pt idx="466">
                  <c:v>4.5424013885160832</c:v>
                </c:pt>
                <c:pt idx="467">
                  <c:v>4.5250882784898465</c:v>
                </c:pt>
                <c:pt idx="468">
                  <c:v>4.5079065321897929</c:v>
                </c:pt>
                <c:pt idx="469">
                  <c:v>4.4908546616386786</c:v>
                </c:pt>
                <c:pt idx="470">
                  <c:v>4.4739312012219159</c:v>
                </c:pt>
                <c:pt idx="471">
                  <c:v>4.4571347072696597</c:v>
                </c:pt>
                <c:pt idx="472">
                  <c:v>4.4404637576478478</c:v>
                </c:pt>
                <c:pt idx="473">
                  <c:v>4.4239169513589047</c:v>
                </c:pt>
                <c:pt idx="474">
                  <c:v>4.4074929081510277</c:v>
                </c:pt>
                <c:pt idx="475">
                  <c:v>4.3911902681358868</c:v>
                </c:pt>
                <c:pt idx="476">
                  <c:v>4.3750076914150213</c:v>
                </c:pt>
                <c:pt idx="477">
                  <c:v>4.3589438577144506</c:v>
                </c:pt>
                <c:pt idx="478">
                  <c:v>4.3429974660269863</c:v>
                </c:pt>
                <c:pt idx="479">
                  <c:v>4.3271672342626459</c:v>
                </c:pt>
                <c:pt idx="480">
                  <c:v>4.3114518989063129</c:v>
                </c:pt>
                <c:pt idx="481">
                  <c:v>4.2958502146830142</c:v>
                </c:pt>
                <c:pt idx="482">
                  <c:v>4.2803609542304741</c:v>
                </c:pt>
                <c:pt idx="483">
                  <c:v>4.2649829077782897</c:v>
                </c:pt>
                <c:pt idx="484">
                  <c:v>4.2497148828346099</c:v>
                </c:pt>
                <c:pt idx="485">
                  <c:v>4.234555703878641</c:v>
                </c:pt>
                <c:pt idx="486">
                  <c:v>4.2195042120607411</c:v>
                </c:pt>
                <c:pt idx="487">
                  <c:v>4.2045592649075445</c:v>
                </c:pt>
                <c:pt idx="488">
                  <c:v>4.1897197360346468</c:v>
                </c:pt>
                <c:pt idx="489">
                  <c:v>4.1749845148643487</c:v>
                </c:pt>
                <c:pt idx="490">
                  <c:v>4.1603525063498807</c:v>
                </c:pt>
                <c:pt idx="491">
                  <c:v>4.1458226307048562</c:v>
                </c:pt>
                <c:pt idx="492">
                  <c:v>4.1313938231388363</c:v>
                </c:pt>
                <c:pt idx="493">
                  <c:v>4.1170650335981804</c:v>
                </c:pt>
                <c:pt idx="494">
                  <c:v>4.1028352265121839</c:v>
                </c:pt>
                <c:pt idx="495">
                  <c:v>4.0887033805445583</c:v>
                </c:pt>
                <c:pt idx="496">
                  <c:v>4.0746684883498006</c:v>
                </c:pt>
                <c:pt idx="497">
                  <c:v>4.0607295563349055</c:v>
                </c:pt>
                <c:pt idx="498">
                  <c:v>4.0468856044254267</c:v>
                </c:pt>
                <c:pt idx="499">
                  <c:v>4.0331356658369373</c:v>
                </c:pt>
                <c:pt idx="500">
                  <c:v>4.0194787868503852</c:v>
                </c:pt>
                <c:pt idx="501">
                  <c:v>4.005914026592535</c:v>
                </c:pt>
                <c:pt idx="502">
                  <c:v>3.9924404568205887</c:v>
                </c:pt>
                <c:pt idx="503">
                  <c:v>3.9790571617111254</c:v>
                </c:pt>
                <c:pt idx="504">
                  <c:v>3.965763237653249</c:v>
                </c:pt>
                <c:pt idx="505">
                  <c:v>3.9525577930460258</c:v>
                </c:pt>
                <c:pt idx="506">
                  <c:v>3.9394399480997038</c:v>
                </c:pt>
                <c:pt idx="507">
                  <c:v>3.9264088346409665</c:v>
                </c:pt>
                <c:pt idx="508">
                  <c:v>3.9134635959217974</c:v>
                </c:pt>
                <c:pt idx="509">
                  <c:v>3.9006033864328629</c:v>
                </c:pt>
                <c:pt idx="510">
                  <c:v>3.8878273717194531</c:v>
                </c:pt>
                <c:pt idx="511">
                  <c:v>3.8751347282018003</c:v>
                </c:pt>
                <c:pt idx="512">
                  <c:v>3.8625246429985793</c:v>
                </c:pt>
                <c:pt idx="513">
                  <c:v>3.849996313754076</c:v>
                </c:pt>
                <c:pt idx="514">
                  <c:v>3.837548948468168</c:v>
                </c:pt>
                <c:pt idx="515">
                  <c:v>3.8251817653304272</c:v>
                </c:pt>
                <c:pt idx="516">
                  <c:v>3.8128939925562406</c:v>
                </c:pt>
                <c:pt idx="517">
                  <c:v>3.8006848682275916</c:v>
                </c:pt>
                <c:pt idx="518">
                  <c:v>3.788553640135234</c:v>
                </c:pt>
                <c:pt idx="519">
                  <c:v>3.7764995656250733</c:v>
                </c:pt>
                <c:pt idx="520">
                  <c:v>3.7645219114470763</c:v>
                </c:pt>
                <c:pt idx="521">
                  <c:v>3.7526199536067679</c:v>
                </c:pt>
                <c:pt idx="522">
                  <c:v>3.7407929772200816</c:v>
                </c:pt>
                <c:pt idx="523">
                  <c:v>3.7290402763702559</c:v>
                </c:pt>
                <c:pt idx="524">
                  <c:v>3.7173611539679996</c:v>
                </c:pt>
                <c:pt idx="525">
                  <c:v>3.7057549216141581</c:v>
                </c:pt>
                <c:pt idx="526">
                  <c:v>3.6942208994645114</c:v>
                </c:pt>
                <c:pt idx="527">
                  <c:v>3.6827584160977267</c:v>
                </c:pt>
                <c:pt idx="528">
                  <c:v>3.6713668083851303</c:v>
                </c:pt>
                <c:pt idx="529">
                  <c:v>3.6600454213632077</c:v>
                </c:pt>
                <c:pt idx="530">
                  <c:v>3.64879360810869</c:v>
                </c:pt>
                <c:pt idx="531">
                  <c:v>3.6376107296152895</c:v>
                </c:pt>
                <c:pt idx="532">
                  <c:v>3.6264961546732764</c:v>
                </c:pt>
                <c:pt idx="533">
                  <c:v>3.6154492597509034</c:v>
                </c:pt>
                <c:pt idx="534">
                  <c:v>3.6044694288782182</c:v>
                </c:pt>
                <c:pt idx="535">
                  <c:v>3.5935560535327227</c:v>
                </c:pt>
                <c:pt idx="536">
                  <c:v>3.5827085325272208</c:v>
                </c:pt>
                <c:pt idx="537">
                  <c:v>3.5719262718999403</c:v>
                </c:pt>
                <c:pt idx="538">
                  <c:v>3.561208684806104</c:v>
                </c:pt>
                <c:pt idx="539">
                  <c:v>3.5505551914118598</c:v>
                </c:pt>
                <c:pt idx="540">
                  <c:v>3.5399652187900017</c:v>
                </c:pt>
                <c:pt idx="541">
                  <c:v>3.529438200817367</c:v>
                </c:pt>
                <c:pt idx="542">
                  <c:v>3.5189735780743376</c:v>
                </c:pt>
                <c:pt idx="543">
                  <c:v>3.5085707977459606</c:v>
                </c:pt>
                <c:pt idx="544">
                  <c:v>3.4982293135246323</c:v>
                </c:pt>
                <c:pt idx="545">
                  <c:v>3.4879485855150847</c:v>
                </c:pt>
                <c:pt idx="546">
                  <c:v>3.4777280801401673</c:v>
                </c:pt>
                <c:pt idx="547">
                  <c:v>3.4675672700492441</c:v>
                </c:pt>
                <c:pt idx="548">
                  <c:v>3.4574656340271588</c:v>
                </c:pt>
                <c:pt idx="549">
                  <c:v>3.4474226569058146</c:v>
                </c:pt>
                <c:pt idx="550">
                  <c:v>3.4374378294764654</c:v>
                </c:pt>
                <c:pt idx="551">
                  <c:v>3.4275106484039952</c:v>
                </c:pt>
                <c:pt idx="552">
                  <c:v>3.4176406161425064</c:v>
                </c:pt>
                <c:pt idx="553">
                  <c:v>3.4078272408522992</c:v>
                </c:pt>
                <c:pt idx="554">
                  <c:v>3.3980700363183587</c:v>
                </c:pt>
                <c:pt idx="555">
                  <c:v>3.3883685218704329</c:v>
                </c:pt>
                <c:pt idx="556">
                  <c:v>3.3787222223040203</c:v>
                </c:pt>
                <c:pt idx="557">
                  <c:v>3.3691306678028923</c:v>
                </c:pt>
                <c:pt idx="558">
                  <c:v>3.3595933938634062</c:v>
                </c:pt>
                <c:pt idx="559">
                  <c:v>3.3501099412192445</c:v>
                </c:pt>
                <c:pt idx="560">
                  <c:v>3.3406798557678883</c:v>
                </c:pt>
                <c:pt idx="561">
                  <c:v>3.3313026884985106</c:v>
                </c:pt>
                <c:pt idx="562">
                  <c:v>3.3219779954207524</c:v>
                </c:pt>
                <c:pt idx="563">
                  <c:v>3.3127053374946911</c:v>
                </c:pt>
                <c:pt idx="564">
                  <c:v>3.3034842805622304</c:v>
                </c:pt>
                <c:pt idx="565">
                  <c:v>3.294314395279315</c:v>
                </c:pt>
                <c:pt idx="566">
                  <c:v>3.2851952570495371</c:v>
                </c:pt>
                <c:pt idx="567">
                  <c:v>3.276126445958738</c:v>
                </c:pt>
                <c:pt idx="568">
                  <c:v>3.2671075467106334</c:v>
                </c:pt>
                <c:pt idx="569">
                  <c:v>3.2581381485634893</c:v>
                </c:pt>
                <c:pt idx="570">
                  <c:v>3.2492178452680776</c:v>
                </c:pt>
                <c:pt idx="571">
                  <c:v>3.2403462350061716</c:v>
                </c:pt>
                <c:pt idx="572">
                  <c:v>3.2315229203305194</c:v>
                </c:pt>
                <c:pt idx="573">
                  <c:v>3.2227475081057548</c:v>
                </c:pt>
                <c:pt idx="574">
                  <c:v>3.2140196094496787</c:v>
                </c:pt>
                <c:pt idx="575">
                  <c:v>3.2053388396762728</c:v>
                </c:pt>
                <c:pt idx="576">
                  <c:v>3.1967048182392261</c:v>
                </c:pt>
                <c:pt idx="577">
                  <c:v>3.1881171686763139</c:v>
                </c:pt>
                <c:pt idx="578">
                  <c:v>3.1795755185548558</c:v>
                </c:pt>
                <c:pt idx="579">
                  <c:v>3.1710794994180844</c:v>
                </c:pt>
                <c:pt idx="580">
                  <c:v>3.1626287467320537</c:v>
                </c:pt>
                <c:pt idx="581">
                  <c:v>3.154222899833627</c:v>
                </c:pt>
                <c:pt idx="582">
                  <c:v>3.1458616018794316</c:v>
                </c:pt>
                <c:pt idx="583">
                  <c:v>3.1375444997953537</c:v>
                </c:pt>
                <c:pt idx="584">
                  <c:v>3.1292712442266861</c:v>
                </c:pt>
                <c:pt idx="585">
                  <c:v>3.1210414894898406</c:v>
                </c:pt>
                <c:pt idx="586">
                  <c:v>3.1128548935237177</c:v>
                </c:pt>
                <c:pt idx="587">
                  <c:v>3.1047111178428395</c:v>
                </c:pt>
                <c:pt idx="588">
                  <c:v>3.096609827490397</c:v>
                </c:pt>
                <c:pt idx="589">
                  <c:v>3.0885506909927187</c:v>
                </c:pt>
                <c:pt idx="590">
                  <c:v>3.0805333803139092</c:v>
                </c:pt>
                <c:pt idx="591">
                  <c:v>3.0725575708116537</c:v>
                </c:pt>
                <c:pt idx="592">
                  <c:v>3.0646229411931358</c:v>
                </c:pt>
                <c:pt idx="593">
                  <c:v>3.0567291734723767</c:v>
                </c:pt>
                <c:pt idx="594">
                  <c:v>3.0488759529274034</c:v>
                </c:pt>
                <c:pt idx="595">
                  <c:v>3.0410629680589238</c:v>
                </c:pt>
                <c:pt idx="596">
                  <c:v>3.0332899105486604</c:v>
                </c:pt>
                <c:pt idx="597">
                  <c:v>3.0255564752195028</c:v>
                </c:pt>
                <c:pt idx="598">
                  <c:v>3.0178623599951209</c:v>
                </c:pt>
                <c:pt idx="599">
                  <c:v>3.0102072658609131</c:v>
                </c:pt>
                <c:pt idx="600">
                  <c:v>3.0025908968252963</c:v>
                </c:pt>
                <c:pt idx="601">
                  <c:v>2.995012959881592</c:v>
                </c:pt>
                <c:pt idx="602">
                  <c:v>2.987473164970595</c:v>
                </c:pt>
                <c:pt idx="603">
                  <c:v>2.9799712249435402</c:v>
                </c:pt>
                <c:pt idx="604">
                  <c:v>2.9725068555257224</c:v>
                </c:pt>
                <c:pt idx="605">
                  <c:v>2.9650797752805431</c:v>
                </c:pt>
                <c:pt idx="606">
                  <c:v>2.6357812521627295</c:v>
                </c:pt>
                <c:pt idx="607">
                  <c:v>2.3723018546028243</c:v>
                </c:pt>
                <c:pt idx="608">
                  <c:v>2.1567040069130599</c:v>
                </c:pt>
                <c:pt idx="609">
                  <c:v>1.977024423668297</c:v>
                </c:pt>
                <c:pt idx="610">
                  <c:v>1.8249783584518582</c:v>
                </c:pt>
                <c:pt idx="611">
                  <c:v>1.6946468070387652</c:v>
                </c:pt>
                <c:pt idx="612">
                  <c:v>1.5816884142575702</c:v>
                </c:pt>
                <c:pt idx="613">
                  <c:v>1.4828467187083731</c:v>
                </c:pt>
                <c:pt idx="614">
                  <c:v>1.3956312117893788</c:v>
                </c:pt>
                <c:pt idx="615">
                  <c:v>1.3181046577334996</c:v>
                </c:pt>
                <c:pt idx="616">
                  <c:v>1.2487375465938726</c:v>
                </c:pt>
                <c:pt idx="617">
                  <c:v>1.1863061945810216</c:v>
                </c:pt>
                <c:pt idx="618">
                  <c:v>1.1630472348275021</c:v>
                </c:pt>
                <c:pt idx="619">
                  <c:v>1.1406827409199423</c:v>
                </c:pt>
                <c:pt idx="620">
                  <c:v>1.1191620908023481</c:v>
                </c:pt>
                <c:pt idx="621">
                  <c:v>1.0984384114668444</c:v>
                </c:pt>
                <c:pt idx="622">
                  <c:v>1.0784682382101209</c:v>
                </c:pt>
                <c:pt idx="623">
                  <c:v>1.0592112103878435</c:v>
                </c:pt>
                <c:pt idx="624">
                  <c:v>1.0406297991867461</c:v>
                </c:pt>
                <c:pt idx="625">
                  <c:v>1.0226890635515815</c:v>
                </c:pt>
                <c:pt idx="626">
                  <c:v>1.0053564309272929</c:v>
                </c:pt>
                <c:pt idx="627">
                  <c:v>0.98860149992165702</c:v>
                </c:pt>
                <c:pt idx="628">
                  <c:v>0.97239586237398612</c:v>
                </c:pt>
                <c:pt idx="629">
                  <c:v>0.95671294263956952</c:v>
                </c:pt>
                <c:pt idx="630">
                  <c:v>0.94152785217690393</c:v>
                </c:pt>
                <c:pt idx="631">
                  <c:v>0.92681725776483859</c:v>
                </c:pt>
                <c:pt idx="632">
                  <c:v>0.91255926188193826</c:v>
                </c:pt>
                <c:pt idx="633">
                  <c:v>0.89873329395837231</c:v>
                </c:pt>
                <c:pt idx="634">
                  <c:v>0.88532001136476879</c:v>
                </c:pt>
                <c:pt idx="635">
                  <c:v>0.87230120913574183</c:v>
                </c:pt>
                <c:pt idx="636">
                  <c:v>0.85965973754227321</c:v>
                </c:pt>
                <c:pt idx="637">
                  <c:v>0.84737942672813915</c:v>
                </c:pt>
                <c:pt idx="638">
                  <c:v>0.83544501771399382</c:v>
                </c:pt>
                <c:pt idx="639">
                  <c:v>0.82384209915048245</c:v>
                </c:pt>
                <c:pt idx="640">
                  <c:v>0.81255704926857675</c:v>
                </c:pt>
                <c:pt idx="641">
                  <c:v>0.80157698253623266</c:v>
                </c:pt>
                <c:pt idx="642">
                  <c:v>0.79088970058191421</c:v>
                </c:pt>
                <c:pt idx="643">
                  <c:v>0.78048364699165518</c:v>
                </c:pt>
                <c:pt idx="644">
                  <c:v>0.77034786562865065</c:v>
                </c:pt>
                <c:pt idx="645">
                  <c:v>0.76047196215787949</c:v>
                </c:pt>
                <c:pt idx="646">
                  <c:v>0.75084606849310376</c:v>
                </c:pt>
                <c:pt idx="647">
                  <c:v>0.74146080990942664</c:v>
                </c:pt>
                <c:pt idx="648">
                  <c:v>0.73230727459244349</c:v>
                </c:pt>
                <c:pt idx="649">
                  <c:v>0.72337698541460327</c:v>
                </c:pt>
                <c:pt idx="650">
                  <c:v>0.71466187375179402</c:v>
                </c:pt>
                <c:pt idx="651">
                  <c:v>0.70615425516984942</c:v>
                </c:pt>
                <c:pt idx="652">
                  <c:v>0.69784680682752764</c:v>
                </c:pt>
                <c:pt idx="653">
                  <c:v>0.68973254645538873</c:v>
                </c:pt>
                <c:pt idx="654">
                  <c:v>0.68180481278446337</c:v>
                </c:pt>
                <c:pt idx="655">
                  <c:v>0.67405724730909355</c:v>
                </c:pt>
                <c:pt idx="656">
                  <c:v>0.66648377727935326</c:v>
                </c:pt>
                <c:pt idx="657">
                  <c:v>0.65907859982684158</c:v>
                </c:pt>
                <c:pt idx="658">
                  <c:v>0.65183616713744641</c:v>
                </c:pt>
                <c:pt idx="659">
                  <c:v>0.64475117259058834</c:v>
                </c:pt>
                <c:pt idx="660">
                  <c:v>0.63781853779295261</c:v>
                </c:pt>
                <c:pt idx="661">
                  <c:v>0.63103340043952016</c:v>
                </c:pt>
                <c:pt idx="662">
                  <c:v>0.62439110294161537</c:v>
                </c:pt>
                <c:pt idx="663">
                  <c:v>0.61788718176495649</c:v>
                </c:pt>
                <c:pt idx="664">
                  <c:v>0.61151735742797086</c:v>
                </c:pt>
                <c:pt idx="665">
                  <c:v>0.60527752511163158</c:v>
                </c:pt>
                <c:pt idx="666">
                  <c:v>0.5991637458390926</c:v>
                </c:pt>
                <c:pt idx="667">
                  <c:v>0.59317223818379716</c:v>
                </c:pt>
              </c:numCache>
            </c:numRef>
          </c:yVal>
          <c:smooth val="0"/>
          <c:extLst>
            <c:ext xmlns:c16="http://schemas.microsoft.com/office/drawing/2014/chart" uri="{C3380CC4-5D6E-409C-BE32-E72D297353CC}">
              <c16:uniqueId val="{00000002-C323-45F5-AD89-2A9969707A73}"/>
            </c:ext>
          </c:extLst>
        </c:ser>
        <c:ser>
          <c:idx val="3"/>
          <c:order val="3"/>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Calculations'!$BI$9:$BI$676</c:f>
              <c:numCache>
                <c:formatCode>General</c:formatCode>
                <c:ptCount val="668"/>
                <c:pt idx="0">
                  <c:v>133.23867348950759</c:v>
                </c:pt>
                <c:pt idx="1">
                  <c:v>115.23498770120788</c:v>
                </c:pt>
                <c:pt idx="2">
                  <c:v>107.50931736747975</c:v>
                </c:pt>
                <c:pt idx="3">
                  <c:v>103.38421015254973</c:v>
                </c:pt>
                <c:pt idx="4">
                  <c:v>100.85339754578041</c:v>
                </c:pt>
                <c:pt idx="5">
                  <c:v>99.155606804723902</c:v>
                </c:pt>
                <c:pt idx="6">
                  <c:v>97.944956364355789</c:v>
                </c:pt>
                <c:pt idx="7">
                  <c:v>97.042956177045284</c:v>
                </c:pt>
                <c:pt idx="8">
                  <c:v>96.348532455914494</c:v>
                </c:pt>
                <c:pt idx="9">
                  <c:v>95.800279847455542</c:v>
                </c:pt>
                <c:pt idx="10">
                  <c:v>93.560769337947406</c:v>
                </c:pt>
                <c:pt idx="11">
                  <c:v>93.102015489516674</c:v>
                </c:pt>
                <c:pt idx="12">
                  <c:v>93.090434422516466</c:v>
                </c:pt>
                <c:pt idx="13">
                  <c:v>93.257860825966986</c:v>
                </c:pt>
                <c:pt idx="14">
                  <c:v>93.5147641651035</c:v>
                </c:pt>
                <c:pt idx="15">
                  <c:v>93.822737746099463</c:v>
                </c:pt>
                <c:pt idx="16">
                  <c:v>94.162560625906252</c:v>
                </c:pt>
                <c:pt idx="17">
                  <c:v>94.523542344806017</c:v>
                </c:pt>
                <c:pt idx="18">
                  <c:v>94.899258763442205</c:v>
                </c:pt>
                <c:pt idx="19">
                  <c:v>98.968889691087426</c:v>
                </c:pt>
                <c:pt idx="20">
                  <c:v>103.17277060919281</c:v>
                </c:pt>
                <c:pt idx="21">
                  <c:v>107.35489718288302</c:v>
                </c:pt>
                <c:pt idx="22">
                  <c:v>111.46795496647471</c:v>
                </c:pt>
                <c:pt idx="23">
                  <c:v>115.48390424972408</c:v>
                </c:pt>
                <c:pt idx="24">
                  <c:v>119.38130521088402</c:v>
                </c:pt>
                <c:pt idx="25">
                  <c:v>123.14214073860968</c:v>
                </c:pt>
                <c:pt idx="26">
                  <c:v>126.75066451917732</c:v>
                </c:pt>
                <c:pt idx="27">
                  <c:v>130.19278302241599</c:v>
                </c:pt>
                <c:pt idx="28">
                  <c:v>144.46627380166711</c:v>
                </c:pt>
                <c:pt idx="29">
                  <c:v>152.40042834178331</c:v>
                </c:pt>
                <c:pt idx="30">
                  <c:v>149.01330994871446</c:v>
                </c:pt>
                <c:pt idx="31">
                  <c:v>117.48321309796465</c:v>
                </c:pt>
                <c:pt idx="32">
                  <c:v>73.1387519568177</c:v>
                </c:pt>
                <c:pt idx="33">
                  <c:v>58.036519095443893</c:v>
                </c:pt>
                <c:pt idx="34">
                  <c:v>54.395913768985622</c:v>
                </c:pt>
                <c:pt idx="35">
                  <c:v>54.094975776269536</c:v>
                </c:pt>
                <c:pt idx="36">
                  <c:v>54.900028020002495</c:v>
                </c:pt>
                <c:pt idx="37">
                  <c:v>56.068177724515877</c:v>
                </c:pt>
                <c:pt idx="38">
                  <c:v>57.315684847496172</c:v>
                </c:pt>
                <c:pt idx="39">
                  <c:v>58.527081716768834</c:v>
                </c:pt>
                <c:pt idx="40">
                  <c:v>59.656031892953976</c:v>
                </c:pt>
                <c:pt idx="41">
                  <c:v>60.686627467315958</c:v>
                </c:pt>
                <c:pt idx="42">
                  <c:v>61.616781956525074</c:v>
                </c:pt>
                <c:pt idx="43">
                  <c:v>62.450627996466352</c:v>
                </c:pt>
                <c:pt idx="44">
                  <c:v>63.194890799688906</c:v>
                </c:pt>
                <c:pt idx="45">
                  <c:v>63.857123707089826</c:v>
                </c:pt>
                <c:pt idx="46">
                  <c:v>64.444853759407223</c:v>
                </c:pt>
                <c:pt idx="47">
                  <c:v>64.965184798250178</c:v>
                </c:pt>
                <c:pt idx="48">
                  <c:v>65.424633974153281</c:v>
                </c:pt>
                <c:pt idx="49">
                  <c:v>65.829087165951378</c:v>
                </c:pt>
                <c:pt idx="50">
                  <c:v>66.183813550693074</c:v>
                </c:pt>
                <c:pt idx="51">
                  <c:v>66.493507758077158</c:v>
                </c:pt>
                <c:pt idx="52">
                  <c:v>66.762342920880116</c:v>
                </c:pt>
                <c:pt idx="53">
                  <c:v>66.994025920460885</c:v>
                </c:pt>
                <c:pt idx="54">
                  <c:v>67.191850459651519</c:v>
                </c:pt>
                <c:pt idx="55">
                  <c:v>67.358745951740772</c:v>
                </c:pt>
                <c:pt idx="56">
                  <c:v>67.497321485539317</c:v>
                </c:pt>
                <c:pt idx="57">
                  <c:v>67.609904796544811</c:v>
                </c:pt>
                <c:pt idx="58">
                  <c:v>67.698576509986324</c:v>
                </c:pt>
                <c:pt idx="59">
                  <c:v>67.765200072198169</c:v>
                </c:pt>
                <c:pt idx="60">
                  <c:v>67.811447836468616</c:v>
                </c:pt>
                <c:pt idx="61">
                  <c:v>67.8388237658138</c:v>
                </c:pt>
                <c:pt idx="62">
                  <c:v>67.848683184944647</c:v>
                </c:pt>
                <c:pt idx="63">
                  <c:v>67.842249972078335</c:v>
                </c:pt>
                <c:pt idx="64">
                  <c:v>67.820631536458393</c:v>
                </c:pt>
                <c:pt idx="65">
                  <c:v>67.784831883842969</c:v>
                </c:pt>
                <c:pt idx="66">
                  <c:v>67.735763031923469</c:v>
                </c:pt>
                <c:pt idx="67">
                  <c:v>67.674255001513799</c:v>
                </c:pt>
                <c:pt idx="68">
                  <c:v>67.601064577582036</c:v>
                </c:pt>
                <c:pt idx="69">
                  <c:v>67.516883006597112</c:v>
                </c:pt>
                <c:pt idx="70">
                  <c:v>67.422342772877428</c:v>
                </c:pt>
                <c:pt idx="71">
                  <c:v>67.318023576239156</c:v>
                </c:pt>
                <c:pt idx="72">
                  <c:v>67.204457615814206</c:v>
                </c:pt>
                <c:pt idx="73">
                  <c:v>67.082134270049337</c:v>
                </c:pt>
                <c:pt idx="74">
                  <c:v>66.951504250233668</c:v>
                </c:pt>
                <c:pt idx="75">
                  <c:v>66.81298329411247</c:v>
                </c:pt>
                <c:pt idx="76">
                  <c:v>66.666955456953744</c:v>
                </c:pt>
                <c:pt idx="77">
                  <c:v>66.513776049590177</c:v>
                </c:pt>
                <c:pt idx="78">
                  <c:v>66.35377426626718</c:v>
                </c:pt>
                <c:pt idx="79">
                  <c:v>66.187255539403253</c:v>
                </c:pt>
                <c:pt idx="80">
                  <c:v>66.014503653472559</c:v>
                </c:pt>
                <c:pt idx="81">
                  <c:v>65.835782646016611</c:v>
                </c:pt>
                <c:pt idx="82">
                  <c:v>65.651338520187949</c:v>
                </c:pt>
                <c:pt idx="83">
                  <c:v>65.461400790123278</c:v>
                </c:pt>
                <c:pt idx="84">
                  <c:v>65.266183877770331</c:v>
                </c:pt>
                <c:pt idx="85">
                  <c:v>65.06588837748393</c:v>
                </c:pt>
                <c:pt idx="86">
                  <c:v>64.860702202709675</c:v>
                </c:pt>
                <c:pt idx="87">
                  <c:v>64.650801627342872</c:v>
                </c:pt>
                <c:pt idx="88">
                  <c:v>64.436352232849998</c:v>
                </c:pt>
                <c:pt idx="89">
                  <c:v>64.217509770932054</c:v>
                </c:pt>
                <c:pt idx="90">
                  <c:v>63.99442095037243</c:v>
                </c:pt>
                <c:pt idx="91">
                  <c:v>63.767224155719603</c:v>
                </c:pt>
                <c:pt idx="92">
                  <c:v>63.536050104584945</c:v>
                </c:pt>
                <c:pt idx="93">
                  <c:v>63.301022449578653</c:v>
                </c:pt>
                <c:pt idx="94">
                  <c:v>63.0622583302371</c:v>
                </c:pt>
                <c:pt idx="95">
                  <c:v>62.819868879711578</c:v>
                </c:pt>
                <c:pt idx="96">
                  <c:v>62.573959690471241</c:v>
                </c:pt>
                <c:pt idx="97">
                  <c:v>62.324631242819677</c:v>
                </c:pt>
                <c:pt idx="98">
                  <c:v>62.071979299621958</c:v>
                </c:pt>
                <c:pt idx="99">
                  <c:v>61.816095270285913</c:v>
                </c:pt>
                <c:pt idx="100">
                  <c:v>61.55706654672629</c:v>
                </c:pt>
                <c:pt idx="101">
                  <c:v>61.294976813761465</c:v>
                </c:pt>
                <c:pt idx="102">
                  <c:v>61.029906336146183</c:v>
                </c:pt>
                <c:pt idx="103">
                  <c:v>60.761932224222605</c:v>
                </c:pt>
                <c:pt idx="104">
                  <c:v>60.491128679977194</c:v>
                </c:pt>
                <c:pt idx="105">
                  <c:v>60.217567225114365</c:v>
                </c:pt>
                <c:pt idx="106">
                  <c:v>59.941316912604421</c:v>
                </c:pt>
                <c:pt idx="107">
                  <c:v>59.662444523021875</c:v>
                </c:pt>
                <c:pt idx="108">
                  <c:v>59.381014746865603</c:v>
                </c:pt>
                <c:pt idx="109">
                  <c:v>59.097090353941923</c:v>
                </c:pt>
                <c:pt idx="110">
                  <c:v>58.810732350789834</c:v>
                </c:pt>
                <c:pt idx="111">
                  <c:v>58.522000127038552</c:v>
                </c:pt>
                <c:pt idx="112">
                  <c:v>58.230951591505317</c:v>
                </c:pt>
                <c:pt idx="113">
                  <c:v>57.93764329877132</c:v>
                </c:pt>
                <c:pt idx="114">
                  <c:v>57.642130566904143</c:v>
                </c:pt>
                <c:pt idx="115">
                  <c:v>57.344467586939615</c:v>
                </c:pt>
                <c:pt idx="116">
                  <c:v>57.044707524680646</c:v>
                </c:pt>
                <c:pt idx="117">
                  <c:v>56.742902615323032</c:v>
                </c:pt>
                <c:pt idx="118">
                  <c:v>56.4391042513749</c:v>
                </c:pt>
                <c:pt idx="119">
                  <c:v>56.133363064297626</c:v>
                </c:pt>
                <c:pt idx="120">
                  <c:v>55.825729000258903</c:v>
                </c:pt>
                <c:pt idx="121">
                  <c:v>55.516251390359145</c:v>
                </c:pt>
                <c:pt idx="122">
                  <c:v>55.20497901566138</c:v>
                </c:pt>
                <c:pt idx="123">
                  <c:v>54.891960167328691</c:v>
                </c:pt>
                <c:pt idx="124">
                  <c:v>54.577242702150869</c:v>
                </c:pt>
                <c:pt idx="125">
                  <c:v>54.260874093718584</c:v>
                </c:pt>
                <c:pt idx="126">
                  <c:v>53.942901479485272</c:v>
                </c:pt>
                <c:pt idx="127">
                  <c:v>53.623371703938801</c:v>
                </c:pt>
                <c:pt idx="128">
                  <c:v>53.302331358088566</c:v>
                </c:pt>
                <c:pt idx="129">
                  <c:v>52.979826815460129</c:v>
                </c:pt>
                <c:pt idx="130">
                  <c:v>52.655904264775828</c:v>
                </c:pt>
                <c:pt idx="131">
                  <c:v>52.330609739487798</c:v>
                </c:pt>
                <c:pt idx="132">
                  <c:v>52.003989144319931</c:v>
                </c:pt>
                <c:pt idx="133">
                  <c:v>51.676088278964727</c:v>
                </c:pt>
                <c:pt idx="134">
                  <c:v>51.346952859073269</c:v>
                </c:pt>
                <c:pt idx="135">
                  <c:v>51.016628534667177</c:v>
                </c:pt>
                <c:pt idx="136">
                  <c:v>50.685160906096939</c:v>
                </c:pt>
                <c:pt idx="137">
                  <c:v>50.35259553766096</c:v>
                </c:pt>
                <c:pt idx="138">
                  <c:v>50.018977968997632</c:v>
                </c:pt>
                <c:pt idx="139">
                  <c:v>49.684353724354679</c:v>
                </c:pt>
                <c:pt idx="140">
                  <c:v>49.348768319837632</c:v>
                </c:pt>
                <c:pt idx="141">
                  <c:v>49.012267268733183</c:v>
                </c:pt>
                <c:pt idx="142">
                  <c:v>48.674896085000256</c:v>
                </c:pt>
                <c:pt idx="143">
                  <c:v>48.33670028501939</c:v>
                </c:pt>
                <c:pt idx="144">
                  <c:v>47.997725387685392</c:v>
                </c:pt>
                <c:pt idx="145">
                  <c:v>47.658016912928076</c:v>
                </c:pt>
                <c:pt idx="146">
                  <c:v>47.317620378741964</c:v>
                </c:pt>
                <c:pt idx="147">
                  <c:v>46.976581296803772</c:v>
                </c:pt>
                <c:pt idx="148">
                  <c:v>46.634945166755415</c:v>
                </c:pt>
                <c:pt idx="149">
                  <c:v>46.292757469226814</c:v>
                </c:pt>
                <c:pt idx="150">
                  <c:v>45.95006365767324</c:v>
                </c:pt>
                <c:pt idx="151">
                  <c:v>45.60690914909793</c:v>
                </c:pt>
                <c:pt idx="152">
                  <c:v>45.263339313731592</c:v>
                </c:pt>
                <c:pt idx="153">
                  <c:v>44.91939946373796</c:v>
                </c:pt>
                <c:pt idx="154">
                  <c:v>44.575134841012897</c:v>
                </c:pt>
                <c:pt idx="155">
                  <c:v>44.230590604144425</c:v>
                </c:pt>
                <c:pt idx="156">
                  <c:v>43.885811814599663</c:v>
                </c:pt>
                <c:pt idx="157">
                  <c:v>43.540843422202272</c:v>
                </c:pt>
                <c:pt idx="158">
                  <c:v>43.19573024996572</c:v>
                </c:pt>
                <c:pt idx="159">
                  <c:v>42.850516978342483</c:v>
                </c:pt>
                <c:pt idx="160">
                  <c:v>42.505248128953184</c:v>
                </c:pt>
                <c:pt idx="161">
                  <c:v>42.159968047853681</c:v>
                </c:pt>
                <c:pt idx="162">
                  <c:v>41.814720888401041</c:v>
                </c:pt>
                <c:pt idx="163">
                  <c:v>41.469550593774812</c:v>
                </c:pt>
                <c:pt idx="164">
                  <c:v>41.124500879212519</c:v>
                </c:pt>
                <c:pt idx="165">
                  <c:v>40.779615214012438</c:v>
                </c:pt>
                <c:pt idx="166">
                  <c:v>40.434936803360699</c:v>
                </c:pt>
                <c:pt idx="167">
                  <c:v>40.090508570033677</c:v>
                </c:pt>
                <c:pt idx="168">
                  <c:v>39.746373136028609</c:v>
                </c:pt>
                <c:pt idx="169">
                  <c:v>39.402572804172451</c:v>
                </c:pt>
                <c:pt idx="170">
                  <c:v>39.059149539757811</c:v>
                </c:pt>
                <c:pt idx="171">
                  <c:v>38.716144952253075</c:v>
                </c:pt>
                <c:pt idx="172">
                  <c:v>38.373600277133164</c:v>
                </c:pt>
                <c:pt idx="173">
                  <c:v>38.031556357874621</c:v>
                </c:pt>
                <c:pt idx="174">
                  <c:v>37.690053628157671</c:v>
                </c:pt>
                <c:pt idx="175">
                  <c:v>37.349132094316445</c:v>
                </c:pt>
                <c:pt idx="176">
                  <c:v>37.008831318075863</c:v>
                </c:pt>
                <c:pt idx="177">
                  <c:v>36.669190399613171</c:v>
                </c:pt>
                <c:pt idx="178">
                  <c:v>36.330247960979108</c:v>
                </c:pt>
                <c:pt idx="179">
                  <c:v>35.992042129912988</c:v>
                </c:pt>
                <c:pt idx="180">
                  <c:v>35.654610524082727</c:v>
                </c:pt>
                <c:pt idx="181">
                  <c:v>35.317990235780172</c:v>
                </c:pt>
                <c:pt idx="182">
                  <c:v>34.98221781709978</c:v>
                </c:pt>
                <c:pt idx="183">
                  <c:v>34.647329265626382</c:v>
                </c:pt>
                <c:pt idx="184">
                  <c:v>34.313360010656112</c:v>
                </c:pt>
                <c:pt idx="185">
                  <c:v>33.980344899973005</c:v>
                </c:pt>
                <c:pt idx="186">
                  <c:v>33.648318187200942</c:v>
                </c:pt>
                <c:pt idx="187">
                  <c:v>33.317313519749575</c:v>
                </c:pt>
                <c:pt idx="188">
                  <c:v>32.987363927370041</c:v>
                </c:pt>
                <c:pt idx="189">
                  <c:v>32.658501811335952</c:v>
                </c:pt>
                <c:pt idx="190">
                  <c:v>32.330758934260331</c:v>
                </c:pt>
                <c:pt idx="191">
                  <c:v>32.004166410561083</c:v>
                </c:pt>
                <c:pt idx="192">
                  <c:v>31.678754697582406</c:v>
                </c:pt>
                <c:pt idx="193">
                  <c:v>31.354553587379513</c:v>
                </c:pt>
                <c:pt idx="194">
                  <c:v>31.031592199172337</c:v>
                </c:pt>
                <c:pt idx="195">
                  <c:v>30.70989897247091</c:v>
                </c:pt>
                <c:pt idx="196">
                  <c:v>30.389501660874913</c:v>
                </c:pt>
                <c:pt idx="197">
                  <c:v>30.070427326547104</c:v>
                </c:pt>
                <c:pt idx="198">
                  <c:v>29.752702335359743</c:v>
                </c:pt>
                <c:pt idx="199">
                  <c:v>29.4363523527106</c:v>
                </c:pt>
                <c:pt idx="200">
                  <c:v>29.12140234000438</c:v>
                </c:pt>
                <c:pt idx="201">
                  <c:v>28.80787655179455</c:v>
                </c:pt>
                <c:pt idx="202">
                  <c:v>28.495798533576902</c:v>
                </c:pt>
                <c:pt idx="203">
                  <c:v>28.185191120228325</c:v>
                </c:pt>
                <c:pt idx="204">
                  <c:v>27.876076435080023</c:v>
                </c:pt>
                <c:pt idx="205">
                  <c:v>27.568475889615314</c:v>
                </c:pt>
                <c:pt idx="206">
                  <c:v>27.26241018377965</c:v>
                </c:pt>
                <c:pt idx="207">
                  <c:v>26.957899306890909</c:v>
                </c:pt>
                <c:pt idx="208">
                  <c:v>26.654962539135596</c:v>
                </c:pt>
                <c:pt idx="209">
                  <c:v>26.353618453637665</c:v>
                </c:pt>
                <c:pt idx="210">
                  <c:v>26.053884919083231</c:v>
                </c:pt>
                <c:pt idx="211">
                  <c:v>25.755779102886777</c:v>
                </c:pt>
                <c:pt idx="212">
                  <c:v>25.45931747488109</c:v>
                </c:pt>
                <c:pt idx="213">
                  <c:v>25.164515811515287</c:v>
                </c:pt>
                <c:pt idx="214">
                  <c:v>24.871389200541245</c:v>
                </c:pt>
                <c:pt idx="215">
                  <c:v>24.579952046172934</c:v>
                </c:pt>
                <c:pt idx="216">
                  <c:v>24.290218074697918</c:v>
                </c:pt>
                <c:pt idx="217">
                  <c:v>24.002200340524183</c:v>
                </c:pt>
                <c:pt idx="218">
                  <c:v>23.715911232641872</c:v>
                </c:pt>
                <c:pt idx="219">
                  <c:v>23.431362481482267</c:v>
                </c:pt>
                <c:pt idx="220">
                  <c:v>23.148565166153162</c:v>
                </c:pt>
                <c:pt idx="221">
                  <c:v>22.867529722032913</c:v>
                </c:pt>
                <c:pt idx="222">
                  <c:v>22.588265948702684</c:v>
                </c:pt>
                <c:pt idx="223">
                  <c:v>22.310783018197498</c:v>
                </c:pt>
                <c:pt idx="224">
                  <c:v>22.035089483558551</c:v>
                </c:pt>
                <c:pt idx="225">
                  <c:v>21.761193287664668</c:v>
                </c:pt>
                <c:pt idx="226">
                  <c:v>19.122415001320633</c:v>
                </c:pt>
                <c:pt idx="227">
                  <c:v>16.667952641020861</c:v>
                </c:pt>
                <c:pt idx="228">
                  <c:v>14.397262833356592</c:v>
                </c:pt>
                <c:pt idx="229">
                  <c:v>12.30599440871336</c:v>
                </c:pt>
                <c:pt idx="230">
                  <c:v>10.387010540140267</c:v>
                </c:pt>
                <c:pt idx="231">
                  <c:v>8.6312894459985046</c:v>
                </c:pt>
                <c:pt idx="232">
                  <c:v>7.0286706554390719</c:v>
                </c:pt>
                <c:pt idx="233">
                  <c:v>5.568442218703467</c:v>
                </c:pt>
                <c:pt idx="234">
                  <c:v>4.2397815546440825</c:v>
                </c:pt>
                <c:pt idx="235">
                  <c:v>3.0320711305429029</c:v>
                </c:pt>
                <c:pt idx="236">
                  <c:v>1.9351126535201217</c:v>
                </c:pt>
                <c:pt idx="237">
                  <c:v>0.93926236326797152</c:v>
                </c:pt>
                <c:pt idx="238">
                  <c:v>3.5507152086751148E-2</c:v>
                </c:pt>
                <c:pt idx="239">
                  <c:v>-0.78450223343261882</c:v>
                </c:pt>
                <c:pt idx="240">
                  <c:v>-1.5284480647949579</c:v>
                </c:pt>
                <c:pt idx="241">
                  <c:v>-2.2033627535434448</c:v>
                </c:pt>
                <c:pt idx="242">
                  <c:v>-2.8156589093722175</c:v>
                </c:pt>
                <c:pt idx="243">
                  <c:v>-3.3711670218373229</c:v>
                </c:pt>
                <c:pt idx="244">
                  <c:v>-3.8751769981903408</c:v>
                </c:pt>
                <c:pt idx="245">
                  <c:v>-4.3324809542451135</c:v>
                </c:pt>
                <c:pt idx="246">
                  <c:v>-4.7474155150612489</c:v>
                </c:pt>
                <c:pt idx="247">
                  <c:v>-5.1239025058764298</c:v>
                </c:pt>
                <c:pt idx="248">
                  <c:v>-5.4654873582618677</c:v>
                </c:pt>
                <c:pt idx="249">
                  <c:v>-5.7753748676554721</c:v>
                </c:pt>
                <c:pt idx="250">
                  <c:v>-6.0564621517820569</c:v>
                </c:pt>
                <c:pt idx="251">
                  <c:v>-6.3113688020240488</c:v>
                </c:pt>
                <c:pt idx="252">
                  <c:v>-6.5424643117607673</c:v>
                </c:pt>
                <c:pt idx="253">
                  <c:v>-6.7518929219641279</c:v>
                </c:pt>
                <c:pt idx="254">
                  <c:v>-6.9415960557921039</c:v>
                </c:pt>
                <c:pt idx="255">
                  <c:v>-7.1133325284299644</c:v>
                </c:pt>
                <c:pt idx="256">
                  <c:v>-7.2686967216080802</c:v>
                </c:pt>
                <c:pt idx="257">
                  <c:v>-7.4091349080686655</c:v>
                </c:pt>
                <c:pt idx="258">
                  <c:v>-7.5359599025568116</c:v>
                </c:pt>
                <c:pt idx="259">
                  <c:v>-7.6503642046135383</c:v>
                </c:pt>
                <c:pt idx="260">
                  <c:v>-7.7534317858706459</c:v>
                </c:pt>
                <c:pt idx="261">
                  <c:v>-7.8461486615781268</c:v>
                </c:pt>
                <c:pt idx="262">
                  <c:v>-7.9294123733082813</c:v>
                </c:pt>
                <c:pt idx="263">
                  <c:v>-8.0040404975357262</c:v>
                </c:pt>
                <c:pt idx="264">
                  <c:v>-8.0707782833010526</c:v>
                </c:pt>
                <c:pt idx="265">
                  <c:v>-8.1303055115341181</c:v>
                </c:pt>
                <c:pt idx="266">
                  <c:v>-8.1832426588799763</c:v>
                </c:pt>
                <c:pt idx="267">
                  <c:v>-8.2301564400318625</c:v>
                </c:pt>
                <c:pt idx="268">
                  <c:v>-8.271564794595065</c:v>
                </c:pt>
                <c:pt idx="269">
                  <c:v>-8.3079413773364763</c:v>
                </c:pt>
                <c:pt idx="270">
                  <c:v>-8.3397196042501207</c:v>
                </c:pt>
                <c:pt idx="271">
                  <c:v>-8.3672963011372303</c:v>
                </c:pt>
                <c:pt idx="272">
                  <c:v>-8.3910349962852422</c:v>
                </c:pt>
                <c:pt idx="273">
                  <c:v>-8.4112688942814771</c:v>
                </c:pt>
                <c:pt idx="274">
                  <c:v>-8.4283035639528521</c:v>
                </c:pt>
                <c:pt idx="275">
                  <c:v>-8.4424193698281726</c:v>
                </c:pt>
                <c:pt idx="276">
                  <c:v>-8.4538736733311168</c:v>
                </c:pt>
                <c:pt idx="277">
                  <c:v>-8.4629028270768174</c:v>
                </c:pt>
                <c:pt idx="278">
                  <c:v>-8.4697239831307058</c:v>
                </c:pt>
                <c:pt idx="279">
                  <c:v>-8.474536733856695</c:v>
                </c:pt>
                <c:pt idx="280">
                  <c:v>-8.4775246019972883</c:v>
                </c:pt>
                <c:pt idx="281">
                  <c:v>-8.4788563948666251</c:v>
                </c:pt>
                <c:pt idx="282">
                  <c:v>-8.4786874359737681</c:v>
                </c:pt>
                <c:pt idx="283">
                  <c:v>-8.4771606859989106</c:v>
                </c:pt>
                <c:pt idx="284">
                  <c:v>-8.4744077638086992</c:v>
                </c:pt>
                <c:pt idx="285">
                  <c:v>-8.4705498770931342</c:v>
                </c:pt>
                <c:pt idx="286">
                  <c:v>-8.4656986712245157</c:v>
                </c:pt>
                <c:pt idx="287">
                  <c:v>-8.459957004064421</c:v>
                </c:pt>
                <c:pt idx="288">
                  <c:v>-8.4534196536619675</c:v>
                </c:pt>
                <c:pt idx="289">
                  <c:v>-8.4461739650911341</c:v>
                </c:pt>
                <c:pt idx="290">
                  <c:v>-8.4383004420515419</c:v>
                </c:pt>
                <c:pt idx="291">
                  <c:v>-8.4298732882998877</c:v>
                </c:pt>
                <c:pt idx="292">
                  <c:v>-8.4209609034821256</c:v>
                </c:pt>
                <c:pt idx="293">
                  <c:v>-8.4116263374893663</c:v>
                </c:pt>
                <c:pt idx="294">
                  <c:v>-8.4019277070621285</c:v>
                </c:pt>
                <c:pt idx="295">
                  <c:v>-8.3919185780081307</c:v>
                </c:pt>
                <c:pt idx="296">
                  <c:v>-8.3816483160777864</c:v>
                </c:pt>
                <c:pt idx="297">
                  <c:v>-8.3711624092528041</c:v>
                </c:pt>
                <c:pt idx="298">
                  <c:v>-8.3605027639434866</c:v>
                </c:pt>
                <c:pt idx="299">
                  <c:v>-8.3497079773566441</c:v>
                </c:pt>
                <c:pt idx="300">
                  <c:v>-8.3388135880867651</c:v>
                </c:pt>
                <c:pt idx="301">
                  <c:v>-8.3278523067923516</c:v>
                </c:pt>
                <c:pt idx="302">
                  <c:v>-8.3168542286501577</c:v>
                </c:pt>
                <c:pt idx="303">
                  <c:v>-8.305847029124692</c:v>
                </c:pt>
                <c:pt idx="304">
                  <c:v>-8.2948561444524387</c:v>
                </c:pt>
                <c:pt idx="305">
                  <c:v>-8.2839049381139773</c:v>
                </c:pt>
                <c:pt idx="306">
                  <c:v>-8.2730148544537769</c:v>
                </c:pt>
                <c:pt idx="307">
                  <c:v>-8.2622055605050093</c:v>
                </c:pt>
                <c:pt idx="308">
                  <c:v>-8.2514950769829625</c:v>
                </c:pt>
                <c:pt idx="309">
                  <c:v>-8.2408998993274736</c:v>
                </c:pt>
                <c:pt idx="310">
                  <c:v>-8.2304351095968684</c:v>
                </c:pt>
                <c:pt idx="311">
                  <c:v>-8.2201144799483927</c:v>
                </c:pt>
                <c:pt idx="312">
                  <c:v>-8.2099505683755183</c:v>
                </c:pt>
                <c:pt idx="313">
                  <c:v>-8.1999548073160042</c:v>
                </c:pt>
                <c:pt idx="314">
                  <c:v>-8.190137585693293</c:v>
                </c:pt>
                <c:pt idx="315">
                  <c:v>-8.1805083249053894</c:v>
                </c:pt>
                <c:pt idx="316">
                  <c:v>-8.1710755492324836</c:v>
                </c:pt>
                <c:pt idx="317">
                  <c:v>-8.1618469510965781</c:v>
                </c:pt>
                <c:pt idx="318">
                  <c:v>-8.1528294515694313</c:v>
                </c:pt>
                <c:pt idx="319">
                  <c:v>-8.1440292564922458</c:v>
                </c:pt>
                <c:pt idx="320">
                  <c:v>-8.1354519085432173</c:v>
                </c:pt>
                <c:pt idx="321">
                  <c:v>-8.1271023355579644</c:v>
                </c:pt>
                <c:pt idx="322">
                  <c:v>-8.1189848953873422</c:v>
                </c:pt>
                <c:pt idx="323">
                  <c:v>-8.1111034175514192</c:v>
                </c:pt>
                <c:pt idx="324">
                  <c:v>-8.1034612419287271</c:v>
                </c:pt>
                <c:pt idx="325">
                  <c:v>-8.096061254701425</c:v>
                </c:pt>
                <c:pt idx="326">
                  <c:v>-8.088905921758851</c:v>
                </c:pt>
                <c:pt idx="327">
                  <c:v>-8.0819973197463639</c:v>
                </c:pt>
                <c:pt idx="328">
                  <c:v>-8.0753371649319092</c:v>
                </c:pt>
                <c:pt idx="329">
                  <c:v>-8.0689268400491869</c:v>
                </c:pt>
                <c:pt idx="330">
                  <c:v>-8.0627674192644747</c:v>
                </c:pt>
                <c:pt idx="331">
                  <c:v>-8.0568596914016837</c:v>
                </c:pt>
                <c:pt idx="332">
                  <c:v>-8.0512041815518671</c:v>
                </c:pt>
                <c:pt idx="333">
                  <c:v>-8.04580117118212</c:v>
                </c:pt>
                <c:pt idx="334">
                  <c:v>-8.040650716850962</c:v>
                </c:pt>
                <c:pt idx="335">
                  <c:v>-8.0357526676287137</c:v>
                </c:pt>
                <c:pt idx="336">
                  <c:v>-8.0311066813151228</c:v>
                </c:pt>
                <c:pt idx="337">
                  <c:v>-8.0267122395380568</c:v>
                </c:pt>
                <c:pt idx="338">
                  <c:v>-8.022568661812187</c:v>
                </c:pt>
                <c:pt idx="339">
                  <c:v>-8.0186751186301422</c:v>
                </c:pt>
                <c:pt idx="340">
                  <c:v>-8.0150306436532333</c:v>
                </c:pt>
                <c:pt idx="341">
                  <c:v>-8.0116341450645621</c:v>
                </c:pt>
                <c:pt idx="342">
                  <c:v>-8.0084844161420108</c:v>
                </c:pt>
                <c:pt idx="343">
                  <c:v>-8.0055801451048865</c:v>
                </c:pt>
                <c:pt idx="344">
                  <c:v>-8.002919924284015</c:v>
                </c:pt>
                <c:pt idx="345">
                  <c:v>-8.0005022586619532</c:v>
                </c:pt>
                <c:pt idx="346">
                  <c:v>-7.9983255738253263</c:v>
                </c:pt>
                <c:pt idx="347">
                  <c:v>-7.9963882233701895</c:v>
                </c:pt>
                <c:pt idx="348">
                  <c:v>-7.994688495796936</c:v>
                </c:pt>
                <c:pt idx="349">
                  <c:v>-7.993224620929368</c:v>
                </c:pt>
                <c:pt idx="350">
                  <c:v>-7.9919947758898502</c:v>
                </c:pt>
                <c:pt idx="351">
                  <c:v>-7.9909970906608123</c:v>
                </c:pt>
                <c:pt idx="352">
                  <c:v>-7.990229653259604</c:v>
                </c:pt>
                <c:pt idx="353">
                  <c:v>-7.9896905145532742</c:v>
                </c:pt>
                <c:pt idx="354">
                  <c:v>-7.9893776927368947</c:v>
                </c:pt>
                <c:pt idx="355">
                  <c:v>-7.9892891774976533</c:v>
                </c:pt>
                <c:pt idx="356">
                  <c:v>-7.9894229338863454</c:v>
                </c:pt>
                <c:pt idx="357">
                  <c:v>-7.989776905914681</c:v>
                </c:pt>
                <c:pt idx="358">
                  <c:v>-7.990349019897252</c:v>
                </c:pt>
                <c:pt idx="359">
                  <c:v>-7.9911371875548696</c:v>
                </c:pt>
                <c:pt idx="360">
                  <c:v>-7.9921393088948491</c:v>
                </c:pt>
                <c:pt idx="361">
                  <c:v>-7.9933532748832192</c:v>
                </c:pt>
                <c:pt idx="362">
                  <c:v>-7.994776969922043</c:v>
                </c:pt>
                <c:pt idx="363">
                  <c:v>-7.9964082741455229</c:v>
                </c:pt>
                <c:pt idx="364">
                  <c:v>-7.9982450655457455</c:v>
                </c:pt>
                <c:pt idx="365">
                  <c:v>-8.0002852219404303</c:v>
                </c:pt>
                <c:pt idx="366">
                  <c:v>-8.002526622791521</c:v>
                </c:pt>
                <c:pt idx="367">
                  <c:v>-8.0049671508863014</c:v>
                </c:pt>
                <c:pt idx="368">
                  <c:v>-8.0076046938882257</c:v>
                </c:pt>
                <c:pt idx="369">
                  <c:v>-8.0104371457671846</c:v>
                </c:pt>
                <c:pt idx="370">
                  <c:v>-8.0134624081168795</c:v>
                </c:pt>
                <c:pt idx="371">
                  <c:v>-8.016678391366014</c:v>
                </c:pt>
                <c:pt idx="372">
                  <c:v>-8.0200830158917427</c:v>
                </c:pt>
                <c:pt idx="373">
                  <c:v>-8.0236742130398113</c:v>
                </c:pt>
                <c:pt idx="374">
                  <c:v>-8.0274499260597452</c:v>
                </c:pt>
                <c:pt idx="375">
                  <c:v>-8.0314081109584095</c:v>
                </c:pt>
                <c:pt idx="376">
                  <c:v>-8.0355467372795317</c:v>
                </c:pt>
                <c:pt idx="377">
                  <c:v>-8.0398637888121982</c:v>
                </c:pt>
                <c:pt idx="378">
                  <c:v>-8.0443572642343213</c:v>
                </c:pt>
                <c:pt idx="379">
                  <c:v>-8.0490251776944888</c:v>
                </c:pt>
                <c:pt idx="380">
                  <c:v>-8.0538655593373392</c:v>
                </c:pt>
                <c:pt idx="381">
                  <c:v>-8.0588764557747652</c:v>
                </c:pt>
                <c:pt idx="382">
                  <c:v>-8.0640559305083173</c:v>
                </c:pt>
                <c:pt idx="383">
                  <c:v>-8.0694020643044269</c:v>
                </c:pt>
                <c:pt idx="384">
                  <c:v>-8.0749129555267984</c:v>
                </c:pt>
                <c:pt idx="385">
                  <c:v>-8.0805867204283288</c:v>
                </c:pt>
                <c:pt idx="386">
                  <c:v>-8.0864214934054246</c:v>
                </c:pt>
                <c:pt idx="387">
                  <c:v>-8.0924154272173894</c:v>
                </c:pt>
                <c:pt idx="388">
                  <c:v>-8.0985666931730975</c:v>
                </c:pt>
                <c:pt idx="389">
                  <c:v>-8.1048734812872567</c:v>
                </c:pt>
                <c:pt idx="390">
                  <c:v>-8.1113340004086467</c:v>
                </c:pt>
                <c:pt idx="391">
                  <c:v>-8.1179464783218691</c:v>
                </c:pt>
                <c:pt idx="392">
                  <c:v>-8.1247091618246259</c:v>
                </c:pt>
                <c:pt idx="393">
                  <c:v>-8.131620316782886</c:v>
                </c:pt>
                <c:pt idx="394">
                  <c:v>-8.1386782281641388</c:v>
                </c:pt>
                <c:pt idx="395">
                  <c:v>-8.1458812000517185</c:v>
                </c:pt>
                <c:pt idx="396">
                  <c:v>-8.1532275556411378</c:v>
                </c:pt>
                <c:pt idx="397">
                  <c:v>-8.1607156372189991</c:v>
                </c:pt>
                <c:pt idx="398">
                  <c:v>-8.1683438061272113</c:v>
                </c:pt>
                <c:pt idx="399">
                  <c:v>-8.1761104427122859</c:v>
                </c:pt>
                <c:pt idx="400">
                  <c:v>-8.1840139462617572</c:v>
                </c:pt>
                <c:pt idx="401">
                  <c:v>-8.1920527349282679</c:v>
                </c:pt>
                <c:pt idx="402">
                  <c:v>-8.2002252456424287</c:v>
                </c:pt>
                <c:pt idx="403">
                  <c:v>-8.208529934015445</c:v>
                </c:pt>
                <c:pt idx="404">
                  <c:v>-8.2169652742321659</c:v>
                </c:pt>
                <c:pt idx="405">
                  <c:v>-8.2255297589355223</c:v>
                </c:pt>
                <c:pt idx="406">
                  <c:v>-8.2342218991030336</c:v>
                </c:pt>
                <c:pt idx="407">
                  <c:v>-8.2430402239160401</c:v>
                </c:pt>
                <c:pt idx="408">
                  <c:v>-8.251983280622369</c:v>
                </c:pt>
                <c:pt idx="409">
                  <c:v>-8.2610496343929753</c:v>
                </c:pt>
                <c:pt idx="410">
                  <c:v>-8.2702378681732398</c:v>
                </c:pt>
                <c:pt idx="411">
                  <c:v>-8.2795465825293206</c:v>
                </c:pt>
                <c:pt idx="412">
                  <c:v>-8.288974395490186</c:v>
                </c:pt>
                <c:pt idx="413">
                  <c:v>-8.2985199423855818</c:v>
                </c:pt>
                <c:pt idx="414">
                  <c:v>-8.3081818756807309</c:v>
                </c:pt>
                <c:pt idx="415">
                  <c:v>-8.3179588648079346</c:v>
                </c:pt>
                <c:pt idx="416">
                  <c:v>-8.3278495959951044</c:v>
                </c:pt>
                <c:pt idx="417">
                  <c:v>-8.3378527720925604</c:v>
                </c:pt>
                <c:pt idx="418">
                  <c:v>-8.3479671123972423</c:v>
                </c:pt>
                <c:pt idx="419">
                  <c:v>-8.3581913524756715</c:v>
                </c:pt>
                <c:pt idx="420">
                  <c:v>-8.3685242439850072</c:v>
                </c:pt>
                <c:pt idx="421">
                  <c:v>-8.3789645544935354</c:v>
                </c:pt>
                <c:pt idx="422">
                  <c:v>-8.3895110672998214</c:v>
                </c:pt>
                <c:pt idx="423">
                  <c:v>-8.400162581251152</c:v>
                </c:pt>
                <c:pt idx="424">
                  <c:v>-8.4109179105620626</c:v>
                </c:pt>
                <c:pt idx="425">
                  <c:v>-8.4217758846318702</c:v>
                </c:pt>
                <c:pt idx="426">
                  <c:v>-8.432735347862689</c:v>
                </c:pt>
                <c:pt idx="427">
                  <c:v>-8.443795159477304</c:v>
                </c:pt>
                <c:pt idx="428">
                  <c:v>-8.4549541933375565</c:v>
                </c:pt>
                <c:pt idx="429">
                  <c:v>-8.4662113377624451</c:v>
                </c:pt>
                <c:pt idx="430">
                  <c:v>-8.4775654953479318</c:v>
                </c:pt>
                <c:pt idx="431">
                  <c:v>-8.4890155827862372</c:v>
                </c:pt>
                <c:pt idx="432">
                  <c:v>-8.5005605306868119</c:v>
                </c:pt>
                <c:pt idx="433">
                  <c:v>-8.5121992833975355</c:v>
                </c:pt>
                <c:pt idx="434">
                  <c:v>-8.5239307988275925</c:v>
                </c:pt>
                <c:pt idx="435">
                  <c:v>-8.5357540482707179</c:v>
                </c:pt>
                <c:pt idx="436">
                  <c:v>-8.5476680162302614</c:v>
                </c:pt>
                <c:pt idx="437">
                  <c:v>-8.5596717002449054</c:v>
                </c:pt>
                <c:pt idx="438">
                  <c:v>-8.5717641107163161</c:v>
                </c:pt>
                <c:pt idx="439">
                  <c:v>-8.5839442707376179</c:v>
                </c:pt>
                <c:pt idx="440">
                  <c:v>-8.596211215923546</c:v>
                </c:pt>
                <c:pt idx="441">
                  <c:v>-8.6085639942423029</c:v>
                </c:pt>
                <c:pt idx="442">
                  <c:v>-8.6210016658484676</c:v>
                </c:pt>
                <c:pt idx="443">
                  <c:v>-8.6335233029179221</c:v>
                </c:pt>
                <c:pt idx="444">
                  <c:v>-8.6461279894840857</c:v>
                </c:pt>
                <c:pt idx="445">
                  <c:v>-8.6588148212760245</c:v>
                </c:pt>
                <c:pt idx="446">
                  <c:v>-8.6715829055580684</c:v>
                </c:pt>
                <c:pt idx="447">
                  <c:v>-8.6844313609712174</c:v>
                </c:pt>
                <c:pt idx="448">
                  <c:v>-8.6973593173763106</c:v>
                </c:pt>
                <c:pt idx="449">
                  <c:v>-8.7103659156988158</c:v>
                </c:pt>
                <c:pt idx="450">
                  <c:v>-8.7234503077753516</c:v>
                </c:pt>
                <c:pt idx="451">
                  <c:v>-8.7366116562023137</c:v>
                </c:pt>
                <c:pt idx="452">
                  <c:v>-8.7498491341859506</c:v>
                </c:pt>
                <c:pt idx="453">
                  <c:v>-8.76316192539403</c:v>
                </c:pt>
                <c:pt idx="454">
                  <c:v>-8.7765492238101785</c:v>
                </c:pt>
                <c:pt idx="455">
                  <c:v>-8.7900102335888732</c:v>
                </c:pt>
                <c:pt idx="456">
                  <c:v>-8.8035441689131062</c:v>
                </c:pt>
                <c:pt idx="457">
                  <c:v>-8.8171502538534696</c:v>
                </c:pt>
                <c:pt idx="458">
                  <c:v>-8.8308277222291736</c:v>
                </c:pt>
                <c:pt idx="459">
                  <c:v>-8.8445758174706839</c:v>
                </c:pt>
                <c:pt idx="460">
                  <c:v>-8.8583937924843781</c:v>
                </c:pt>
                <c:pt idx="461">
                  <c:v>-8.8722809095188495</c:v>
                </c:pt>
                <c:pt idx="462">
                  <c:v>-8.8862364400330307</c:v>
                </c:pt>
                <c:pt idx="463">
                  <c:v>-8.9002596645660503</c:v>
                </c:pt>
                <c:pt idx="464">
                  <c:v>-8.9143498726088808</c:v>
                </c:pt>
                <c:pt idx="465">
                  <c:v>-8.9285063624778616</c:v>
                </c:pt>
                <c:pt idx="466">
                  <c:v>-8.9427284411895869</c:v>
                </c:pt>
                <c:pt idx="467">
                  <c:v>-8.9570154243380671</c:v>
                </c:pt>
                <c:pt idx="468">
                  <c:v>-8.9713666359730269</c:v>
                </c:pt>
                <c:pt idx="469">
                  <c:v>-8.9857814084802783</c:v>
                </c:pt>
                <c:pt idx="470">
                  <c:v>-9.0002590824639412</c:v>
                </c:pt>
                <c:pt idx="471">
                  <c:v>-9.0147990066296018</c:v>
                </c:pt>
                <c:pt idx="472">
                  <c:v>-9.0294005376700284</c:v>
                </c:pt>
                <c:pt idx="473">
                  <c:v>-9.0440630401518263</c:v>
                </c:pt>
                <c:pt idx="474">
                  <c:v>-9.0587858864040811</c:v>
                </c:pt>
                <c:pt idx="475">
                  <c:v>-9.0735684564086512</c:v>
                </c:pt>
                <c:pt idx="476">
                  <c:v>-9.0884101376916533</c:v>
                </c:pt>
                <c:pt idx="477">
                  <c:v>-9.1033103252170235</c:v>
                </c:pt>
                <c:pt idx="478">
                  <c:v>-9.1182684212813285</c:v>
                </c:pt>
                <c:pt idx="479">
                  <c:v>-9.1332838354100261</c:v>
                </c:pt>
                <c:pt idx="480">
                  <c:v>-9.1483559842558009</c:v>
                </c:pt>
                <c:pt idx="481">
                  <c:v>-9.1634842914974683</c:v>
                </c:pt>
                <c:pt idx="482">
                  <c:v>-9.178668187741323</c:v>
                </c:pt>
                <c:pt idx="483">
                  <c:v>-9.193907110423396</c:v>
                </c:pt>
                <c:pt idx="484">
                  <c:v>-9.2092005037132196</c:v>
                </c:pt>
                <c:pt idx="485">
                  <c:v>-9.2245478184192393</c:v>
                </c:pt>
                <c:pt idx="486">
                  <c:v>-9.2399485118954487</c:v>
                </c:pt>
                <c:pt idx="487">
                  <c:v>-9.2554020479493317</c:v>
                </c:pt>
                <c:pt idx="488">
                  <c:v>-9.2709078967514529</c:v>
                </c:pt>
                <c:pt idx="489">
                  <c:v>-9.286465534746327</c:v>
                </c:pt>
                <c:pt idx="490">
                  <c:v>-9.3020744445643118</c:v>
                </c:pt>
                <c:pt idx="491">
                  <c:v>-9.3177341149353481</c:v>
                </c:pt>
                <c:pt idx="492">
                  <c:v>-9.3334440406035242</c:v>
                </c:pt>
                <c:pt idx="493">
                  <c:v>-9.34920372224326</c:v>
                </c:pt>
                <c:pt idx="494">
                  <c:v>-9.3650126663765718</c:v>
                </c:pt>
                <c:pt idx="495">
                  <c:v>-9.3808703852915585</c:v>
                </c:pt>
                <c:pt idx="496">
                  <c:v>-9.3967763969622808</c:v>
                </c:pt>
                <c:pt idx="497">
                  <c:v>-9.4127302249698346</c:v>
                </c:pt>
                <c:pt idx="498">
                  <c:v>-9.4287313984243895</c:v>
                </c:pt>
                <c:pt idx="499">
                  <c:v>-9.4447794518886496</c:v>
                </c:pt>
                <c:pt idx="500">
                  <c:v>-9.4608739253024794</c:v>
                </c:pt>
                <c:pt idx="501">
                  <c:v>-9.4770143639083813</c:v>
                </c:pt>
                <c:pt idx="502">
                  <c:v>-9.4932003181784808</c:v>
                </c:pt>
                <c:pt idx="503">
                  <c:v>-9.5094313437423921</c:v>
                </c:pt>
                <c:pt idx="504">
                  <c:v>-9.525707001316249</c:v>
                </c:pt>
                <c:pt idx="505">
                  <c:v>-9.5420268566327309</c:v>
                </c:pt>
                <c:pt idx="506">
                  <c:v>-9.5583904803722533</c:v>
                </c:pt>
                <c:pt idx="507">
                  <c:v>-9.5747974480952109</c:v>
                </c:pt>
                <c:pt idx="508">
                  <c:v>-9.5912473401750447</c:v>
                </c:pt>
                <c:pt idx="509">
                  <c:v>-9.6077397417327859</c:v>
                </c:pt>
                <c:pt idx="510">
                  <c:v>-9.6242742425719143</c:v>
                </c:pt>
                <c:pt idx="511">
                  <c:v>-9.6408504371148069</c:v>
                </c:pt>
                <c:pt idx="512">
                  <c:v>-9.6574679243398975</c:v>
                </c:pt>
                <c:pt idx="513">
                  <c:v>-9.6741263077197743</c:v>
                </c:pt>
                <c:pt idx="514">
                  <c:v>-9.6908251951603006</c:v>
                </c:pt>
                <c:pt idx="515">
                  <c:v>-9.7075641989404176</c:v>
                </c:pt>
                <c:pt idx="516">
                  <c:v>-9.7243429356534534</c:v>
                </c:pt>
                <c:pt idx="517">
                  <c:v>-9.7411610261484611</c:v>
                </c:pt>
                <c:pt idx="518">
                  <c:v>-9.7580180954732043</c:v>
                </c:pt>
                <c:pt idx="519">
                  <c:v>-9.7749137728175981</c:v>
                </c:pt>
                <c:pt idx="520">
                  <c:v>-9.7918476914581447</c:v>
                </c:pt>
                <c:pt idx="521">
                  <c:v>-9.8088194887030795</c:v>
                </c:pt>
                <c:pt idx="522">
                  <c:v>-9.8258288058385403</c:v>
                </c:pt>
                <c:pt idx="523">
                  <c:v>-9.8428752880754473</c:v>
                </c:pt>
                <c:pt idx="524">
                  <c:v>-9.8599585844970363</c:v>
                </c:pt>
                <c:pt idx="525">
                  <c:v>-9.8770783480075295</c:v>
                </c:pt>
                <c:pt idx="526">
                  <c:v>-9.8942342352812318</c:v>
                </c:pt>
                <c:pt idx="527">
                  <c:v>-9.9114259067125658</c:v>
                </c:pt>
                <c:pt idx="528">
                  <c:v>-9.9286530263668169</c:v>
                </c:pt>
                <c:pt idx="529">
                  <c:v>-9.9459152619317308</c:v>
                </c:pt>
                <c:pt idx="530">
                  <c:v>-9.9632122846695381</c:v>
                </c:pt>
                <c:pt idx="531">
                  <c:v>-9.9805437693700298</c:v>
                </c:pt>
                <c:pt idx="532">
                  <c:v>-9.9979093943042301</c:v>
                </c:pt>
                <c:pt idx="533">
                  <c:v>-10.015308841178637</c:v>
                </c:pt>
                <c:pt idx="534">
                  <c:v>-10.032741795090175</c:v>
                </c:pt>
                <c:pt idx="535">
                  <c:v>-10.050207944481997</c:v>
                </c:pt>
                <c:pt idx="536">
                  <c:v>-10.067706981099889</c:v>
                </c:pt>
                <c:pt idx="537">
                  <c:v>-10.085238599949122</c:v>
                </c:pt>
                <c:pt idx="538">
                  <c:v>-10.10280249925205</c:v>
                </c:pt>
                <c:pt idx="539">
                  <c:v>-10.120398380406556</c:v>
                </c:pt>
                <c:pt idx="540">
                  <c:v>-10.138025947944755</c:v>
                </c:pt>
                <c:pt idx="541">
                  <c:v>-10.15568490949272</c:v>
                </c:pt>
                <c:pt idx="542">
                  <c:v>-10.173374975730184</c:v>
                </c:pt>
                <c:pt idx="543">
                  <c:v>-10.191095860351595</c:v>
                </c:pt>
                <c:pt idx="544">
                  <c:v>-10.208847280027157</c:v>
                </c:pt>
                <c:pt idx="545">
                  <c:v>-10.22662895436477</c:v>
                </c:pt>
                <c:pt idx="546">
                  <c:v>-10.244440605872398</c:v>
                </c:pt>
                <c:pt idx="547">
                  <c:v>-10.262281959920898</c:v>
                </c:pt>
                <c:pt idx="548">
                  <c:v>-10.280152744707664</c:v>
                </c:pt>
                <c:pt idx="549">
                  <c:v>-10.29805269122059</c:v>
                </c:pt>
                <c:pt idx="550">
                  <c:v>-10.315981533202603</c:v>
                </c:pt>
                <c:pt idx="551">
                  <c:v>-10.333939007116754</c:v>
                </c:pt>
                <c:pt idx="552">
                  <c:v>-10.35192485211175</c:v>
                </c:pt>
                <c:pt idx="553">
                  <c:v>-10.369938809988184</c:v>
                </c:pt>
                <c:pt idx="554">
                  <c:v>-10.387980625164772</c:v>
                </c:pt>
                <c:pt idx="555">
                  <c:v>-10.406050044645809</c:v>
                </c:pt>
                <c:pt idx="556">
                  <c:v>-10.424146817988515</c:v>
                </c:pt>
                <c:pt idx="557">
                  <c:v>-10.44227069727097</c:v>
                </c:pt>
                <c:pt idx="558">
                  <c:v>-10.460421437060774</c:v>
                </c:pt>
                <c:pt idx="559">
                  <c:v>-10.478598794383771</c:v>
                </c:pt>
                <c:pt idx="560">
                  <c:v>-10.496802528693593</c:v>
                </c:pt>
                <c:pt idx="561">
                  <c:v>-10.515032401841324</c:v>
                </c:pt>
                <c:pt idx="562">
                  <c:v>-10.533288178045979</c:v>
                </c:pt>
                <c:pt idx="563">
                  <c:v>-10.55156962386485</c:v>
                </c:pt>
                <c:pt idx="564">
                  <c:v>-10.569876508164924</c:v>
                </c:pt>
                <c:pt idx="565">
                  <c:v>-10.588208602094198</c:v>
                </c:pt>
                <c:pt idx="566">
                  <c:v>-10.606565679053688</c:v>
                </c:pt>
                <c:pt idx="567">
                  <c:v>-10.624947514669657</c:v>
                </c:pt>
                <c:pt idx="568">
                  <c:v>-10.64335388676642</c:v>
                </c:pt>
                <c:pt idx="569">
                  <c:v>-10.66178457533951</c:v>
                </c:pt>
                <c:pt idx="570">
                  <c:v>-10.680239362528994</c:v>
                </c:pt>
                <c:pt idx="571">
                  <c:v>-10.698718032593348</c:v>
                </c:pt>
                <c:pt idx="572">
                  <c:v>-10.717220371883826</c:v>
                </c:pt>
                <c:pt idx="573">
                  <c:v>-10.735746168819048</c:v>
                </c:pt>
                <c:pt idx="574">
                  <c:v>-10.754295213859734</c:v>
                </c:pt>
                <c:pt idx="575">
                  <c:v>-10.772867299484318</c:v>
                </c:pt>
                <c:pt idx="576">
                  <c:v>-10.791462220164334</c:v>
                </c:pt>
                <c:pt idx="577">
                  <c:v>-10.810079772340657</c:v>
                </c:pt>
                <c:pt idx="578">
                  <c:v>-10.828719754399629</c:v>
                </c:pt>
                <c:pt idx="579">
                  <c:v>-10.847381966649749</c:v>
                </c:pt>
                <c:pt idx="580">
                  <c:v>-10.866066211298886</c:v>
                </c:pt>
                <c:pt idx="581">
                  <c:v>-10.884772292431308</c:v>
                </c:pt>
                <c:pt idx="582">
                  <c:v>-10.903500015985486</c:v>
                </c:pt>
                <c:pt idx="583">
                  <c:v>-10.922249189731957</c:v>
                </c:pt>
                <c:pt idx="584">
                  <c:v>-10.941019623251606</c:v>
                </c:pt>
                <c:pt idx="585">
                  <c:v>-10.959811127914236</c:v>
                </c:pt>
                <c:pt idx="586">
                  <c:v>-10.978623516857283</c:v>
                </c:pt>
                <c:pt idx="587">
                  <c:v>-10.997456604965208</c:v>
                </c:pt>
                <c:pt idx="588">
                  <c:v>-11.016310208848637</c:v>
                </c:pt>
                <c:pt idx="589">
                  <c:v>-11.035184146824292</c:v>
                </c:pt>
                <c:pt idx="590">
                  <c:v>-11.054078238894846</c:v>
                </c:pt>
                <c:pt idx="591">
                  <c:v>-11.072992306729191</c:v>
                </c:pt>
                <c:pt idx="592">
                  <c:v>-11.091926173643031</c:v>
                </c:pt>
                <c:pt idx="593">
                  <c:v>-11.110879664579784</c:v>
                </c:pt>
                <c:pt idx="594">
                  <c:v>-11.129852606091276</c:v>
                </c:pt>
                <c:pt idx="595">
                  <c:v>-11.148844826319532</c:v>
                </c:pt>
                <c:pt idx="596">
                  <c:v>-11.167856154978068</c:v>
                </c:pt>
                <c:pt idx="597">
                  <c:v>-11.186886423333647</c:v>
                </c:pt>
                <c:pt idx="598">
                  <c:v>-11.205935464188656</c:v>
                </c:pt>
                <c:pt idx="599">
                  <c:v>-11.22500311186306</c:v>
                </c:pt>
                <c:pt idx="600">
                  <c:v>-11.244089202177321</c:v>
                </c:pt>
                <c:pt idx="601">
                  <c:v>-11.263193572434801</c:v>
                </c:pt>
                <c:pt idx="602">
                  <c:v>-11.282316061405169</c:v>
                </c:pt>
                <c:pt idx="603">
                  <c:v>-11.301456509307428</c:v>
                </c:pt>
                <c:pt idx="604">
                  <c:v>-11.32061475779318</c:v>
                </c:pt>
                <c:pt idx="605">
                  <c:v>-11.339790649930961</c:v>
                </c:pt>
                <c:pt idx="606">
                  <c:v>-12.317981672667798</c:v>
                </c:pt>
                <c:pt idx="607">
                  <c:v>-13.32458744167829</c:v>
                </c:pt>
                <c:pt idx="608">
                  <c:v>-14.34888436104518</c:v>
                </c:pt>
                <c:pt idx="609">
                  <c:v>-15.383373261476891</c:v>
                </c:pt>
                <c:pt idx="610">
                  <c:v>-16.422606484803509</c:v>
                </c:pt>
                <c:pt idx="611">
                  <c:v>-17.46249719219756</c:v>
                </c:pt>
                <c:pt idx="612">
                  <c:v>-18.499895622165582</c:v>
                </c:pt>
                <c:pt idx="613">
                  <c:v>-19.532319615029706</c:v>
                </c:pt>
                <c:pt idx="614">
                  <c:v>-20.557777693444962</c:v>
                </c:pt>
                <c:pt idx="615">
                  <c:v>-21.574649523639977</c:v>
                </c:pt>
                <c:pt idx="616">
                  <c:v>-22.581602986802835</c:v>
                </c:pt>
                <c:pt idx="617">
                  <c:v>-23.577535207931987</c:v>
                </c:pt>
                <c:pt idx="618">
                  <c:v>-23.988906975363079</c:v>
                </c:pt>
                <c:pt idx="619">
                  <c:v>-24.397845726207777</c:v>
                </c:pt>
                <c:pt idx="620">
                  <c:v>-24.804332031640428</c:v>
                </c:pt>
                <c:pt idx="621">
                  <c:v>-25.208347637286153</c:v>
                </c:pt>
                <c:pt idx="622">
                  <c:v>-25.609875453489167</c:v>
                </c:pt>
                <c:pt idx="623">
                  <c:v>-26.008899543738011</c:v>
                </c:pt>
                <c:pt idx="624">
                  <c:v>-26.405405111453433</c:v>
                </c:pt>
                <c:pt idx="625">
                  <c:v>-26.799378485322336</c:v>
                </c:pt>
                <c:pt idx="626">
                  <c:v>-27.190807103337647</c:v>
                </c:pt>
                <c:pt idx="627">
                  <c:v>-27.579679495689504</c:v>
                </c:pt>
                <c:pt idx="628">
                  <c:v>-27.965985266635187</c:v>
                </c:pt>
                <c:pt idx="629">
                  <c:v>-28.349715075466719</c:v>
                </c:pt>
                <c:pt idx="630">
                  <c:v>-28.730860616681582</c:v>
                </c:pt>
                <c:pt idx="631">
                  <c:v>-29.109414599453913</c:v>
                </c:pt>
                <c:pt idx="632">
                  <c:v>-29.485370726496569</c:v>
                </c:pt>
                <c:pt idx="633">
                  <c:v>-29.858723672396081</c:v>
                </c:pt>
                <c:pt idx="634">
                  <c:v>-30.229469061496388</c:v>
                </c:pt>
                <c:pt idx="635">
                  <c:v>-30.597603445404587</c:v>
                </c:pt>
                <c:pt idx="636">
                  <c:v>-30.963124280181859</c:v>
                </c:pt>
                <c:pt idx="637">
                  <c:v>-31.326029903283228</c:v>
                </c:pt>
                <c:pt idx="638">
                  <c:v>-31.686319510303179</c:v>
                </c:pt>
                <c:pt idx="639">
                  <c:v>-32.043993131580095</c:v>
                </c:pt>
                <c:pt idx="640">
                  <c:v>-32.399051608710209</c:v>
                </c:pt>
                <c:pt idx="641">
                  <c:v>-32.751496571018237</c:v>
                </c:pt>
                <c:pt idx="642">
                  <c:v>-33.101330412027039</c:v>
                </c:pt>
                <c:pt idx="643">
                  <c:v>-33.448556265968733</c:v>
                </c:pt>
                <c:pt idx="644">
                  <c:v>-33.793177984373926</c:v>
                </c:pt>
                <c:pt idx="645">
                  <c:v>-34.135200112775095</c:v>
                </c:pt>
                <c:pt idx="646">
                  <c:v>-34.474627867557246</c:v>
                </c:pt>
                <c:pt idx="647">
                  <c:v>-34.811467112985156</c:v>
                </c:pt>
                <c:pt idx="648">
                  <c:v>-35.145724338436821</c:v>
                </c:pt>
                <c:pt idx="649">
                  <c:v>-35.477406635867965</c:v>
                </c:pt>
                <c:pt idx="650">
                  <c:v>-35.806521677532487</c:v>
                </c:pt>
                <c:pt idx="651">
                  <c:v>-36.133077693980312</c:v>
                </c:pt>
                <c:pt idx="652">
                  <c:v>-36.457083452352407</c:v>
                </c:pt>
                <c:pt idx="653">
                  <c:v>-36.778548234992087</c:v>
                </c:pt>
                <c:pt idx="654">
                  <c:v>-37.097481818388502</c:v>
                </c:pt>
                <c:pt idx="655">
                  <c:v>-37.413894452467218</c:v>
                </c:pt>
                <c:pt idx="656">
                  <c:v>-37.727796840241467</c:v>
                </c:pt>
                <c:pt idx="657">
                  <c:v>-38.039200117835804</c:v>
                </c:pt>
                <c:pt idx="658">
                  <c:v>-38.348115834892184</c:v>
                </c:pt>
                <c:pt idx="659">
                  <c:v>-38.654555935368165</c:v>
                </c:pt>
                <c:pt idx="660">
                  <c:v>-38.958532738734334</c:v>
                </c:pt>
                <c:pt idx="661">
                  <c:v>-39.260058921577894</c:v>
                </c:pt>
                <c:pt idx="662">
                  <c:v>-39.559147499617637</c:v>
                </c:pt>
                <c:pt idx="663">
                  <c:v>-39.855811810134639</c:v>
                </c:pt>
                <c:pt idx="664">
                  <c:v>-40.150065494821774</c:v>
                </c:pt>
                <c:pt idx="665">
                  <c:v>-40.441922483054867</c:v>
                </c:pt>
                <c:pt idx="666">
                  <c:v>-40.731396975586051</c:v>
                </c:pt>
                <c:pt idx="667">
                  <c:v>-41.018503428660637</c:v>
                </c:pt>
              </c:numCache>
            </c:numRef>
          </c:yVal>
          <c:smooth val="0"/>
          <c:extLst>
            <c:ext xmlns:c16="http://schemas.microsoft.com/office/drawing/2014/chart" uri="{C3380CC4-5D6E-409C-BE32-E72D297353CC}">
              <c16:uniqueId val="{00000003-C323-45F5-AD89-2A9969707A73}"/>
            </c:ext>
          </c:extLst>
        </c:ser>
        <c:dLbls>
          <c:showLegendKey val="0"/>
          <c:showVal val="0"/>
          <c:showCatName val="0"/>
          <c:showSerName val="0"/>
          <c:showPercent val="0"/>
          <c:showBubbleSize val="0"/>
        </c:dLbls>
        <c:axId val="177428736"/>
        <c:axId val="177430528"/>
      </c:scatterChart>
      <c:valAx>
        <c:axId val="177420544"/>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8566911218015"/>
              <c:y val="0.88189196822838745"/>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6816"/>
        <c:crossesAt val="-80"/>
        <c:crossBetween val="midCat"/>
      </c:valAx>
      <c:valAx>
        <c:axId val="1774268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2.9010238907849841E-2"/>
              <c:y val="0.4409459841141904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0544"/>
        <c:crosses val="autoZero"/>
        <c:crossBetween val="midCat"/>
      </c:valAx>
      <c:valAx>
        <c:axId val="177428736"/>
        <c:scaling>
          <c:logBase val="10"/>
          <c:orientation val="minMax"/>
        </c:scaling>
        <c:delete val="1"/>
        <c:axPos val="b"/>
        <c:numFmt formatCode="General" sourceLinked="1"/>
        <c:majorTickMark val="out"/>
        <c:minorTickMark val="none"/>
        <c:tickLblPos val="none"/>
        <c:crossAx val="177430528"/>
        <c:crosses val="autoZero"/>
        <c:crossBetween val="midCat"/>
      </c:valAx>
      <c:valAx>
        <c:axId val="177430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733860059302123"/>
              <c:y val="0.36483022299377932"/>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8736"/>
        <c:crosses val="max"/>
        <c:crossBetween val="midCat"/>
      </c:valAx>
      <c:spPr>
        <a:noFill/>
        <a:ln w="12700">
          <a:solidFill>
            <a:srgbClr val="808080"/>
          </a:solidFill>
          <a:prstDash val="solid"/>
        </a:ln>
      </c:spPr>
    </c:plotArea>
    <c:legend>
      <c:legendPos val="t"/>
      <c:layout>
        <c:manualLayout>
          <c:xMode val="edge"/>
          <c:yMode val="edge"/>
          <c:x val="0.78157068250427764"/>
          <c:y val="1.3123359580052583E-2"/>
          <c:w val="0.20307185151344131"/>
          <c:h val="0.1469819028526972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a:t>
            </a:r>
          </a:p>
        </c:rich>
      </c:tx>
      <c:layout>
        <c:manualLayout>
          <c:xMode val="edge"/>
          <c:yMode val="edge"/>
          <c:x val="0.40108892921960942"/>
          <c:y val="3.3854166666666671E-2"/>
        </c:manualLayout>
      </c:layout>
      <c:overlay val="0"/>
      <c:spPr>
        <a:noFill/>
        <a:ln w="25400">
          <a:noFill/>
        </a:ln>
      </c:spPr>
    </c:title>
    <c:autoTitleDeleted val="0"/>
    <c:plotArea>
      <c:layout>
        <c:manualLayout>
          <c:layoutTarget val="inner"/>
          <c:xMode val="edge"/>
          <c:yMode val="edge"/>
          <c:x val="0.11615245009074388"/>
          <c:y val="0.20833386315374539"/>
          <c:w val="0.79128856624319865"/>
          <c:h val="0.60416820314586173"/>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60.789664437330899</c:v>
                </c:pt>
                <c:pt idx="1">
                  <c:v>56.649223228419636</c:v>
                </c:pt>
                <c:pt idx="2">
                  <c:v>53.58654984006931</c:v>
                </c:pt>
                <c:pt idx="3">
                  <c:v>51.260685592708441</c:v>
                </c:pt>
                <c:pt idx="4">
                  <c:v>49.404919234544302</c:v>
                </c:pt>
                <c:pt idx="5">
                  <c:v>47.866747726057483</c:v>
                </c:pt>
                <c:pt idx="6">
                  <c:v>46.555460968168312</c:v>
                </c:pt>
                <c:pt idx="7">
                  <c:v>45.413672716271691</c:v>
                </c:pt>
                <c:pt idx="8">
                  <c:v>44.403052275367088</c:v>
                </c:pt>
                <c:pt idx="9">
                  <c:v>43.496826700203961</c:v>
                </c:pt>
                <c:pt idx="10">
                  <c:v>37.505280584938632</c:v>
                </c:pt>
                <c:pt idx="11">
                  <c:v>33.989593685163577</c:v>
                </c:pt>
                <c:pt idx="12">
                  <c:v>31.493839666967066</c:v>
                </c:pt>
                <c:pt idx="13">
                  <c:v>29.55799300412767</c:v>
                </c:pt>
                <c:pt idx="14">
                  <c:v>27.976659768128094</c:v>
                </c:pt>
                <c:pt idx="15">
                  <c:v>26.640161057156888</c:v>
                </c:pt>
                <c:pt idx="16">
                  <c:v>25.482991044419979</c:v>
                </c:pt>
                <c:pt idx="17">
                  <c:v>24.462882496439939</c:v>
                </c:pt>
                <c:pt idx="18">
                  <c:v>23.55096904257973</c:v>
                </c:pt>
                <c:pt idx="19">
                  <c:v>17.580179534625998</c:v>
                </c:pt>
                <c:pt idx="20">
                  <c:v>14.140288147009779</c:v>
                </c:pt>
                <c:pt idx="21">
                  <c:v>11.754811191517005</c:v>
                </c:pt>
                <c:pt idx="22">
                  <c:v>9.9600093663394969</c:v>
                </c:pt>
                <c:pt idx="23">
                  <c:v>8.5483213932287168</c:v>
                </c:pt>
                <c:pt idx="24">
                  <c:v>7.408070227080672</c:v>
                </c:pt>
                <c:pt idx="25">
                  <c:v>6.4717053609391195</c:v>
                </c:pt>
                <c:pt idx="26">
                  <c:v>5.6948513690165461</c:v>
                </c:pt>
                <c:pt idx="27">
                  <c:v>5.0464988856214177</c:v>
                </c:pt>
                <c:pt idx="28">
                  <c:v>3.095080398885977</c:v>
                </c:pt>
                <c:pt idx="29">
                  <c:v>2.3959803960618311</c:v>
                </c:pt>
                <c:pt idx="30">
                  <c:v>2.3233277424020873</c:v>
                </c:pt>
                <c:pt idx="31">
                  <c:v>2.5769945701497541</c:v>
                </c:pt>
                <c:pt idx="32">
                  <c:v>3.0000935299174269</c:v>
                </c:pt>
                <c:pt idx="33">
                  <c:v>3.5074817643388294</c:v>
                </c:pt>
                <c:pt idx="34">
                  <c:v>4.0519834785239066</c:v>
                </c:pt>
                <c:pt idx="35">
                  <c:v>4.6071820551899014</c:v>
                </c:pt>
                <c:pt idx="36">
                  <c:v>5.1582929992923159</c:v>
                </c:pt>
                <c:pt idx="37">
                  <c:v>5.6971789988772858</c:v>
                </c:pt>
                <c:pt idx="38">
                  <c:v>6.2195586693817049</c:v>
                </c:pt>
                <c:pt idx="39">
                  <c:v>6.7234088877480822</c:v>
                </c:pt>
                <c:pt idx="40">
                  <c:v>7.2080326091240021</c:v>
                </c:pt>
                <c:pt idx="41">
                  <c:v>7.6735061356315057</c:v>
                </c:pt>
                <c:pt idx="42">
                  <c:v>8.1203472075480256</c:v>
                </c:pt>
                <c:pt idx="43">
                  <c:v>8.5493139689865352</c:v>
                </c:pt>
                <c:pt idx="44">
                  <c:v>8.9612827432742961</c:v>
                </c:pt>
                <c:pt idx="45">
                  <c:v>9.3571739064085868</c:v>
                </c:pt>
                <c:pt idx="46">
                  <c:v>9.7379074303018687</c:v>
                </c:pt>
                <c:pt idx="47">
                  <c:v>10.104376868426716</c:v>
                </c:pt>
                <c:pt idx="48">
                  <c:v>10.457434852095098</c:v>
                </c:pt>
                <c:pt idx="49">
                  <c:v>10.797885769205388</c:v>
                </c:pt>
                <c:pt idx="50">
                  <c:v>11.126482898183006</c:v>
                </c:pt>
                <c:pt idx="51">
                  <c:v>11.44392826689298</c:v>
                </c:pt>
                <c:pt idx="52">
                  <c:v>11.75087413430056</c:v>
                </c:pt>
                <c:pt idx="53">
                  <c:v>12.047925392031569</c:v>
                </c:pt>
                <c:pt idx="54">
                  <c:v>12.335642438990373</c:v>
                </c:pt>
                <c:pt idx="55">
                  <c:v>12.614544247301909</c:v>
                </c:pt>
                <c:pt idx="56">
                  <c:v>12.885111444762558</c:v>
                </c:pt>
                <c:pt idx="57">
                  <c:v>13.14778930833822</c:v>
                </c:pt>
                <c:pt idx="58">
                  <c:v>13.402990608179957</c:v>
                </c:pt>
                <c:pt idx="59">
                  <c:v>13.651098270595687</c:v>
                </c:pt>
                <c:pt idx="60">
                  <c:v>13.892467846906593</c:v>
                </c:pt>
                <c:pt idx="61">
                  <c:v>14.12742978671675</c:v>
                </c:pt>
                <c:pt idx="62">
                  <c:v>14.356291521191878</c:v>
                </c:pt>
                <c:pt idx="63">
                  <c:v>14.579339366039568</c:v>
                </c:pt>
                <c:pt idx="64">
                  <c:v>14.796840256041987</c:v>
                </c:pt>
                <c:pt idx="65">
                  <c:v>15.009043323903226</c:v>
                </c:pt>
                <c:pt idx="66">
                  <c:v>15.216181336294678</c:v>
                </c:pt>
                <c:pt idx="67">
                  <c:v>15.418471999617838</c:v>
                </c:pt>
                <c:pt idx="68">
                  <c:v>15.61611914735683</c:v>
                </c:pt>
                <c:pt idx="69">
                  <c:v>15.809313820095241</c:v>
                </c:pt>
                <c:pt idx="70">
                  <c:v>15.998235248409429</c:v>
                </c:pt>
                <c:pt idx="71">
                  <c:v>16.183051747978695</c:v>
                </c:pt>
                <c:pt idx="72">
                  <c:v>16.363921535404835</c:v>
                </c:pt>
                <c:pt idx="73">
                  <c:v>16.54099347243033</c:v>
                </c:pt>
                <c:pt idx="74">
                  <c:v>16.714407745495784</c:v>
                </c:pt>
                <c:pt idx="75">
                  <c:v>16.884296486888225</c:v>
                </c:pt>
                <c:pt idx="76">
                  <c:v>17.050784343103043</c:v>
                </c:pt>
                <c:pt idx="77">
                  <c:v>17.21398899547242</c:v>
                </c:pt>
                <c:pt idx="78">
                  <c:v>17.374021637598332</c:v>
                </c:pt>
                <c:pt idx="79">
                  <c:v>17.530987413665407</c:v>
                </c:pt>
                <c:pt idx="80">
                  <c:v>17.684985821293669</c:v>
                </c:pt>
                <c:pt idx="81">
                  <c:v>17.836111082219009</c:v>
                </c:pt>
                <c:pt idx="82">
                  <c:v>17.984452483756431</c:v>
                </c:pt>
                <c:pt idx="83">
                  <c:v>18.130094693703494</c:v>
                </c:pt>
                <c:pt idx="84">
                  <c:v>18.273118051075205</c:v>
                </c:pt>
                <c:pt idx="85">
                  <c:v>18.413598834824153</c:v>
                </c:pt>
                <c:pt idx="86">
                  <c:v>18.551609512486966</c:v>
                </c:pt>
                <c:pt idx="87">
                  <c:v>18.687218970508216</c:v>
                </c:pt>
                <c:pt idx="88">
                  <c:v>18.820492727823183</c:v>
                </c:pt>
                <c:pt idx="89">
                  <c:v>18.951493134128512</c:v>
                </c:pt>
                <c:pt idx="90">
                  <c:v>19.08027955413381</c:v>
                </c:pt>
                <c:pt idx="91">
                  <c:v>19.206908538965092</c:v>
                </c:pt>
                <c:pt idx="92">
                  <c:v>19.331433985781423</c:v>
                </c:pt>
                <c:pt idx="93">
                  <c:v>19.453907286567883</c:v>
                </c:pt>
                <c:pt idx="94">
                  <c:v>19.574377466979644</c:v>
                </c:pt>
                <c:pt idx="95">
                  <c:v>19.692891316032476</c:v>
                </c:pt>
                <c:pt idx="96">
                  <c:v>19.809493507363428</c:v>
                </c:pt>
                <c:pt idx="97">
                  <c:v>19.924226712721062</c:v>
                </c:pt>
                <c:pt idx="98">
                  <c:v>20.037131708286459</c:v>
                </c:pt>
                <c:pt idx="99">
                  <c:v>20.148247474373623</c:v>
                </c:pt>
                <c:pt idx="100">
                  <c:v>20.257611289010654</c:v>
                </c:pt>
                <c:pt idx="101">
                  <c:v>20.365258815859846</c:v>
                </c:pt>
                <c:pt idx="102">
                  <c:v>20.471224186896208</c:v>
                </c:pt>
                <c:pt idx="103">
                  <c:v>20.575540080228571</c:v>
                </c:pt>
                <c:pt idx="104">
                  <c:v>20.678237793415477</c:v>
                </c:pt>
                <c:pt idx="105">
                  <c:v>20.779347312598819</c:v>
                </c:pt>
                <c:pt idx="106">
                  <c:v>20.878897377751965</c:v>
                </c:pt>
                <c:pt idx="107">
                  <c:v>20.976915544315023</c:v>
                </c:pt>
                <c:pt idx="108">
                  <c:v>21.073428241467695</c:v>
                </c:pt>
                <c:pt idx="109">
                  <c:v>21.168460827270636</c:v>
                </c:pt>
                <c:pt idx="110">
                  <c:v>21.262037640887442</c:v>
                </c:pt>
                <c:pt idx="111">
                  <c:v>21.354182052083178</c:v>
                </c:pt>
                <c:pt idx="112">
                  <c:v>21.444916508179791</c:v>
                </c:pt>
                <c:pt idx="113">
                  <c:v>21.534262578634809</c:v>
                </c:pt>
                <c:pt idx="114">
                  <c:v>21.622240997397103</c:v>
                </c:pt>
                <c:pt idx="115">
                  <c:v>21.708871703181508</c:v>
                </c:pt>
                <c:pt idx="116">
                  <c:v>21.794173877793426</c:v>
                </c:pt>
                <c:pt idx="117">
                  <c:v>21.878165982624687</c:v>
                </c:pt>
                <c:pt idx="118">
                  <c:v>21.960865793432628</c:v>
                </c:pt>
                <c:pt idx="119">
                  <c:v>22.042290433506231</c:v>
                </c:pt>
                <c:pt idx="120">
                  <c:v>22.122456405315209</c:v>
                </c:pt>
                <c:pt idx="121">
                  <c:v>22.201379620730904</c:v>
                </c:pt>
                <c:pt idx="122">
                  <c:v>22.279075429901365</c:v>
                </c:pt>
                <c:pt idx="123">
                  <c:v>22.355558648856771</c:v>
                </c:pt>
                <c:pt idx="124">
                  <c:v>22.430843585915888</c:v>
                </c:pt>
                <c:pt idx="125">
                  <c:v>22.504944066959016</c:v>
                </c:pt>
                <c:pt idx="126">
                  <c:v>22.577873459628151</c:v>
                </c:pt>
                <c:pt idx="127">
                  <c:v>22.649644696510663</c:v>
                </c:pt>
                <c:pt idx="128">
                  <c:v>22.720270297358624</c:v>
                </c:pt>
                <c:pt idx="129">
                  <c:v>22.789762390392315</c:v>
                </c:pt>
                <c:pt idx="130">
                  <c:v>22.858132732732756</c:v>
                </c:pt>
                <c:pt idx="131">
                  <c:v>22.925392730004969</c:v>
                </c:pt>
                <c:pt idx="132">
                  <c:v>22.991553455150694</c:v>
                </c:pt>
                <c:pt idx="133">
                  <c:v>23.056625666486443</c:v>
                </c:pt>
                <c:pt idx="134">
                  <c:v>23.120619825040272</c:v>
                </c:pt>
                <c:pt idx="135">
                  <c:v>23.183546111198254</c:v>
                </c:pt>
                <c:pt idx="136">
                  <c:v>23.245414440689338</c:v>
                </c:pt>
                <c:pt idx="137">
                  <c:v>23.306234479935565</c:v>
                </c:pt>
                <c:pt idx="138">
                  <c:v>23.366015660792257</c:v>
                </c:pt>
                <c:pt idx="139">
                  <c:v>23.424767194701555</c:v>
                </c:pt>
                <c:pt idx="140">
                  <c:v>23.482498086280678</c:v>
                </c:pt>
                <c:pt idx="141">
                  <c:v>23.539217146365097</c:v>
                </c:pt>
                <c:pt idx="142">
                  <c:v>23.594933004525359</c:v>
                </c:pt>
                <c:pt idx="143">
                  <c:v>23.64965412107491</c:v>
                </c:pt>
                <c:pt idx="144">
                  <c:v>23.703388798585465</c:v>
                </c:pt>
                <c:pt idx="145">
                  <c:v>23.756145192925008</c:v>
                </c:pt>
                <c:pt idx="146">
                  <c:v>23.807931323832975</c:v>
                </c:pt>
                <c:pt idx="147">
                  <c:v>23.858755085045921</c:v>
                </c:pt>
                <c:pt idx="148">
                  <c:v>23.90862425398646</c:v>
                </c:pt>
                <c:pt idx="149">
                  <c:v>23.957546501027402</c:v>
                </c:pt>
                <c:pt idx="150">
                  <c:v>24.005529398342425</c:v>
                </c:pt>
                <c:pt idx="151">
                  <c:v>24.052580428353995</c:v>
                </c:pt>
                <c:pt idx="152">
                  <c:v>24.098706991788745</c:v>
                </c:pt>
                <c:pt idx="153">
                  <c:v>24.143916415350077</c:v>
                </c:pt>
                <c:pt idx="154">
                  <c:v>24.188215959017256</c:v>
                </c:pt>
                <c:pt idx="155">
                  <c:v>24.231612822980072</c:v>
                </c:pt>
                <c:pt idx="156">
                  <c:v>24.274114154217543</c:v>
                </c:pt>
                <c:pt idx="157">
                  <c:v>24.315727052729148</c:v>
                </c:pt>
                <c:pt idx="158">
                  <c:v>24.35645857742665</c:v>
                </c:pt>
                <c:pt idx="159">
                  <c:v>24.396315751694381</c:v>
                </c:pt>
                <c:pt idx="160">
                  <c:v>24.435305568625864</c:v>
                </c:pt>
                <c:pt idx="161">
                  <c:v>24.473434995944121</c:v>
                </c:pt>
                <c:pt idx="162">
                  <c:v>24.510710980613378</c:v>
                </c:pt>
                <c:pt idx="163">
                  <c:v>24.547140453149424</c:v>
                </c:pt>
                <c:pt idx="164">
                  <c:v>24.582730331635897</c:v>
                </c:pt>
                <c:pt idx="165">
                  <c:v>24.617487525453857</c:v>
                </c:pt>
                <c:pt idx="166">
                  <c:v>24.651418938731769</c:v>
                </c:pt>
                <c:pt idx="167">
                  <c:v>24.684531473523094</c:v>
                </c:pt>
                <c:pt idx="168">
                  <c:v>24.716832032718795</c:v>
                </c:pt>
                <c:pt idx="169">
                  <c:v>24.748327522701711</c:v>
                </c:pt>
                <c:pt idx="170">
                  <c:v>24.779024855750279</c:v>
                </c:pt>
                <c:pt idx="171">
                  <c:v>24.808930952198548</c:v>
                </c:pt>
                <c:pt idx="172">
                  <c:v>24.83805274235991</c:v>
                </c:pt>
                <c:pt idx="173">
                  <c:v>24.866397168221724</c:v>
                </c:pt>
                <c:pt idx="174">
                  <c:v>24.893971184918151</c:v>
                </c:pt>
                <c:pt idx="175">
                  <c:v>24.920781761988408</c:v>
                </c:pt>
                <c:pt idx="176">
                  <c:v>24.946835884428047</c:v>
                </c:pt>
                <c:pt idx="177">
                  <c:v>24.972140553540253</c:v>
                </c:pt>
                <c:pt idx="178">
                  <c:v>24.996702787594852</c:v>
                </c:pt>
                <c:pt idx="179">
                  <c:v>25.020529622302274</c:v>
                </c:pt>
                <c:pt idx="180">
                  <c:v>25.043628111109946</c:v>
                </c:pt>
                <c:pt idx="181">
                  <c:v>25.066005325328486</c:v>
                </c:pt>
                <c:pt idx="182">
                  <c:v>25.087668354095154</c:v>
                </c:pt>
                <c:pt idx="183">
                  <c:v>25.108624304181902</c:v>
                </c:pt>
                <c:pt idx="184">
                  <c:v>25.128880299655542</c:v>
                </c:pt>
                <c:pt idx="185">
                  <c:v>25.148443481397184</c:v>
                </c:pt>
                <c:pt idx="186">
                  <c:v>25.167321006488518</c:v>
                </c:pt>
                <c:pt idx="187">
                  <c:v>25.185520047471961</c:v>
                </c:pt>
                <c:pt idx="188">
                  <c:v>25.20304779149216</c:v>
                </c:pt>
                <c:pt idx="189">
                  <c:v>25.21991143932577</c:v>
                </c:pt>
                <c:pt idx="190">
                  <c:v>25.236118204306791</c:v>
                </c:pt>
                <c:pt idx="191">
                  <c:v>25.25167531115434</c:v>
                </c:pt>
                <c:pt idx="192">
                  <c:v>25.266589994709857</c:v>
                </c:pt>
                <c:pt idx="193">
                  <c:v>25.280869498590512</c:v>
                </c:pt>
                <c:pt idx="194">
                  <c:v>25.294521073765559</c:v>
                </c:pt>
                <c:pt idx="195">
                  <c:v>25.307551977062154</c:v>
                </c:pt>
                <c:pt idx="196">
                  <c:v>25.31996946960718</c:v>
                </c:pt>
                <c:pt idx="197">
                  <c:v>25.331780815211339</c:v>
                </c:pt>
                <c:pt idx="198">
                  <c:v>25.342993278701684</c:v>
                </c:pt>
                <c:pt idx="199">
                  <c:v>25.353614124208683</c:v>
                </c:pt>
                <c:pt idx="200">
                  <c:v>25.363650613413601</c:v>
                </c:pt>
                <c:pt idx="201">
                  <c:v>25.373110003761919</c:v>
                </c:pt>
                <c:pt idx="202">
                  <c:v>25.381999546648423</c:v>
                </c:pt>
                <c:pt idx="203">
                  <c:v>25.390326485579102</c:v>
                </c:pt>
                <c:pt idx="204">
                  <c:v>25.398098054315316</c:v>
                </c:pt>
                <c:pt idx="205">
                  <c:v>25.405321475004946</c:v>
                </c:pt>
                <c:pt idx="206">
                  <c:v>25.412003956305519</c:v>
                </c:pt>
                <c:pt idx="207">
                  <c:v>25.418152691503849</c:v>
                </c:pt>
                <c:pt idx="208">
                  <c:v>25.423774856636612</c:v>
                </c:pt>
                <c:pt idx="209">
                  <c:v>25.428877608616087</c:v>
                </c:pt>
                <c:pt idx="210">
                  <c:v>25.433468083365057</c:v>
                </c:pt>
                <c:pt idx="211">
                  <c:v>25.437553393964766</c:v>
                </c:pt>
                <c:pt idx="212">
                  <c:v>25.44114062881949</c:v>
                </c:pt>
                <c:pt idx="213">
                  <c:v>25.444236849841179</c:v>
                </c:pt>
                <c:pt idx="214">
                  <c:v>25.446849090657437</c:v>
                </c:pt>
                <c:pt idx="215">
                  <c:v>25.448984354845777</c:v>
                </c:pt>
                <c:pt idx="216">
                  <c:v>25.450649614197154</c:v>
                </c:pt>
                <c:pt idx="217">
                  <c:v>25.451851807011284</c:v>
                </c:pt>
                <c:pt idx="218">
                  <c:v>25.452597836426261</c:v>
                </c:pt>
                <c:pt idx="219">
                  <c:v>25.452894568784803</c:v>
                </c:pt>
                <c:pt idx="220">
                  <c:v>25.452748832039124</c:v>
                </c:pt>
                <c:pt idx="221">
                  <c:v>25.45216741419641</c:v>
                </c:pt>
                <c:pt idx="222">
                  <c:v>25.451157061806704</c:v>
                </c:pt>
                <c:pt idx="223">
                  <c:v>25.449724478494527</c:v>
                </c:pt>
                <c:pt idx="224">
                  <c:v>25.447876323535958</c:v>
                </c:pt>
                <c:pt idx="225">
                  <c:v>25.445619210482199</c:v>
                </c:pt>
                <c:pt idx="226">
                  <c:v>25.40197516055941</c:v>
                </c:pt>
                <c:pt idx="227">
                  <c:v>25.324325958674851</c:v>
                </c:pt>
                <c:pt idx="228">
                  <c:v>25.218370011988107</c:v>
                </c:pt>
                <c:pt idx="229">
                  <c:v>25.089178751563654</c:v>
                </c:pt>
                <c:pt idx="230">
                  <c:v>24.941187202979989</c:v>
                </c:pt>
                <c:pt idx="231">
                  <c:v>24.778216656781428</c:v>
                </c:pt>
                <c:pt idx="232">
                  <c:v>24.603518737572735</c:v>
                </c:pt>
                <c:pt idx="233">
                  <c:v>24.419831494576385</c:v>
                </c:pt>
                <c:pt idx="234">
                  <c:v>24.229440252015927</c:v>
                </c:pt>
                <c:pt idx="235">
                  <c:v>24.034238139260591</c:v>
                </c:pt>
                <c:pt idx="236">
                  <c:v>23.835783097250186</c:v>
                </c:pt>
                <c:pt idx="237">
                  <c:v>23.635349601140451</c:v>
                </c:pt>
                <c:pt idx="238">
                  <c:v>23.433974358447557</c:v>
                </c:pt>
                <c:pt idx="239">
                  <c:v>23.232495907611586</c:v>
                </c:pt>
                <c:pt idx="240">
                  <c:v>23.03158844007983</c:v>
                </c:pt>
                <c:pt idx="241">
                  <c:v>22.831790379087682</c:v>
                </c:pt>
                <c:pt idx="242">
                  <c:v>22.633528334172212</c:v>
                </c:pt>
                <c:pt idx="243">
                  <c:v>22.437137059407569</c:v>
                </c:pt>
                <c:pt idx="244">
                  <c:v>22.242876008375944</c:v>
                </c:pt>
                <c:pt idx="245">
                  <c:v>22.050943021797501</c:v>
                </c:pt>
                <c:pt idx="246">
                  <c:v>21.861485618262797</c:v>
                </c:pt>
                <c:pt idx="247">
                  <c:v>21.674610292786642</c:v>
                </c:pt>
                <c:pt idx="248">
                  <c:v>21.490390166395485</c:v>
                </c:pt>
                <c:pt idx="249">
                  <c:v>21.308871274797529</c:v>
                </c:pt>
                <c:pt idx="250">
                  <c:v>21.130077736074341</c:v>
                </c:pt>
                <c:pt idx="251">
                  <c:v>20.954015996175485</c:v>
                </c:pt>
                <c:pt idx="252">
                  <c:v>20.780678316264115</c:v>
                </c:pt>
                <c:pt idx="253">
                  <c:v>20.610045636936583</c:v>
                </c:pt>
                <c:pt idx="254">
                  <c:v>20.442089930254802</c:v>
                </c:pt>
                <c:pt idx="255">
                  <c:v>20.276776130648116</c:v>
                </c:pt>
                <c:pt idx="256">
                  <c:v>20.114063719386049</c:v>
                </c:pt>
                <c:pt idx="257">
                  <c:v>19.953908023903221</c:v>
                </c:pt>
                <c:pt idx="258">
                  <c:v>19.796261282262769</c:v>
                </c:pt>
                <c:pt idx="259">
                  <c:v>19.641073514044717</c:v>
                </c:pt>
                <c:pt idx="260">
                  <c:v>19.488293231581864</c:v>
                </c:pt>
                <c:pt idx="261">
                  <c:v>19.337868019439608</c:v>
                </c:pt>
                <c:pt idx="262">
                  <c:v>19.189745005103202</c:v>
                </c:pt>
                <c:pt idx="263">
                  <c:v>19.043871239794964</c:v>
                </c:pt>
                <c:pt idx="264">
                  <c:v>18.90019400503115</c:v>
                </c:pt>
                <c:pt idx="265">
                  <c:v>18.758661057809249</c:v>
                </c:pt>
                <c:pt idx="266">
                  <c:v>18.619220825082753</c:v>
                </c:pt>
                <c:pt idx="267">
                  <c:v>18.481822556342948</c:v>
                </c:pt>
                <c:pt idx="268">
                  <c:v>18.346416441613961</c:v>
                </c:pt>
                <c:pt idx="269">
                  <c:v>18.212953700919211</c:v>
                </c:pt>
                <c:pt idx="270">
                  <c:v>18.081386650246912</c:v>
                </c:pt>
                <c:pt idx="271">
                  <c:v>17.95166874818996</c:v>
                </c:pt>
                <c:pt idx="272">
                  <c:v>17.823754626730338</c:v>
                </c:pt>
                <c:pt idx="273">
                  <c:v>17.697600109053138</c:v>
                </c:pt>
                <c:pt idx="274">
                  <c:v>17.573162216789935</c:v>
                </c:pt>
                <c:pt idx="275">
                  <c:v>17.450399168688048</c:v>
                </c:pt>
                <c:pt idx="276">
                  <c:v>17.329270372366658</c:v>
                </c:pt>
                <c:pt idx="277">
                  <c:v>17.209736410541126</c:v>
                </c:pt>
                <c:pt idx="278">
                  <c:v>17.091759022864416</c:v>
                </c:pt>
                <c:pt idx="279">
                  <c:v>16.975301084339588</c:v>
                </c:pt>
                <c:pt idx="280">
                  <c:v>16.860326581095656</c:v>
                </c:pt>
                <c:pt idx="281">
                  <c:v>16.746800584183163</c:v>
                </c:pt>
                <c:pt idx="282">
                  <c:v>16.634689221932483</c:v>
                </c:pt>
                <c:pt idx="283">
                  <c:v>16.523959651323299</c:v>
                </c:pt>
                <c:pt idx="284">
                  <c:v>16.414580028734058</c:v>
                </c:pt>
                <c:pt idx="285">
                  <c:v>16.30651948037395</c:v>
                </c:pt>
                <c:pt idx="286">
                  <c:v>16.199748072644478</c:v>
                </c:pt>
                <c:pt idx="287">
                  <c:v>16.094236782630919</c:v>
                </c:pt>
                <c:pt idx="288">
                  <c:v>15.989957468885379</c:v>
                </c:pt>
                <c:pt idx="289">
                  <c:v>15.886882842630394</c:v>
                </c:pt>
                <c:pt idx="290">
                  <c:v>15.784986439485039</c:v>
                </c:pt>
                <c:pt idx="291">
                  <c:v>15.68424259179265</c:v>
                </c:pt>
                <c:pt idx="292">
                  <c:v>15.584626401610599</c:v>
                </c:pt>
                <c:pt idx="293">
                  <c:v>15.486113714406697</c:v>
                </c:pt>
                <c:pt idx="294">
                  <c:v>15.388681093493886</c:v>
                </c:pt>
                <c:pt idx="295">
                  <c:v>15.292305795223935</c:v>
                </c:pt>
                <c:pt idx="296">
                  <c:v>15.196965744952294</c:v>
                </c:pt>
                <c:pt idx="297">
                  <c:v>15.102639513778557</c:v>
                </c:pt>
                <c:pt idx="298">
                  <c:v>15.009306296061373</c:v>
                </c:pt>
                <c:pt idx="299">
                  <c:v>14.916945887701694</c:v>
                </c:pt>
                <c:pt idx="300">
                  <c:v>14.825538665184261</c:v>
                </c:pt>
                <c:pt idx="301">
                  <c:v>14.73506556536443</c:v>
                </c:pt>
                <c:pt idx="302">
                  <c:v>14.645508065984638</c:v>
                </c:pt>
                <c:pt idx="303">
                  <c:v>14.556848166903325</c:v>
                </c:pt>
                <c:pt idx="304">
                  <c:v>14.469068372017425</c:v>
                </c:pt>
                <c:pt idx="305">
                  <c:v>14.382151671858697</c:v>
                </c:pt>
                <c:pt idx="306">
                  <c:v>14.296081526843459</c:v>
                </c:pt>
                <c:pt idx="307">
                  <c:v>14.210841851154738</c:v>
                </c:pt>
                <c:pt idx="308">
                  <c:v>14.126416997235847</c:v>
                </c:pt>
                <c:pt idx="309">
                  <c:v>14.042791740874176</c:v>
                </c:pt>
                <c:pt idx="310">
                  <c:v>13.959951266854233</c:v>
                </c:pt>
                <c:pt idx="311">
                  <c:v>13.877881155159136</c:v>
                </c:pt>
                <c:pt idx="312">
                  <c:v>13.796567367700177</c:v>
                </c:pt>
                <c:pt idx="313">
                  <c:v>13.715996235554357</c:v>
                </c:pt>
                <c:pt idx="314">
                  <c:v>13.636154446690419</c:v>
                </c:pt>
                <c:pt idx="315">
                  <c:v>13.557029034164241</c:v>
                </c:pt>
                <c:pt idx="316">
                  <c:v>13.478607364765194</c:v>
                </c:pt>
                <c:pt idx="317">
                  <c:v>13.400877128095436</c:v>
                </c:pt>
                <c:pt idx="318">
                  <c:v>13.32382632606484</c:v>
                </c:pt>
                <c:pt idx="319">
                  <c:v>13.247443262784831</c:v>
                </c:pt>
                <c:pt idx="320">
                  <c:v>13.171716534844848</c:v>
                </c:pt>
                <c:pt idx="321">
                  <c:v>13.096635021956011</c:v>
                </c:pt>
                <c:pt idx="322">
                  <c:v>13.022187877946864</c:v>
                </c:pt>
                <c:pt idx="323">
                  <c:v>12.948364522096883</c:v>
                </c:pt>
                <c:pt idx="324">
                  <c:v>12.875154630793805</c:v>
                </c:pt>
                <c:pt idx="325">
                  <c:v>12.802548129501613</c:v>
                </c:pt>
                <c:pt idx="326">
                  <c:v>12.730535185026266</c:v>
                </c:pt>
                <c:pt idx="327">
                  <c:v>12.659106198067064</c:v>
                </c:pt>
                <c:pt idx="328">
                  <c:v>12.588251796041884</c:v>
                </c:pt>
                <c:pt idx="329">
                  <c:v>12.517962826175005</c:v>
                </c:pt>
                <c:pt idx="330">
                  <c:v>12.448230348836836</c:v>
                </c:pt>
                <c:pt idx="331">
                  <c:v>12.379045631125205</c:v>
                </c:pt>
                <c:pt idx="332">
                  <c:v>12.31040014067835</c:v>
                </c:pt>
                <c:pt idx="333">
                  <c:v>12.242285539710151</c:v>
                </c:pt>
                <c:pt idx="334">
                  <c:v>12.174693679258596</c:v>
                </c:pt>
                <c:pt idx="335">
                  <c:v>12.107616593638845</c:v>
                </c:pt>
                <c:pt idx="336">
                  <c:v>12.04104649509258</c:v>
                </c:pt>
                <c:pt idx="337">
                  <c:v>11.974975768625749</c:v>
                </c:pt>
                <c:pt idx="338">
                  <c:v>11.909396967027138</c:v>
                </c:pt>
                <c:pt idx="339">
                  <c:v>11.844302806060565</c:v>
                </c:pt>
                <c:pt idx="340">
                  <c:v>11.779686159823656</c:v>
                </c:pt>
                <c:pt idx="341">
                  <c:v>11.715540056266725</c:v>
                </c:pt>
                <c:pt idx="342">
                  <c:v>11.651857672865319</c:v>
                </c:pt>
                <c:pt idx="343">
                  <c:v>11.58863233244036</c:v>
                </c:pt>
                <c:pt idx="344">
                  <c:v>11.525857499120189</c:v>
                </c:pt>
                <c:pt idx="345">
                  <c:v>11.463526774438824</c:v>
                </c:pt>
                <c:pt idx="346">
                  <c:v>11.40163389356519</c:v>
                </c:pt>
                <c:pt idx="347">
                  <c:v>11.340172721658288</c:v>
                </c:pt>
                <c:pt idx="348">
                  <c:v>11.279137250343291</c:v>
                </c:pt>
                <c:pt idx="349">
                  <c:v>11.218521594304097</c:v>
                </c:pt>
                <c:pt idx="350">
                  <c:v>11.158319987987701</c:v>
                </c:pt>
                <c:pt idx="351">
                  <c:v>11.098526782416291</c:v>
                </c:pt>
                <c:pt idx="352">
                  <c:v>11.039136442102841</c:v>
                </c:pt>
                <c:pt idx="353">
                  <c:v>10.980143542066346</c:v>
                </c:pt>
                <c:pt idx="354">
                  <c:v>10.921542764942984</c:v>
                </c:pt>
                <c:pt idx="355">
                  <c:v>10.863328898189568</c:v>
                </c:pt>
                <c:pt idx="356">
                  <c:v>10.80549683137585</c:v>
                </c:pt>
                <c:pt idx="357">
                  <c:v>10.748041553562411</c:v>
                </c:pt>
                <c:pt idx="358">
                  <c:v>10.690958150760991</c:v>
                </c:pt>
                <c:pt idx="359">
                  <c:v>10.634241803474145</c:v>
                </c:pt>
                <c:pt idx="360">
                  <c:v>10.577887784311429</c:v>
                </c:pt>
                <c:pt idx="361">
                  <c:v>10.521891455679299</c:v>
                </c:pt>
                <c:pt idx="362">
                  <c:v>10.466248267542021</c:v>
                </c:pt>
                <c:pt idx="363">
                  <c:v>10.410953755251066</c:v>
                </c:pt>
                <c:pt idx="364">
                  <c:v>10.356003537440539</c:v>
                </c:pt>
                <c:pt idx="365">
                  <c:v>10.301393313986278</c:v>
                </c:pt>
                <c:pt idx="366">
                  <c:v>10.247118864026339</c:v>
                </c:pt>
                <c:pt idx="367">
                  <c:v>10.193176044040761</c:v>
                </c:pt>
                <c:pt idx="368">
                  <c:v>10.139560785988465</c:v>
                </c:pt>
                <c:pt idx="369">
                  <c:v>10.086269095499302</c:v>
                </c:pt>
                <c:pt idx="370">
                  <c:v>10.033297050119401</c:v>
                </c:pt>
                <c:pt idx="371">
                  <c:v>9.9806407976078155</c:v>
                </c:pt>
                <c:pt idx="372">
                  <c:v>9.9282965542829018</c:v>
                </c:pt>
                <c:pt idx="373">
                  <c:v>9.8762606034165508</c:v>
                </c:pt>
                <c:pt idx="374">
                  <c:v>9.8245292936747433</c:v>
                </c:pt>
                <c:pt idx="375">
                  <c:v>9.7730990376028082</c:v>
                </c:pt>
                <c:pt idx="376">
                  <c:v>9.7219663101539027</c:v>
                </c:pt>
                <c:pt idx="377">
                  <c:v>9.67112764725921</c:v>
                </c:pt>
                <c:pt idx="378">
                  <c:v>9.6205796444385676</c:v>
                </c:pt>
                <c:pt idx="379">
                  <c:v>9.5703189554500483</c:v>
                </c:pt>
                <c:pt idx="380">
                  <c:v>9.520342290977263</c:v>
                </c:pt>
                <c:pt idx="381">
                  <c:v>9.4706464173531941</c:v>
                </c:pt>
                <c:pt idx="382">
                  <c:v>9.4212281553192589</c:v>
                </c:pt>
                <c:pt idx="383">
                  <c:v>9.3720843788185331</c:v>
                </c:pt>
                <c:pt idx="384">
                  <c:v>9.3232120138219816</c:v>
                </c:pt>
                <c:pt idx="385">
                  <c:v>9.2746080371866544</c:v>
                </c:pt>
                <c:pt idx="386">
                  <c:v>9.2262694755447932</c:v>
                </c:pt>
                <c:pt idx="387">
                  <c:v>9.1781934042228936</c:v>
                </c:pt>
                <c:pt idx="388">
                  <c:v>9.1303769461897506</c:v>
                </c:pt>
                <c:pt idx="389">
                  <c:v>9.0828172710325248</c:v>
                </c:pt>
                <c:pt idx="390">
                  <c:v>9.0355115939600577</c:v>
                </c:pt>
                <c:pt idx="391">
                  <c:v>8.9884571748324493</c:v>
                </c:pt>
                <c:pt idx="392">
                  <c:v>8.9416513172161665</c:v>
                </c:pt>
                <c:pt idx="393">
                  <c:v>8.8950913674638485</c:v>
                </c:pt>
                <c:pt idx="394">
                  <c:v>8.8487747138180737</c:v>
                </c:pt>
                <c:pt idx="395">
                  <c:v>8.8026987855383148</c:v>
                </c:pt>
                <c:pt idx="396">
                  <c:v>8.7568610520503842</c:v>
                </c:pt>
                <c:pt idx="397">
                  <c:v>8.7112590221177015</c:v>
                </c:pt>
                <c:pt idx="398">
                  <c:v>8.6658902430337044</c:v>
                </c:pt>
                <c:pt idx="399">
                  <c:v>8.6207522998347521</c:v>
                </c:pt>
                <c:pt idx="400">
                  <c:v>8.5758428145329333</c:v>
                </c:pt>
                <c:pt idx="401">
                  <c:v>8.5311594453681501</c:v>
                </c:pt>
                <c:pt idx="402">
                  <c:v>8.4866998860789415</c:v>
                </c:pt>
                <c:pt idx="403">
                  <c:v>8.4424618651914329</c:v>
                </c:pt>
                <c:pt idx="404">
                  <c:v>8.3984431453259525</c:v>
                </c:pt>
                <c:pt idx="405">
                  <c:v>8.3546415225207369</c:v>
                </c:pt>
                <c:pt idx="406">
                  <c:v>8.3110548255722296</c:v>
                </c:pt>
                <c:pt idx="407">
                  <c:v>8.2676809153915229</c:v>
                </c:pt>
                <c:pt idx="408">
                  <c:v>8.2245176843764369</c:v>
                </c:pt>
                <c:pt idx="409">
                  <c:v>8.1815630557988133</c:v>
                </c:pt>
                <c:pt idx="410">
                  <c:v>8.1388149832065899</c:v>
                </c:pt>
                <c:pt idx="411">
                  <c:v>8.0962714498401702</c:v>
                </c:pt>
                <c:pt idx="412">
                  <c:v>8.0539304680627737</c:v>
                </c:pt>
                <c:pt idx="413">
                  <c:v>8.0117900788043173</c:v>
                </c:pt>
                <c:pt idx="414">
                  <c:v>7.9698483510184239</c:v>
                </c:pt>
                <c:pt idx="415">
                  <c:v>7.9281033811522628</c:v>
                </c:pt>
                <c:pt idx="416">
                  <c:v>7.8865532926287916</c:v>
                </c:pt>
                <c:pt idx="417">
                  <c:v>7.8451962353410831</c:v>
                </c:pt>
                <c:pt idx="418">
                  <c:v>7.8040303851584101</c:v>
                </c:pt>
                <c:pt idx="419">
                  <c:v>7.7630539434437438</c:v>
                </c:pt>
                <c:pt idx="420">
                  <c:v>7.7222651365823829</c:v>
                </c:pt>
                <c:pt idx="421">
                  <c:v>7.6816622155213556</c:v>
                </c:pt>
                <c:pt idx="422">
                  <c:v>7.6412434553193584</c:v>
                </c:pt>
                <c:pt idx="423">
                  <c:v>7.6010071547069158</c:v>
                </c:pt>
                <c:pt idx="424">
                  <c:v>7.5609516356564832</c:v>
                </c:pt>
                <c:pt idx="425">
                  <c:v>7.5210752429622394</c:v>
                </c:pt>
                <c:pt idx="426">
                  <c:v>7.4813763438292824</c:v>
                </c:pt>
                <c:pt idx="427">
                  <c:v>7.4418533274720469</c:v>
                </c:pt>
                <c:pt idx="428">
                  <c:v>7.4025046047215781</c:v>
                </c:pt>
                <c:pt idx="429">
                  <c:v>7.3633286076415541</c:v>
                </c:pt>
                <c:pt idx="430">
                  <c:v>7.3243237891527526</c:v>
                </c:pt>
                <c:pt idx="431">
                  <c:v>7.2854886226657323</c:v>
                </c:pt>
                <c:pt idx="432">
                  <c:v>7.2468216017216029</c:v>
                </c:pt>
                <c:pt idx="433">
                  <c:v>7.2083212396405489</c:v>
                </c:pt>
                <c:pt idx="434">
                  <c:v>7.1699860691779929</c:v>
                </c:pt>
                <c:pt idx="435">
                  <c:v>7.1318146421881847</c:v>
                </c:pt>
                <c:pt idx="436">
                  <c:v>7.0938055292949977</c:v>
                </c:pt>
                <c:pt idx="437">
                  <c:v>7.0559573195698047</c:v>
                </c:pt>
                <c:pt idx="438">
                  <c:v>7.0182686202161655</c:v>
                </c:pt>
                <c:pt idx="439">
                  <c:v>6.9807380562612469</c:v>
                </c:pt>
                <c:pt idx="440">
                  <c:v>6.9433642702537419</c:v>
                </c:pt>
                <c:pt idx="441">
                  <c:v>6.9061459219681485</c:v>
                </c:pt>
                <c:pt idx="442">
                  <c:v>6.8690816881152532</c:v>
                </c:pt>
                <c:pt idx="443">
                  <c:v>6.8321702620586464</c:v>
                </c:pt>
                <c:pt idx="444">
                  <c:v>6.7954103535371191</c:v>
                </c:pt>
                <c:pt idx="445">
                  <c:v>6.7588006883928644</c:v>
                </c:pt>
                <c:pt idx="446">
                  <c:v>6.7223400083051814</c:v>
                </c:pt>
                <c:pt idx="447">
                  <c:v>6.6860270705297467</c:v>
                </c:pt>
                <c:pt idx="448">
                  <c:v>6.6498606476431537</c:v>
                </c:pt>
                <c:pt idx="449">
                  <c:v>6.6138395272927033</c:v>
                </c:pt>
                <c:pt idx="450">
                  <c:v>6.5779625119512044</c:v>
                </c:pt>
                <c:pt idx="451">
                  <c:v>6.5422284186768076</c:v>
                </c:pt>
                <c:pt idx="452">
                  <c:v>6.5066360788776203</c:v>
                </c:pt>
                <c:pt idx="453">
                  <c:v>6.471184338081053</c:v>
                </c:pt>
                <c:pt idx="454">
                  <c:v>6.4358720557077733</c:v>
                </c:pt>
                <c:pt idx="455">
                  <c:v>6.4006981048501732</c:v>
                </c:pt>
                <c:pt idx="456">
                  <c:v>6.3656613720551931</c:v>
                </c:pt>
                <c:pt idx="457">
                  <c:v>6.3307607571114497</c:v>
                </c:pt>
                <c:pt idx="458">
                  <c:v>6.295995172840561</c:v>
                </c:pt>
                <c:pt idx="459">
                  <c:v>6.2613635448925322</c:v>
                </c:pt>
                <c:pt idx="460">
                  <c:v>6.2268648115451644</c:v>
                </c:pt>
                <c:pt idx="461">
                  <c:v>6.1924979235073145</c:v>
                </c:pt>
                <c:pt idx="462">
                  <c:v>6.1582618437260352</c:v>
                </c:pt>
                <c:pt idx="463">
                  <c:v>6.1241555471973452</c:v>
                </c:pt>
                <c:pt idx="464">
                  <c:v>6.0901780207807379</c:v>
                </c:pt>
                <c:pt idx="465">
                  <c:v>6.0563282630171331</c:v>
                </c:pt>
                <c:pt idx="466">
                  <c:v>6.0226052839503916</c:v>
                </c:pt>
                <c:pt idx="467">
                  <c:v>5.9890081049521626</c:v>
                </c:pt>
                <c:pt idx="468">
                  <c:v>5.955535758550087</c:v>
                </c:pt>
                <c:pt idx="469">
                  <c:v>5.9221872882591908</c:v>
                </c:pt>
                <c:pt idx="470">
                  <c:v>5.8889617484164916</c:v>
                </c:pt>
                <c:pt idx="471">
                  <c:v>5.8558582040186957</c:v>
                </c:pt>
                <c:pt idx="472">
                  <c:v>5.8228757305628847</c:v>
                </c:pt>
                <c:pt idx="473">
                  <c:v>5.7900134138902093</c:v>
                </c:pt>
                <c:pt idx="474">
                  <c:v>5.7572703500324423</c:v>
                </c:pt>
                <c:pt idx="475">
                  <c:v>5.7246456450613792</c:v>
                </c:pt>
                <c:pt idx="476">
                  <c:v>5.6921384149410104</c:v>
                </c:pt>
                <c:pt idx="477">
                  <c:v>5.6597477853823772</c:v>
                </c:pt>
                <c:pt idx="478">
                  <c:v>5.6274728917011041</c:v>
                </c:pt>
                <c:pt idx="479">
                  <c:v>5.595312878677495</c:v>
                </c:pt>
                <c:pt idx="480">
                  <c:v>5.5632669004191948</c:v>
                </c:pt>
                <c:pt idx="481">
                  <c:v>5.5313341202262958</c:v>
                </c:pt>
                <c:pt idx="482">
                  <c:v>5.4995137104588938</c:v>
                </c:pt>
                <c:pt idx="483">
                  <c:v>5.4678048524070091</c:v>
                </c:pt>
                <c:pt idx="484">
                  <c:v>5.4362067361628359</c:v>
                </c:pt>
                <c:pt idx="485">
                  <c:v>5.4047185604952608</c:v>
                </c:pt>
                <c:pt idx="486">
                  <c:v>5.373339532726594</c:v>
                </c:pt>
                <c:pt idx="487">
                  <c:v>5.3420688686115039</c:v>
                </c:pt>
                <c:pt idx="488">
                  <c:v>5.3109057922180849</c:v>
                </c:pt>
                <c:pt idx="489">
                  <c:v>5.2798495358109694</c:v>
                </c:pt>
                <c:pt idx="490">
                  <c:v>5.2488993397365338</c:v>
                </c:pt>
                <c:pt idx="491">
                  <c:v>5.2180544523100796</c:v>
                </c:pt>
                <c:pt idx="492">
                  <c:v>5.1873141297049798</c:v>
                </c:pt>
                <c:pt idx="493">
                  <c:v>5.1566776358437494</c:v>
                </c:pt>
                <c:pt idx="494">
                  <c:v>5.1261442422909802</c:v>
                </c:pt>
                <c:pt idx="495">
                  <c:v>5.0957132281481163</c:v>
                </c:pt>
                <c:pt idx="496">
                  <c:v>5.0653838799500708</c:v>
                </c:pt>
                <c:pt idx="497">
                  <c:v>5.0351554915635486</c:v>
                </c:pt>
                <c:pt idx="498">
                  <c:v>5.0050273640871428</c:v>
                </c:pt>
                <c:pt idx="499">
                  <c:v>4.9749988057531063</c:v>
                </c:pt>
                <c:pt idx="500">
                  <c:v>4.9450691318307891</c:v>
                </c:pt>
                <c:pt idx="501">
                  <c:v>4.9152376645317108</c:v>
                </c:pt>
                <c:pt idx="502">
                  <c:v>4.8855037329161979</c:v>
                </c:pt>
                <c:pt idx="503">
                  <c:v>4.8558666728016249</c:v>
                </c:pt>
                <c:pt idx="504">
                  <c:v>4.8263258266721536</c:v>
                </c:pt>
                <c:pt idx="505">
                  <c:v>4.7968805435899773</c:v>
                </c:pt>
                <c:pt idx="506">
                  <c:v>4.7675301791080624</c:v>
                </c:pt>
                <c:pt idx="507">
                  <c:v>4.7382740951842948</c:v>
                </c:pt>
                <c:pt idx="508">
                  <c:v>4.7091116600970491</c:v>
                </c:pt>
                <c:pt idx="509">
                  <c:v>4.6800422483621693</c:v>
                </c:pt>
                <c:pt idx="510">
                  <c:v>4.6510652406512785</c:v>
                </c:pt>
                <c:pt idx="511">
                  <c:v>4.6221800237114143</c:v>
                </c:pt>
                <c:pt idx="512">
                  <c:v>4.5933859902860252</c:v>
                </c:pt>
                <c:pt idx="513">
                  <c:v>4.5646825390371548</c:v>
                </c:pt>
                <c:pt idx="514">
                  <c:v>4.5360690744689682</c:v>
                </c:pt>
                <c:pt idx="515">
                  <c:v>4.5075450068524683</c:v>
                </c:pt>
                <c:pt idx="516">
                  <c:v>4.4791097521514187</c:v>
                </c:pt>
                <c:pt idx="517">
                  <c:v>4.4507627319494691</c:v>
                </c:pt>
                <c:pt idx="518">
                  <c:v>4.422503373378416</c:v>
                </c:pt>
                <c:pt idx="519">
                  <c:v>4.3943311090476458</c:v>
                </c:pt>
                <c:pt idx="520">
                  <c:v>4.3662453769746339</c:v>
                </c:pt>
                <c:pt idx="521">
                  <c:v>4.3382456205166111</c:v>
                </c:pt>
                <c:pt idx="522">
                  <c:v>4.310331288303245</c:v>
                </c:pt>
                <c:pt idx="523">
                  <c:v>4.2825018341704171</c:v>
                </c:pt>
                <c:pt idx="524">
                  <c:v>4.2547567170950167</c:v>
                </c:pt>
                <c:pt idx="525">
                  <c:v>4.2270954011307662</c:v>
                </c:pt>
                <c:pt idx="526">
                  <c:v>4.1995173553450211</c:v>
                </c:pt>
                <c:pt idx="527">
                  <c:v>4.1720220537565771</c:v>
                </c:pt>
                <c:pt idx="528">
                  <c:v>4.1446089752744095</c:v>
                </c:pt>
                <c:pt idx="529">
                  <c:v>4.1172776036373921</c:v>
                </c:pt>
                <c:pt idx="530">
                  <c:v>4.0900274273549009</c:v>
                </c:pt>
                <c:pt idx="531">
                  <c:v>4.0628579396483655</c:v>
                </c:pt>
                <c:pt idx="532">
                  <c:v>4.0357686383936739</c:v>
                </c:pt>
                <c:pt idx="533">
                  <c:v>4.0087590260644914</c:v>
                </c:pt>
                <c:pt idx="534">
                  <c:v>3.981828609676421</c:v>
                </c:pt>
                <c:pt idx="535">
                  <c:v>3.9549769007320017</c:v>
                </c:pt>
                <c:pt idx="536">
                  <c:v>3.9282034151665495</c:v>
                </c:pt>
                <c:pt idx="537">
                  <c:v>3.9015076732948102</c:v>
                </c:pt>
                <c:pt idx="538">
                  <c:v>3.8748891997583943</c:v>
                </c:pt>
                <c:pt idx="539">
                  <c:v>3.8483475234740361</c:v>
                </c:pt>
                <c:pt idx="540">
                  <c:v>3.8218821775825838</c:v>
                </c:pt>
                <c:pt idx="541">
                  <c:v>3.7954926993987725</c:v>
                </c:pt>
                <c:pt idx="542">
                  <c:v>3.7691786303617225</c:v>
                </c:pt>
                <c:pt idx="543">
                  <c:v>3.7429395159861851</c:v>
                </c:pt>
                <c:pt idx="544">
                  <c:v>3.716774905814511</c:v>
                </c:pt>
                <c:pt idx="545">
                  <c:v>3.6906843533692975</c:v>
                </c:pt>
                <c:pt idx="546">
                  <c:v>3.6646674161067452</c:v>
                </c:pt>
                <c:pt idx="547">
                  <c:v>3.6387236553707036</c:v>
                </c:pt>
                <c:pt idx="548">
                  <c:v>3.6128526363473776</c:v>
                </c:pt>
                <c:pt idx="549">
                  <c:v>3.5870539280206821</c:v>
                </c:pt>
                <c:pt idx="550">
                  <c:v>3.5613271031282636</c:v>
                </c:pt>
                <c:pt idx="551">
                  <c:v>3.5356717381181317</c:v>
                </c:pt>
                <c:pt idx="552">
                  <c:v>3.5100874131059427</c:v>
                </c:pt>
                <c:pt idx="553">
                  <c:v>3.4845737118328661</c:v>
                </c:pt>
                <c:pt idx="554">
                  <c:v>3.4591302216240756</c:v>
                </c:pt>
                <c:pt idx="555">
                  <c:v>3.4337565333478293</c:v>
                </c:pt>
                <c:pt idx="556">
                  <c:v>3.4084522413751186</c:v>
                </c:pt>
                <c:pt idx="557">
                  <c:v>3.3832169435399093</c:v>
                </c:pt>
                <c:pt idx="558">
                  <c:v>3.3580502410999418</c:v>
                </c:pt>
                <c:pt idx="559">
                  <c:v>3.3329517386980392</c:v>
                </c:pt>
                <c:pt idx="560">
                  <c:v>3.3079210443240505</c:v>
                </c:pt>
                <c:pt idx="561">
                  <c:v>3.2829577692772367</c:v>
                </c:pt>
                <c:pt idx="562">
                  <c:v>3.2580615281292387</c:v>
                </c:pt>
                <c:pt idx="563">
                  <c:v>3.2332319386875557</c:v>
                </c:pt>
                <c:pt idx="564">
                  <c:v>3.2084686219594798</c:v>
                </c:pt>
                <c:pt idx="565">
                  <c:v>3.1837712021166178</c:v>
                </c:pt>
                <c:pt idx="566">
                  <c:v>3.1591393064598332</c:v>
                </c:pt>
                <c:pt idx="567">
                  <c:v>3.1345725653847003</c:v>
                </c:pt>
                <c:pt idx="568">
                  <c:v>3.1100706123474398</c:v>
                </c:pt>
                <c:pt idx="569">
                  <c:v>3.0856330838312855</c:v>
                </c:pt>
                <c:pt idx="570">
                  <c:v>3.0612596193133816</c:v>
                </c:pt>
                <c:pt idx="571">
                  <c:v>3.0369498612320349</c:v>
                </c:pt>
                <c:pt idx="572">
                  <c:v>3.0127034549545191</c:v>
                </c:pt>
                <c:pt idx="573">
                  <c:v>2.9885200487452099</c:v>
                </c:pt>
                <c:pt idx="574">
                  <c:v>2.96439929373425</c:v>
                </c:pt>
                <c:pt idx="575">
                  <c:v>2.940340843886565</c:v>
                </c:pt>
                <c:pt idx="576">
                  <c:v>2.9163443559713329</c:v>
                </c:pt>
                <c:pt idx="577">
                  <c:v>2.8924094895318415</c:v>
                </c:pt>
                <c:pt idx="578">
                  <c:v>2.8685359068557785</c:v>
                </c:pt>
                <c:pt idx="579">
                  <c:v>2.844723272945886</c:v>
                </c:pt>
                <c:pt idx="580">
                  <c:v>2.8209712554910293</c:v>
                </c:pt>
                <c:pt idx="581">
                  <c:v>2.7972795248376467</c:v>
                </c:pt>
                <c:pt idx="582">
                  <c:v>2.7736477539615514</c:v>
                </c:pt>
                <c:pt idx="583">
                  <c:v>2.7500756184401576</c:v>
                </c:pt>
                <c:pt idx="584">
                  <c:v>2.7265627964250245</c:v>
                </c:pt>
                <c:pt idx="585">
                  <c:v>2.7031089686147669</c:v>
                </c:pt>
                <c:pt idx="586">
                  <c:v>2.6797138182283682</c:v>
                </c:pt>
                <c:pt idx="587">
                  <c:v>2.6563770309787778</c:v>
                </c:pt>
                <c:pt idx="588">
                  <c:v>2.6330982950468922</c:v>
                </c:pt>
                <c:pt idx="589">
                  <c:v>2.6098773010558709</c:v>
                </c:pt>
                <c:pt idx="590">
                  <c:v>2.5867137420457667</c:v>
                </c:pt>
                <c:pt idx="591">
                  <c:v>2.5636073134485162</c:v>
                </c:pt>
                <c:pt idx="592">
                  <c:v>2.5405577130632029</c:v>
                </c:pt>
                <c:pt idx="593">
                  <c:v>2.5175646410317185</c:v>
                </c:pt>
                <c:pt idx="594">
                  <c:v>2.4946277998146362</c:v>
                </c:pt>
                <c:pt idx="595">
                  <c:v>2.4717468941674867</c:v>
                </c:pt>
                <c:pt idx="596">
                  <c:v>2.4489216311172655</c:v>
                </c:pt>
                <c:pt idx="597">
                  <c:v>2.4261517199392939</c:v>
                </c:pt>
                <c:pt idx="598">
                  <c:v>2.4034368721343369</c:v>
                </c:pt>
                <c:pt idx="599">
                  <c:v>2.3807768014060278</c:v>
                </c:pt>
                <c:pt idx="600">
                  <c:v>2.3581712236385766</c:v>
                </c:pt>
                <c:pt idx="601">
                  <c:v>2.335619856874755</c:v>
                </c:pt>
                <c:pt idx="602">
                  <c:v>2.3131224212941732</c:v>
                </c:pt>
                <c:pt idx="603">
                  <c:v>2.290678639191797</c:v>
                </c:pt>
                <c:pt idx="604">
                  <c:v>2.2682882349567794</c:v>
                </c:pt>
                <c:pt idx="605">
                  <c:v>2.2459509350515097</c:v>
                </c:pt>
                <c:pt idx="606">
                  <c:v>1.1912965371440905</c:v>
                </c:pt>
                <c:pt idx="607">
                  <c:v>0.24101986329022304</c:v>
                </c:pt>
                <c:pt idx="608">
                  <c:v>-0.62537814622511978</c:v>
                </c:pt>
                <c:pt idx="609">
                  <c:v>-1.423007368425067</c:v>
                </c:pt>
                <c:pt idx="610">
                  <c:v>-2.1633161838681607</c:v>
                </c:pt>
                <c:pt idx="611">
                  <c:v>-2.8551777851281352</c:v>
                </c:pt>
                <c:pt idx="612">
                  <c:v>-3.5056012571255812</c:v>
                </c:pt>
                <c:pt idx="613">
                  <c:v>-4.1202130307725096</c:v>
                </c:pt>
                <c:pt idx="614">
                  <c:v>-4.7035923816138521</c:v>
                </c:pt>
                <c:pt idx="615">
                  <c:v>-5.2595110993351879</c:v>
                </c:pt>
                <c:pt idx="616">
                  <c:v>-5.791108448009691</c:v>
                </c:pt>
                <c:pt idx="617">
                  <c:v>-6.3010213445856644</c:v>
                </c:pt>
                <c:pt idx="618">
                  <c:v>-6.4986234017116642</c:v>
                </c:pt>
                <c:pt idx="619">
                  <c:v>-6.6932483805707967</c:v>
                </c:pt>
                <c:pt idx="620">
                  <c:v>-6.8850166195705356</c:v>
                </c:pt>
                <c:pt idx="621">
                  <c:v>-7.0740412700485367</c:v>
                </c:pt>
                <c:pt idx="622">
                  <c:v>-7.260428831676168</c:v>
                </c:pt>
                <c:pt idx="623">
                  <c:v>-7.4442796396639306</c:v>
                </c:pt>
                <c:pt idx="624">
                  <c:v>-7.6256883088989369</c:v>
                </c:pt>
                <c:pt idx="625">
                  <c:v>-7.8047441395157202</c:v>
                </c:pt>
                <c:pt idx="626">
                  <c:v>-7.9815314878598489</c:v>
                </c:pt>
                <c:pt idx="627">
                  <c:v>-8.1561301063349756</c:v>
                </c:pt>
                <c:pt idx="628">
                  <c:v>-8.3286154552181078</c:v>
                </c:pt>
                <c:pt idx="629">
                  <c:v>-8.4990589891747739</c:v>
                </c:pt>
                <c:pt idx="630">
                  <c:v>-8.6675284208985985</c:v>
                </c:pt>
                <c:pt idx="631">
                  <c:v>-8.834087964031232</c:v>
                </c:pt>
                <c:pt idx="632">
                  <c:v>-8.9987985572839015</c:v>
                </c:pt>
                <c:pt idx="633">
                  <c:v>-9.1617180714758302</c:v>
                </c:pt>
                <c:pt idx="634">
                  <c:v>-9.3229015010236935</c:v>
                </c:pt>
                <c:pt idx="635">
                  <c:v>-9.4824011412570179</c:v>
                </c:pt>
                <c:pt idx="636">
                  <c:v>-9.6402667527935133</c:v>
                </c:pt>
                <c:pt idx="637">
                  <c:v>-9.7965457140841821</c:v>
                </c:pt>
                <c:pt idx="638">
                  <c:v>-9.9512831631276448</c:v>
                </c:pt>
                <c:pt idx="639">
                  <c:v>-10.104522129255463</c:v>
                </c:pt>
                <c:pt idx="640">
                  <c:v>-10.256303655803167</c:v>
                </c:pt>
                <c:pt idx="641">
                  <c:v>-10.406666914404443</c:v>
                </c:pt>
                <c:pt idx="642">
                  <c:v>-10.555649311576566</c:v>
                </c:pt>
                <c:pt idx="643">
                  <c:v>-10.703286588203733</c:v>
                </c:pt>
                <c:pt idx="644">
                  <c:v>-10.849612912469478</c:v>
                </c:pt>
                <c:pt idx="645">
                  <c:v>-10.994660966739895</c:v>
                </c:pt>
                <c:pt idx="646">
                  <c:v>-11.138462028855011</c:v>
                </c:pt>
                <c:pt idx="647">
                  <c:v>-11.281046048245431</c:v>
                </c:pt>
                <c:pt idx="648">
                  <c:v>-11.422441717255694</c:v>
                </c:pt>
                <c:pt idx="649">
                  <c:v>-11.562676538023059</c:v>
                </c:pt>
                <c:pt idx="650">
                  <c:v>-11.701776885231192</c:v>
                </c:pt>
                <c:pt idx="651">
                  <c:v>-11.839768065031862</c:v>
                </c:pt>
                <c:pt idx="652">
                  <c:v>-11.976674370403504</c:v>
                </c:pt>
                <c:pt idx="653">
                  <c:v>-12.112519133193997</c:v>
                </c:pt>
                <c:pt idx="654">
                  <c:v>-12.247324773075118</c:v>
                </c:pt>
                <c:pt idx="655">
                  <c:v>-12.381112843618158</c:v>
                </c:pt>
                <c:pt idx="656">
                  <c:v>-12.513904075684055</c:v>
                </c:pt>
                <c:pt idx="657">
                  <c:v>-12.645718418306245</c:v>
                </c:pt>
                <c:pt idx="658">
                  <c:v>-12.776575077231074</c:v>
                </c:pt>
                <c:pt idx="659">
                  <c:v>-12.906492551268116</c:v>
                </c:pt>
                <c:pt idx="660">
                  <c:v>-13.035488666591526</c:v>
                </c:pt>
                <c:pt idx="661">
                  <c:v>-13.163580609122956</c:v>
                </c:pt>
                <c:pt idx="662">
                  <c:v>-13.29078495511739</c:v>
                </c:pt>
                <c:pt idx="663">
                  <c:v>-13.417117700064265</c:v>
                </c:pt>
                <c:pt idx="664">
                  <c:v>-13.542594286008359</c:v>
                </c:pt>
                <c:pt idx="665">
                  <c:v>-13.667229627387673</c:v>
                </c:pt>
                <c:pt idx="666">
                  <c:v>-13.791038135478548</c:v>
                </c:pt>
                <c:pt idx="667">
                  <c:v>-13.914033741532208</c:v>
                </c:pt>
              </c:numCache>
            </c:numRef>
          </c:yVal>
          <c:smooth val="1"/>
          <c:extLst>
            <c:ext xmlns:c16="http://schemas.microsoft.com/office/drawing/2014/chart" uri="{C3380CC4-5D6E-409C-BE32-E72D297353CC}">
              <c16:uniqueId val="{00000000-306B-4242-B253-B9A3B2188A5D}"/>
            </c:ext>
          </c:extLst>
        </c:ser>
        <c:dLbls>
          <c:showLegendKey val="0"/>
          <c:showVal val="0"/>
          <c:showCatName val="0"/>
          <c:showSerName val="0"/>
          <c:showPercent val="0"/>
          <c:showBubbleSize val="0"/>
        </c:dLbls>
        <c:axId val="177449216"/>
        <c:axId val="177463680"/>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-226.75612803846326</c:v>
                </c:pt>
                <c:pt idx="1">
                  <c:v>-244.75461535145405</c:v>
                </c:pt>
                <c:pt idx="2">
                  <c:v>-252.47508720331379</c:v>
                </c:pt>
                <c:pt idx="3">
                  <c:v>-256.59499592653617</c:v>
                </c:pt>
                <c:pt idx="4">
                  <c:v>-259.12061002847872</c:v>
                </c:pt>
                <c:pt idx="5">
                  <c:v>-260.81320224830966</c:v>
                </c:pt>
                <c:pt idx="6">
                  <c:v>-262.01865414777353</c:v>
                </c:pt>
                <c:pt idx="7">
                  <c:v>-262.91545577122116</c:v>
                </c:pt>
                <c:pt idx="8">
                  <c:v>-263.60468090225061</c:v>
                </c:pt>
                <c:pt idx="9">
                  <c:v>-264.14773489108973</c:v>
                </c:pt>
                <c:pt idx="10">
                  <c:v>-266.33525685923985</c:v>
                </c:pt>
                <c:pt idx="11">
                  <c:v>-266.74201560587267</c:v>
                </c:pt>
                <c:pt idx="12">
                  <c:v>-266.7015917288312</c:v>
                </c:pt>
                <c:pt idx="13">
                  <c:v>-266.48214725539009</c:v>
                </c:pt>
                <c:pt idx="14">
                  <c:v>-266.17320943407287</c:v>
                </c:pt>
                <c:pt idx="15">
                  <c:v>-265.81318166929253</c:v>
                </c:pt>
                <c:pt idx="16">
                  <c:v>-265.42128161087487</c:v>
                </c:pt>
                <c:pt idx="17">
                  <c:v>-265.00819642086708</c:v>
                </c:pt>
                <c:pt idx="18">
                  <c:v>-264.58034693586637</c:v>
                </c:pt>
                <c:pt idx="19">
                  <c:v>-259.98702606650227</c:v>
                </c:pt>
                <c:pt idx="20">
                  <c:v>-255.25279975380914</c:v>
                </c:pt>
                <c:pt idx="21">
                  <c:v>-250.53018162804972</c:v>
                </c:pt>
                <c:pt idx="22">
                  <c:v>-245.86279254484651</c:v>
                </c:pt>
                <c:pt idx="23">
                  <c:v>-241.27469540276181</c:v>
                </c:pt>
                <c:pt idx="24">
                  <c:v>-236.7829776650297</c:v>
                </c:pt>
                <c:pt idx="25">
                  <c:v>-232.40081972767459</c:v>
                </c:pt>
                <c:pt idx="26">
                  <c:v>-228.13851582548551</c:v>
                </c:pt>
                <c:pt idx="27">
                  <c:v>-224.00393141600014</c:v>
                </c:pt>
                <c:pt idx="28">
                  <c:v>-205.38517544508861</c:v>
                </c:pt>
                <c:pt idx="29">
                  <c:v>-190.17073334886172</c:v>
                </c:pt>
                <c:pt idx="30">
                  <c:v>-177.9513478927461</c:v>
                </c:pt>
                <c:pt idx="31">
                  <c:v>-168.16469252196225</c:v>
                </c:pt>
                <c:pt idx="32">
                  <c:v>-160.28850923852571</c:v>
                </c:pt>
                <c:pt idx="33">
                  <c:v>-153.89723871162735</c:v>
                </c:pt>
                <c:pt idx="34">
                  <c:v>-148.66188062442379</c:v>
                </c:pt>
                <c:pt idx="35">
                  <c:v>-144.33299094329851</c:v>
                </c:pt>
                <c:pt idx="36">
                  <c:v>-140.72213531221527</c:v>
                </c:pt>
                <c:pt idx="37">
                  <c:v>-137.68636389446473</c:v>
                </c:pt>
                <c:pt idx="38">
                  <c:v>-135.11634627526618</c:v>
                </c:pt>
                <c:pt idx="39">
                  <c:v>-132.92762928938265</c:v>
                </c:pt>
                <c:pt idx="40">
                  <c:v>-131.05428078160975</c:v>
                </c:pt>
                <c:pt idx="41">
                  <c:v>-129.44427676214104</c:v>
                </c:pt>
                <c:pt idx="42">
                  <c:v>-128.05614013166485</c:v>
                </c:pt>
                <c:pt idx="43">
                  <c:v>-126.85647368657598</c:v>
                </c:pt>
                <c:pt idx="44">
                  <c:v>-125.81813345591576</c:v>
                </c:pt>
                <c:pt idx="45">
                  <c:v>-124.91886319798675</c:v>
                </c:pt>
                <c:pt idx="46">
                  <c:v>-124.14026361400937</c:v>
                </c:pt>
                <c:pt idx="47">
                  <c:v>-123.46700665291567</c:v>
                </c:pt>
                <c:pt idx="48">
                  <c:v>-122.88623094759717</c:v>
                </c:pt>
                <c:pt idx="49">
                  <c:v>-122.38707237107403</c:v>
                </c:pt>
                <c:pt idx="50">
                  <c:v>-121.96029632429578</c:v>
                </c:pt>
                <c:pt idx="51">
                  <c:v>-121.59800731004441</c:v>
                </c:pt>
                <c:pt idx="52">
                  <c:v>-121.2934177341387</c:v>
                </c:pt>
                <c:pt idx="53">
                  <c:v>-121.040662475216</c:v>
                </c:pt>
                <c:pt idx="54">
                  <c:v>-120.83464910621242</c:v>
                </c:pt>
                <c:pt idx="55">
                  <c:v>-120.67093609930801</c:v>
                </c:pt>
                <c:pt idx="56">
                  <c:v>-120.5456331554341</c:v>
                </c:pt>
                <c:pt idx="57">
                  <c:v>-120.45531914737775</c:v>
                </c:pt>
                <c:pt idx="58">
                  <c:v>-120.39697417772204</c:v>
                </c:pt>
                <c:pt idx="59">
                  <c:v>-120.36792301880502</c:v>
                </c:pt>
                <c:pt idx="60">
                  <c:v>-120.36578778575819</c:v>
                </c:pt>
                <c:pt idx="61">
                  <c:v>-120.38844814194448</c:v>
                </c:pt>
                <c:pt idx="62">
                  <c:v>-120.43400768259744</c:v>
                </c:pt>
                <c:pt idx="63">
                  <c:v>-120.50076541203057</c:v>
                </c:pt>
                <c:pt idx="64">
                  <c:v>-120.58719144082204</c:v>
                </c:pt>
                <c:pt idx="65">
                  <c:v>-120.69190619558796</c:v>
                </c:pt>
                <c:pt idx="66">
                  <c:v>-120.81366256560921</c:v>
                </c:pt>
                <c:pt idx="67">
                  <c:v>-120.95133051543378</c:v>
                </c:pt>
                <c:pt idx="68">
                  <c:v>-121.10388377653049</c:v>
                </c:pt>
                <c:pt idx="69">
                  <c:v>-121.27038829862929</c:v>
                </c:pt>
                <c:pt idx="70">
                  <c:v>-121.44999219601392</c:v>
                </c:pt>
                <c:pt idx="71">
                  <c:v>-121.64191696841256</c:v>
                </c:pt>
                <c:pt idx="72">
                  <c:v>-121.84544981234826</c:v>
                </c:pt>
                <c:pt idx="73">
                  <c:v>-122.05993686849025</c:v>
                </c:pt>
                <c:pt idx="74">
                  <c:v>-122.28477727497057</c:v>
                </c:pt>
                <c:pt idx="75">
                  <c:v>-122.5194179168096</c:v>
                </c:pt>
                <c:pt idx="76">
                  <c:v>-122.76334877832718</c:v>
                </c:pt>
                <c:pt idx="77">
                  <c:v>-123.01609881934729</c:v>
                </c:pt>
                <c:pt idx="78">
                  <c:v>-123.27723230763816</c:v>
                </c:pt>
                <c:pt idx="79">
                  <c:v>-123.54634554978531</c:v>
                </c:pt>
                <c:pt idx="80">
                  <c:v>-123.82306397089354</c:v>
                </c:pt>
                <c:pt idx="81">
                  <c:v>-124.10703950043674</c:v>
                </c:pt>
                <c:pt idx="82">
                  <c:v>-124.39794822742641</c:v>
                </c:pt>
                <c:pt idx="83">
                  <c:v>-124.69548829304135</c:v>
                </c:pt>
                <c:pt idx="84">
                  <c:v>-124.99937799308925</c:v>
                </c:pt>
                <c:pt idx="85">
                  <c:v>-125.30935406628225</c:v>
                </c:pt>
                <c:pt idx="86">
                  <c:v>-125.62517014739629</c:v>
                </c:pt>
                <c:pt idx="87">
                  <c:v>-125.94659536703688</c:v>
                </c:pt>
                <c:pt idx="88">
                  <c:v>-126.27341308201223</c:v>
                </c:pt>
                <c:pt idx="89">
                  <c:v>-126.60541972228202</c:v>
                </c:pt>
                <c:pt idx="90">
                  <c:v>-126.94242374214875</c:v>
                </c:pt>
                <c:pt idx="91">
                  <c:v>-127.28424466483031</c:v>
                </c:pt>
                <c:pt idx="92">
                  <c:v>-127.63071221083111</c:v>
                </c:pt>
                <c:pt idx="93">
                  <c:v>-127.98166550164049</c:v>
                </c:pt>
                <c:pt idx="94">
                  <c:v>-128.33695233125644</c:v>
                </c:pt>
                <c:pt idx="95">
                  <c:v>-128.69642849887992</c:v>
                </c:pt>
                <c:pt idx="96">
                  <c:v>-129.05995719686604</c:v>
                </c:pt>
                <c:pt idx="97">
                  <c:v>-129.42740844866842</c:v>
                </c:pt>
                <c:pt idx="98">
                  <c:v>-129.79865859208513</c:v>
                </c:pt>
                <c:pt idx="99">
                  <c:v>-130.17358980361595</c:v>
                </c:pt>
                <c:pt idx="100">
                  <c:v>-130.55208966018549</c:v>
                </c:pt>
                <c:pt idx="101">
                  <c:v>-130.93405073487696</c:v>
                </c:pt>
                <c:pt idx="102">
                  <c:v>-131.3193702236693</c:v>
                </c:pt>
                <c:pt idx="103">
                  <c:v>-131.70794960047573</c:v>
                </c:pt>
                <c:pt idx="104">
                  <c:v>-132.09969429805517</c:v>
                </c:pt>
                <c:pt idx="105">
                  <c:v>-132.49451341261047</c:v>
                </c:pt>
                <c:pt idx="106">
                  <c:v>-132.89231943010131</c:v>
                </c:pt>
                <c:pt idx="107">
                  <c:v>-133.29302797249335</c:v>
                </c:pt>
                <c:pt idx="108">
                  <c:v>-133.69655756233618</c:v>
                </c:pt>
                <c:pt idx="109">
                  <c:v>-134.10282940421507</c:v>
                </c:pt>
                <c:pt idx="110">
                  <c:v>-134.51176718175958</c:v>
                </c:pt>
                <c:pt idx="111">
                  <c:v>-134.92329686901456</c:v>
                </c:pt>
                <c:pt idx="112">
                  <c:v>-135.33734655508906</c:v>
                </c:pt>
                <c:pt idx="113">
                  <c:v>-135.75384628109751</c:v>
                </c:pt>
                <c:pt idx="114">
                  <c:v>-136.17272788849726</c:v>
                </c:pt>
                <c:pt idx="115">
                  <c:v>-136.59392487800534</c:v>
                </c:pt>
                <c:pt idx="116">
                  <c:v>-137.01737227835</c:v>
                </c:pt>
                <c:pt idx="117">
                  <c:v>-137.44300652417772</c:v>
                </c:pt>
                <c:pt idx="118">
                  <c:v>-137.87076534249448</c:v>
                </c:pt>
                <c:pt idx="119">
                  <c:v>-138.30058764707286</c:v>
                </c:pt>
                <c:pt idx="120">
                  <c:v>-138.73241344030544</c:v>
                </c:pt>
                <c:pt idx="121">
                  <c:v>-139.16618372202601</c:v>
                </c:pt>
                <c:pt idx="122">
                  <c:v>-139.60184040486158</c:v>
                </c:pt>
                <c:pt idx="123">
                  <c:v>-140.03932623571174</c:v>
                </c:pt>
                <c:pt idx="124">
                  <c:v>-140.47858472298481</c:v>
                </c:pt>
                <c:pt idx="125">
                  <c:v>-140.91956006924869</c:v>
                </c:pt>
                <c:pt idx="126">
                  <c:v>-141.36219710898109</c:v>
                </c:pt>
                <c:pt idx="127">
                  <c:v>-141.80644125112721</c:v>
                </c:pt>
                <c:pt idx="128">
                  <c:v>-142.25223842619437</c:v>
                </c:pt>
                <c:pt idx="129">
                  <c:v>-142.69953503763344</c:v>
                </c:pt>
                <c:pt idx="130">
                  <c:v>-143.14827791727356</c:v>
                </c:pt>
                <c:pt idx="131">
                  <c:v>-143.59841428459322</c:v>
                </c:pt>
                <c:pt idx="132">
                  <c:v>-144.04989170962574</c:v>
                </c:pt>
                <c:pt idx="133">
                  <c:v>-144.50265807930938</c:v>
                </c:pt>
                <c:pt idx="134">
                  <c:v>-144.95666156710524</c:v>
                </c:pt>
                <c:pt idx="135">
                  <c:v>-145.41185060571618</c:v>
                </c:pt>
                <c:pt idx="136">
                  <c:v>-145.86817386275004</c:v>
                </c:pt>
                <c:pt idx="137">
                  <c:v>-146.32558021918004</c:v>
                </c:pt>
                <c:pt idx="138">
                  <c:v>-146.78401875046148</c:v>
                </c:pt>
                <c:pt idx="139">
                  <c:v>-147.24343871017371</c:v>
                </c:pt>
                <c:pt idx="140">
                  <c:v>-147.70378951605946</c:v>
                </c:pt>
                <c:pt idx="141">
                  <c:v>-148.16502073834397</c:v>
                </c:pt>
                <c:pt idx="142">
                  <c:v>-148.6270820902173</c:v>
                </c:pt>
                <c:pt idx="143">
                  <c:v>-149.08992342037143</c:v>
                </c:pt>
                <c:pt idx="144">
                  <c:v>-149.5534947074861</c:v>
                </c:pt>
                <c:pt idx="145">
                  <c:v>-150.01774605656274</c:v>
                </c:pt>
                <c:pt idx="146">
                  <c:v>-150.48262769700838</c:v>
                </c:pt>
                <c:pt idx="147">
                  <c:v>-150.94808998237573</c:v>
                </c:pt>
                <c:pt idx="148">
                  <c:v>-151.41408339166756</c:v>
                </c:pt>
                <c:pt idx="149">
                  <c:v>-151.88055853211756</c:v>
                </c:pt>
                <c:pt idx="150">
                  <c:v>-152.347466143361</c:v>
                </c:pt>
                <c:pt idx="151">
                  <c:v>-152.8147571029121</c:v>
                </c:pt>
                <c:pt idx="152">
                  <c:v>-153.28238243286626</c:v>
                </c:pt>
                <c:pt idx="153">
                  <c:v>-153.75029330774774</c:v>
                </c:pt>
                <c:pt idx="154">
                  <c:v>-154.21844106342544</c:v>
                </c:pt>
                <c:pt idx="155">
                  <c:v>-154.68677720702064</c:v>
                </c:pt>
                <c:pt idx="156">
                  <c:v>-155.15525342773262</c:v>
                </c:pt>
                <c:pt idx="157">
                  <c:v>-155.6238216085101</c:v>
                </c:pt>
                <c:pt idx="158">
                  <c:v>-156.09243383849659</c:v>
                </c:pt>
                <c:pt idx="159">
                  <c:v>-156.56104242618181</c:v>
                </c:pt>
                <c:pt idx="160">
                  <c:v>-157.02959991318937</c:v>
                </c:pt>
                <c:pt idx="161">
                  <c:v>-157.49805908863596</c:v>
                </c:pt>
                <c:pt idx="162">
                  <c:v>-157.96637300399618</c:v>
                </c:pt>
                <c:pt idx="163">
                  <c:v>-158.43449498840999</c:v>
                </c:pt>
                <c:pt idx="164">
                  <c:v>-158.90237866437025</c:v>
                </c:pt>
                <c:pt idx="165">
                  <c:v>-159.369977963731</c:v>
                </c:pt>
                <c:pt idx="166">
                  <c:v>-159.83724714397613</c:v>
                </c:pt>
                <c:pt idx="167">
                  <c:v>-160.30414080469254</c:v>
                </c:pt>
                <c:pt idx="168">
                  <c:v>-160.7706139041909</c:v>
                </c:pt>
                <c:pt idx="169">
                  <c:v>-161.23662177622055</c:v>
                </c:pt>
                <c:pt idx="170">
                  <c:v>-161.70212014672589</c:v>
                </c:pt>
                <c:pt idx="171">
                  <c:v>-162.16706515059346</c:v>
                </c:pt>
                <c:pt idx="172">
                  <c:v>-162.63141334834094</c:v>
                </c:pt>
                <c:pt idx="173">
                  <c:v>-163.09512174270029</c:v>
                </c:pt>
                <c:pt idx="174">
                  <c:v>-163.5581477950505</c:v>
                </c:pt>
                <c:pt idx="175">
                  <c:v>-164.02044944165556</c:v>
                </c:pt>
                <c:pt idx="176">
                  <c:v>-164.48198510966637</c:v>
                </c:pt>
                <c:pt idx="177">
                  <c:v>-164.94271373284715</c:v>
                </c:pt>
                <c:pt idx="178">
                  <c:v>-165.40259476698753</c:v>
                </c:pt>
                <c:pt idx="179">
                  <c:v>-165.86158820496613</c:v>
                </c:pt>
                <c:pt idx="180">
                  <c:v>-166.3196545914297</c:v>
                </c:pt>
                <c:pt idx="181">
                  <c:v>-166.77675503705836</c:v>
                </c:pt>
                <c:pt idx="182">
                  <c:v>-167.23285123238483</c:v>
                </c:pt>
                <c:pt idx="183">
                  <c:v>-167.68790546114175</c:v>
                </c:pt>
                <c:pt idx="184">
                  <c:v>-168.1418806131102</c:v>
                </c:pt>
                <c:pt idx="185">
                  <c:v>-168.5947401964462</c:v>
                </c:pt>
                <c:pt idx="186">
                  <c:v>-169.04644834946328</c:v>
                </c:pt>
                <c:pt idx="187">
                  <c:v>-169.49696985185207</c:v>
                </c:pt>
                <c:pt idx="188">
                  <c:v>-169.94627013531831</c:v>
                </c:pt>
                <c:pt idx="189">
                  <c:v>-170.3943152936244</c:v>
                </c:pt>
                <c:pt idx="190">
                  <c:v>-170.84107209202031</c:v>
                </c:pt>
                <c:pt idx="191">
                  <c:v>-171.28650797605258</c:v>
                </c:pt>
                <c:pt idx="192">
                  <c:v>-171.73059107974089</c:v>
                </c:pt>
                <c:pt idx="193">
                  <c:v>-172.17329023311484</c:v>
                </c:pt>
                <c:pt idx="194">
                  <c:v>-172.61457496910418</c:v>
                </c:pt>
                <c:pt idx="195">
                  <c:v>-173.05441552977842</c:v>
                </c:pt>
                <c:pt idx="196">
                  <c:v>-173.49278287193277</c:v>
                </c:pt>
                <c:pt idx="197">
                  <c:v>-173.92964867201997</c:v>
                </c:pt>
                <c:pt idx="198">
                  <c:v>-174.36498533042763</c:v>
                </c:pt>
                <c:pt idx="199">
                  <c:v>-174.79876597510435</c:v>
                </c:pt>
                <c:pt idx="200">
                  <c:v>-175.2309644645369</c:v>
                </c:pt>
                <c:pt idx="201">
                  <c:v>-175.66155539008471</c:v>
                </c:pt>
                <c:pt idx="202">
                  <c:v>-176.0905140776772</c:v>
                </c:pt>
                <c:pt idx="203">
                  <c:v>-176.51781658888225</c:v>
                </c:pt>
                <c:pt idx="204">
                  <c:v>-176.94343972135405</c:v>
                </c:pt>
                <c:pt idx="205">
                  <c:v>-177.36736100867085</c:v>
                </c:pt>
                <c:pt idx="206">
                  <c:v>-177.78955871957368</c:v>
                </c:pt>
                <c:pt idx="207">
                  <c:v>-178.210011856618</c:v>
                </c:pt>
                <c:pt idx="208">
                  <c:v>-178.62870015425165</c:v>
                </c:pt>
                <c:pt idx="209">
                  <c:v>-179.0456040763323</c:v>
                </c:pt>
                <c:pt idx="210">
                  <c:v>-179.46070481310034</c:v>
                </c:pt>
                <c:pt idx="211">
                  <c:v>-179.87398427762139</c:v>
                </c:pt>
                <c:pt idx="212">
                  <c:v>-180.2854251017157</c:v>
                </c:pt>
                <c:pt idx="213">
                  <c:v>-180.69501063138983</c:v>
                </c:pt>
                <c:pt idx="214">
                  <c:v>-181.1027249217893</c:v>
                </c:pt>
                <c:pt idx="215">
                  <c:v>-181.50855273168838</c:v>
                </c:pt>
                <c:pt idx="216">
                  <c:v>-181.91247951753635</c:v>
                </c:pt>
                <c:pt idx="217">
                  <c:v>-182.31449142707757</c:v>
                </c:pt>
                <c:pt idx="218">
                  <c:v>-182.71457529256449</c:v>
                </c:pt>
                <c:pt idx="219">
                  <c:v>-183.11271862358251</c:v>
                </c:pt>
                <c:pt idx="220">
                  <c:v>-183.50890959950527</c:v>
                </c:pt>
                <c:pt idx="221">
                  <c:v>-183.90313706159944</c:v>
                </c:pt>
                <c:pt idx="222">
                  <c:v>-184.29539050479858</c:v>
                </c:pt>
                <c:pt idx="223">
                  <c:v>-184.68566006916461</c:v>
                </c:pt>
                <c:pt idx="224">
                  <c:v>-185.07393653105592</c:v>
                </c:pt>
                <c:pt idx="225">
                  <c:v>-185.46021129402143</c:v>
                </c:pt>
                <c:pt idx="226">
                  <c:v>-189.21140331286767</c:v>
                </c:pt>
                <c:pt idx="227">
                  <c:v>-192.75724131607959</c:v>
                </c:pt>
                <c:pt idx="228">
                  <c:v>-196.09785914366026</c:v>
                </c:pt>
                <c:pt idx="229">
                  <c:v>-199.23732175335999</c:v>
                </c:pt>
                <c:pt idx="230">
                  <c:v>-202.18258707585912</c:v>
                </c:pt>
                <c:pt idx="231">
                  <c:v>-204.94259167345055</c:v>
                </c:pt>
                <c:pt idx="232">
                  <c:v>-207.52749266238936</c:v>
                </c:pt>
                <c:pt idx="233">
                  <c:v>-209.94807014099823</c:v>
                </c:pt>
                <c:pt idx="234">
                  <c:v>-212.21527716533134</c:v>
                </c:pt>
                <c:pt idx="235">
                  <c:v>-214.33991588565911</c:v>
                </c:pt>
                <c:pt idx="236">
                  <c:v>-216.33241602306956</c:v>
                </c:pt>
                <c:pt idx="237">
                  <c:v>-218.2026929893004</c:v>
                </c:pt>
                <c:pt idx="238">
                  <c:v>-219.96006584017169</c:v>
                </c:pt>
                <c:pt idx="239">
                  <c:v>-221.61321874086417</c:v>
                </c:pt>
                <c:pt idx="240">
                  <c:v>-223.17019304268953</c:v>
                </c:pt>
                <c:pt idx="241">
                  <c:v>-224.63840009881537</c:v>
                </c:pt>
                <c:pt idx="242">
                  <c:v>-226.02464746336148</c:v>
                </c:pt>
                <c:pt idx="243">
                  <c:v>-227.33517312345467</c:v>
                </c:pt>
                <c:pt idx="244">
                  <c:v>-228.57568396230101</c:v>
                </c:pt>
                <c:pt idx="245">
                  <c:v>-229.75139581845511</c:v>
                </c:pt>
                <c:pt idx="246">
                  <c:v>-230.86707336865345</c:v>
                </c:pt>
                <c:pt idx="247">
                  <c:v>-231.9270686872664</c:v>
                </c:pt>
                <c:pt idx="248">
                  <c:v>-232.93535778182192</c:v>
                </c:pt>
                <c:pt idx="249">
                  <c:v>-233.89557471696637</c:v>
                </c:pt>
                <c:pt idx="250">
                  <c:v>-234.81104315422039</c:v>
                </c:pt>
                <c:pt idx="251">
                  <c:v>-235.68480527900937</c:v>
                </c:pt>
                <c:pt idx="252">
                  <c:v>-236.51964817990336</c:v>
                </c:pt>
                <c:pt idx="253">
                  <c:v>-237.31812780270872</c:v>
                </c:pt>
                <c:pt idx="254">
                  <c:v>-238.0825906348872</c:v>
                </c:pt>
                <c:pt idx="255">
                  <c:v>-238.81519329159678</c:v>
                </c:pt>
                <c:pt idx="256">
                  <c:v>-239.51792017907644</c:v>
                </c:pt>
                <c:pt idx="257">
                  <c:v>-240.19259940811864</c:v>
                </c:pt>
                <c:pt idx="258">
                  <c:v>-240.84091712278678</c:v>
                </c:pt>
                <c:pt idx="259">
                  <c:v>-241.46443039927544</c:v>
                </c:pt>
                <c:pt idx="260">
                  <c:v>-242.06457885820515</c:v>
                </c:pt>
                <c:pt idx="261">
                  <c:v>-242.64269512157534</c:v>
                </c:pt>
                <c:pt idx="262">
                  <c:v>-243.2000142336459</c:v>
                </c:pt>
                <c:pt idx="263">
                  <c:v>-243.73768215354372</c:v>
                </c:pt>
                <c:pt idx="264">
                  <c:v>-244.25676341660539</c:v>
                </c:pt>
                <c:pt idx="265">
                  <c:v>-244.75824805148429</c:v>
                </c:pt>
                <c:pt idx="266">
                  <c:v>-245.24305783090853</c:v>
                </c:pt>
                <c:pt idx="267">
                  <c:v>-245.71205192567746</c:v>
                </c:pt>
                <c:pt idx="268">
                  <c:v>-246.16603202399352</c:v>
                </c:pt>
                <c:pt idx="269">
                  <c:v>-246.60574697150059</c:v>
                </c:pt>
                <c:pt idx="270">
                  <c:v>-247.03189698137942</c:v>
                </c:pt>
                <c:pt idx="271">
                  <c:v>-247.44513745847669</c:v>
                </c:pt>
                <c:pt idx="272">
                  <c:v>-247.84608247666193</c:v>
                </c:pt>
                <c:pt idx="273">
                  <c:v>-248.23530794434589</c:v>
                </c:pt>
                <c:pt idx="274">
                  <c:v>-248.61335448931536</c:v>
                </c:pt>
                <c:pt idx="275">
                  <c:v>-248.98073009067912</c:v>
                </c:pt>
                <c:pt idx="276">
                  <c:v>-249.33791248274076</c:v>
                </c:pt>
                <c:pt idx="277">
                  <c:v>-249.68535135296713</c:v>
                </c:pt>
                <c:pt idx="278">
                  <c:v>-250.02347035387379</c:v>
                </c:pt>
                <c:pt idx="279">
                  <c:v>-250.35266894656502</c:v>
                </c:pt>
                <c:pt idx="280">
                  <c:v>-250.67332409181282</c:v>
                </c:pt>
                <c:pt idx="281">
                  <c:v>-250.98579180291614</c:v>
                </c:pt>
                <c:pt idx="282">
                  <c:v>-251.29040857311702</c:v>
                </c:pt>
                <c:pt idx="283">
                  <c:v>-251.58749268905092</c:v>
                </c:pt>
                <c:pt idx="284">
                  <c:v>-251.87734544054808</c:v>
                </c:pt>
                <c:pt idx="285">
                  <c:v>-252.16025223607141</c:v>
                </c:pt>
                <c:pt idx="286">
                  <c:v>-252.4364836321555</c:v>
                </c:pt>
                <c:pt idx="287">
                  <c:v>-252.70629628438957</c:v>
                </c:pt>
                <c:pt idx="288">
                  <c:v>-252.96993382675251</c:v>
                </c:pt>
                <c:pt idx="289">
                  <c:v>-253.22762768545226</c:v>
                </c:pt>
                <c:pt idx="290">
                  <c:v>-253.4795978328346</c:v>
                </c:pt>
                <c:pt idx="291">
                  <c:v>-253.72605348639883</c:v>
                </c:pt>
                <c:pt idx="292">
                  <c:v>-253.96719375748643</c:v>
                </c:pt>
                <c:pt idx="293">
                  <c:v>-254.20320825378616</c:v>
                </c:pt>
                <c:pt idx="294">
                  <c:v>-254.434277639416</c:v>
                </c:pt>
                <c:pt idx="295">
                  <c:v>-254.66057415600238</c:v>
                </c:pt>
                <c:pt idx="296">
                  <c:v>-254.88226210786769</c:v>
                </c:pt>
                <c:pt idx="297">
                  <c:v>-255.09949831415918</c:v>
                </c:pt>
                <c:pt idx="298">
                  <c:v>-255.31243253050306</c:v>
                </c:pt>
                <c:pt idx="299">
                  <c:v>-255.52120784253987</c:v>
                </c:pt>
                <c:pt idx="300">
                  <c:v>-255.72596103349429</c:v>
                </c:pt>
                <c:pt idx="301">
                  <c:v>-255.92682292774688</c:v>
                </c:pt>
                <c:pt idx="302">
                  <c:v>-256.12391871220791</c:v>
                </c:pt>
                <c:pt idx="303">
                  <c:v>-256.31736823714209</c:v>
                </c:pt>
                <c:pt idx="304">
                  <c:v>-256.50728629795526</c:v>
                </c:pt>
                <c:pt idx="305">
                  <c:v>-256.69378289932888</c:v>
                </c:pt>
                <c:pt idx="306">
                  <c:v>-256.87696350297585</c:v>
                </c:pt>
                <c:pt idx="307">
                  <c:v>-257.05692926018571</c:v>
                </c:pt>
                <c:pt idx="308">
                  <c:v>-257.23377723023583</c:v>
                </c:pt>
                <c:pt idx="309">
                  <c:v>-257.40760058565803</c:v>
                </c:pt>
                <c:pt idx="310">
                  <c:v>-257.57848880527177</c:v>
                </c:pt>
                <c:pt idx="311">
                  <c:v>-257.74652785582555</c:v>
                </c:pt>
                <c:pt idx="312">
                  <c:v>-257.91180036302057</c:v>
                </c:pt>
                <c:pt idx="313">
                  <c:v>-258.07438577263349</c:v>
                </c:pt>
                <c:pt idx="314">
                  <c:v>-258.2343605023994</c:v>
                </c:pt>
                <c:pt idx="315">
                  <c:v>-258.39179808526609</c:v>
                </c:pt>
                <c:pt idx="316">
                  <c:v>-258.54676930458629</c:v>
                </c:pt>
                <c:pt idx="317">
                  <c:v>-258.69934232177093</c:v>
                </c:pt>
                <c:pt idx="318">
                  <c:v>-258.84958279689016</c:v>
                </c:pt>
                <c:pt idx="319">
                  <c:v>-258.99755400267054</c:v>
                </c:pt>
                <c:pt idx="320">
                  <c:v>-259.14331693230815</c:v>
                </c:pt>
                <c:pt idx="321">
                  <c:v>-259.28693040148352</c:v>
                </c:pt>
                <c:pt idx="322">
                  <c:v>-259.42845114494014</c:v>
                </c:pt>
                <c:pt idx="323">
                  <c:v>-259.56793390796122</c:v>
                </c:pt>
                <c:pt idx="324">
                  <c:v>-259.70543153305539</c:v>
                </c:pt>
                <c:pt idx="325">
                  <c:v>-259.84099504214316</c:v>
                </c:pt>
                <c:pt idx="326">
                  <c:v>-259.97467371451307</c:v>
                </c:pt>
                <c:pt idx="327">
                  <c:v>-260.10651516079986</c:v>
                </c:pt>
                <c:pt idx="328">
                  <c:v>-260.23656539321951</c:v>
                </c:pt>
                <c:pt idx="329">
                  <c:v>-260.36486889228036</c:v>
                </c:pt>
                <c:pt idx="330">
                  <c:v>-260.49146867017515</c:v>
                </c:pt>
                <c:pt idx="331">
                  <c:v>-260.61640633104486</c:v>
                </c:pt>
                <c:pt idx="332">
                  <c:v>-260.73972212829295</c:v>
                </c:pt>
                <c:pt idx="333">
                  <c:v>-260.86145501911795</c:v>
                </c:pt>
                <c:pt idx="334">
                  <c:v>-260.98164271641986</c:v>
                </c:pt>
                <c:pt idx="335">
                  <c:v>-261.10032173822719</c:v>
                </c:pt>
                <c:pt idx="336">
                  <c:v>-261.21752745478221</c:v>
                </c:pt>
                <c:pt idx="337">
                  <c:v>-261.33329413341227</c:v>
                </c:pt>
                <c:pt idx="338">
                  <c:v>-261.4476549813084</c:v>
                </c:pt>
                <c:pt idx="339">
                  <c:v>-261.56064218632389</c:v>
                </c:pt>
                <c:pt idx="340">
                  <c:v>-261.67228695589921</c:v>
                </c:pt>
                <c:pt idx="341">
                  <c:v>-261.7826195542134</c:v>
                </c:pt>
                <c:pt idx="342">
                  <c:v>-261.8916693376546</c:v>
                </c:pt>
                <c:pt idx="343">
                  <c:v>-261.99946478869919</c:v>
                </c:pt>
                <c:pt idx="344">
                  <c:v>-262.10603354828095</c:v>
                </c:pt>
                <c:pt idx="345">
                  <c:v>-262.21140244672955</c:v>
                </c:pt>
                <c:pt idx="346">
                  <c:v>-262.31559753335085</c:v>
                </c:pt>
                <c:pt idx="347">
                  <c:v>-262.41864410471845</c:v>
                </c:pt>
                <c:pt idx="348">
                  <c:v>-262.52056673174167</c:v>
                </c:pt>
                <c:pt idx="349">
                  <c:v>-262.62138928557101</c:v>
                </c:pt>
                <c:pt idx="350">
                  <c:v>-262.72113496239979</c:v>
                </c:pt>
                <c:pt idx="351">
                  <c:v>-262.81982630721507</c:v>
                </c:pt>
                <c:pt idx="352">
                  <c:v>-262.91748523655178</c:v>
                </c:pt>
                <c:pt idx="353">
                  <c:v>-263.01413306029576</c:v>
                </c:pt>
                <c:pt idx="354">
                  <c:v>-263.10979050258464</c:v>
                </c:pt>
                <c:pt idx="355">
                  <c:v>-263.20447772184741</c:v>
                </c:pt>
                <c:pt idx="356">
                  <c:v>-263.29821433002604</c:v>
                </c:pt>
                <c:pt idx="357">
                  <c:v>-263.39101941101615</c:v>
                </c:pt>
                <c:pt idx="358">
                  <c:v>-263.48291153836465</c:v>
                </c:pt>
                <c:pt idx="359">
                  <c:v>-263.57390879225875</c:v>
                </c:pt>
                <c:pt idx="360">
                  <c:v>-263.66402877583891</c:v>
                </c:pt>
                <c:pt idx="361">
                  <c:v>-263.75328863086793</c:v>
                </c:pt>
                <c:pt idx="362">
                  <c:v>-263.84170505278439</c:v>
                </c:pt>
                <c:pt idx="363">
                  <c:v>-263.92929430516983</c:v>
                </c:pt>
                <c:pt idx="364">
                  <c:v>-264.01607223365505</c:v>
                </c:pt>
                <c:pt idx="365">
                  <c:v>-264.10205427929156</c:v>
                </c:pt>
                <c:pt idx="366">
                  <c:v>-264.18725549141175</c:v>
                </c:pt>
                <c:pt idx="367">
                  <c:v>-264.27169054000069</c:v>
                </c:pt>
                <c:pt idx="368">
                  <c:v>-264.35537372760024</c:v>
                </c:pt>
                <c:pt idx="369">
                  <c:v>-264.43831900076776</c:v>
                </c:pt>
                <c:pt idx="370">
                  <c:v>-264.52053996110692</c:v>
                </c:pt>
                <c:pt idx="371">
                  <c:v>-264.60204987588992</c:v>
                </c:pt>
                <c:pt idx="372">
                  <c:v>-264.68286168828945</c:v>
                </c:pt>
                <c:pt idx="373">
                  <c:v>-264.76298802723574</c:v>
                </c:pt>
                <c:pt idx="374">
                  <c:v>-264.84244121691506</c:v>
                </c:pt>
                <c:pt idx="375">
                  <c:v>-264.92123328592584</c:v>
                </c:pt>
                <c:pt idx="376">
                  <c:v>-264.99937597610506</c:v>
                </c:pt>
                <c:pt idx="377">
                  <c:v>-265.07688075103994</c:v>
                </c:pt>
                <c:pt idx="378">
                  <c:v>-265.1537588042778</c:v>
                </c:pt>
                <c:pt idx="379">
                  <c:v>-265.23002106724584</c:v>
                </c:pt>
                <c:pt idx="380">
                  <c:v>-265.3056782168934</c:v>
                </c:pt>
                <c:pt idx="381">
                  <c:v>-265.38074068306804</c:v>
                </c:pt>
                <c:pt idx="382">
                  <c:v>-265.45521865563575</c:v>
                </c:pt>
                <c:pt idx="383">
                  <c:v>-265.52912209135593</c:v>
                </c:pt>
                <c:pt idx="384">
                  <c:v>-265.6024607205207</c:v>
                </c:pt>
                <c:pt idx="385">
                  <c:v>-265.67524405336849</c:v>
                </c:pt>
                <c:pt idx="386">
                  <c:v>-265.74748138628001</c:v>
                </c:pt>
                <c:pt idx="387">
                  <c:v>-265.81918180776586</c:v>
                </c:pt>
                <c:pt idx="388">
                  <c:v>-265.89035420425358</c:v>
                </c:pt>
                <c:pt idx="389">
                  <c:v>-265.9610072656821</c:v>
                </c:pt>
                <c:pt idx="390">
                  <c:v>-266.03114949091082</c:v>
                </c:pt>
                <c:pt idx="391">
                  <c:v>-266.10078919295097</c:v>
                </c:pt>
                <c:pt idx="392">
                  <c:v>-266.16993450402504</c:v>
                </c:pt>
                <c:pt idx="393">
                  <c:v>-266.23859338046236</c:v>
                </c:pt>
                <c:pt idx="394">
                  <c:v>-266.30677360743528</c:v>
                </c:pt>
                <c:pt idx="395">
                  <c:v>-266.37448280354357</c:v>
                </c:pt>
                <c:pt idx="396">
                  <c:v>-266.44172842525114</c:v>
                </c:pt>
                <c:pt idx="397">
                  <c:v>-266.50851777118243</c:v>
                </c:pt>
                <c:pt idx="398">
                  <c:v>-266.57485798628159</c:v>
                </c:pt>
                <c:pt idx="399">
                  <c:v>-266.6407560658414</c:v>
                </c:pt>
                <c:pt idx="400">
                  <c:v>-266.70621885940534</c:v>
                </c:pt>
                <c:pt idx="401">
                  <c:v>-266.77125307454833</c:v>
                </c:pt>
                <c:pt idx="402">
                  <c:v>-266.83586528053962</c:v>
                </c:pt>
                <c:pt idx="403">
                  <c:v>-266.90006191189354</c:v>
                </c:pt>
                <c:pt idx="404">
                  <c:v>-266.96384927181009</c:v>
                </c:pt>
                <c:pt idx="405">
                  <c:v>-267.02723353551141</c:v>
                </c:pt>
                <c:pt idx="406">
                  <c:v>-267.09022075347639</c:v>
                </c:pt>
                <c:pt idx="407">
                  <c:v>-267.15281685457734</c:v>
                </c:pt>
                <c:pt idx="408">
                  <c:v>-267.2150276491227</c:v>
                </c:pt>
                <c:pt idx="409">
                  <c:v>-267.27685883180868</c:v>
                </c:pt>
                <c:pt idx="410">
                  <c:v>-267.33831598458232</c:v>
                </c:pt>
                <c:pt idx="411">
                  <c:v>-267.39940457942066</c:v>
                </c:pt>
                <c:pt idx="412">
                  <c:v>-267.46012998102731</c:v>
                </c:pt>
                <c:pt idx="413">
                  <c:v>-267.5204974494502</c:v>
                </c:pt>
                <c:pt idx="414">
                  <c:v>-267.58051214262292</c:v>
                </c:pt>
                <c:pt idx="415">
                  <c:v>-267.64017911883195</c:v>
                </c:pt>
                <c:pt idx="416">
                  <c:v>-267.69950333911294</c:v>
                </c:pt>
                <c:pt idx="417">
                  <c:v>-267.75848966957767</c:v>
                </c:pt>
                <c:pt idx="418">
                  <c:v>-267.81714288367499</c:v>
                </c:pt>
                <c:pt idx="419">
                  <c:v>-267.87546766438658</c:v>
                </c:pt>
                <c:pt idx="420">
                  <c:v>-267.93346860636092</c:v>
                </c:pt>
                <c:pt idx="421">
                  <c:v>-267.99115021798707</c:v>
                </c:pt>
                <c:pt idx="422">
                  <c:v>-268.04851692341003</c:v>
                </c:pt>
                <c:pt idx="423">
                  <c:v>-268.10557306448959</c:v>
                </c:pt>
                <c:pt idx="424">
                  <c:v>-268.16232290270523</c:v>
                </c:pt>
                <c:pt idx="425">
                  <c:v>-268.21877062100776</c:v>
                </c:pt>
                <c:pt idx="426">
                  <c:v>-268.27492032561997</c:v>
                </c:pt>
                <c:pt idx="427">
                  <c:v>-268.33077604778828</c:v>
                </c:pt>
                <c:pt idx="428">
                  <c:v>-268.38634174548611</c:v>
                </c:pt>
                <c:pt idx="429">
                  <c:v>-268.44162130507084</c:v>
                </c:pt>
                <c:pt idx="430">
                  <c:v>-268.49661854289684</c:v>
                </c:pt>
                <c:pt idx="431">
                  <c:v>-268.55133720688377</c:v>
                </c:pt>
                <c:pt idx="432">
                  <c:v>-268.6057809780437</c:v>
                </c:pt>
                <c:pt idx="433">
                  <c:v>-268.65995347196713</c:v>
                </c:pt>
                <c:pt idx="434">
                  <c:v>-268.71385824026981</c:v>
                </c:pt>
                <c:pt idx="435">
                  <c:v>-268.76749877200069</c:v>
                </c:pt>
                <c:pt idx="436">
                  <c:v>-268.82087849501346</c:v>
                </c:pt>
                <c:pt idx="437">
                  <c:v>-268.87400077730172</c:v>
                </c:pt>
                <c:pt idx="438">
                  <c:v>-268.92686892829931</c:v>
                </c:pt>
                <c:pt idx="439">
                  <c:v>-268.97948620014694</c:v>
                </c:pt>
                <c:pt idx="440">
                  <c:v>-269.03185578892607</c:v>
                </c:pt>
                <c:pt idx="441">
                  <c:v>-269.08398083586093</c:v>
                </c:pt>
                <c:pt idx="442">
                  <c:v>-269.13586442848964</c:v>
                </c:pt>
                <c:pt idx="443">
                  <c:v>-269.18750960180535</c:v>
                </c:pt>
                <c:pt idx="444">
                  <c:v>-269.23891933936881</c:v>
                </c:pt>
                <c:pt idx="445">
                  <c:v>-269.29009657439201</c:v>
                </c:pt>
                <c:pt idx="446">
                  <c:v>-269.34104419079517</c:v>
                </c:pt>
                <c:pt idx="447">
                  <c:v>-269.39176502423686</c:v>
                </c:pt>
                <c:pt idx="448">
                  <c:v>-269.44226186311835</c:v>
                </c:pt>
                <c:pt idx="449">
                  <c:v>-269.49253744956286</c:v>
                </c:pt>
                <c:pt idx="450">
                  <c:v>-269.54259448037112</c:v>
                </c:pt>
                <c:pt idx="451">
                  <c:v>-269.59243560795227</c:v>
                </c:pt>
                <c:pt idx="452">
                  <c:v>-269.64206344123295</c:v>
                </c:pt>
                <c:pt idx="453">
                  <c:v>-269.6914805465434</c:v>
                </c:pt>
                <c:pt idx="454">
                  <c:v>-269.74068944848216</c:v>
                </c:pt>
                <c:pt idx="455">
                  <c:v>-269.78969263075999</c:v>
                </c:pt>
                <c:pt idx="456">
                  <c:v>-269.83849253702294</c:v>
                </c:pt>
                <c:pt idx="457">
                  <c:v>-269.8870915716559</c:v>
                </c:pt>
                <c:pt idx="458">
                  <c:v>-269.93549210056688</c:v>
                </c:pt>
                <c:pt idx="459">
                  <c:v>-269.98369645195226</c:v>
                </c:pt>
                <c:pt idx="460">
                  <c:v>-270.03170691704395</c:v>
                </c:pt>
                <c:pt idx="461">
                  <c:v>-270.07952575083931</c:v>
                </c:pt>
                <c:pt idx="462">
                  <c:v>-270.12715517281293</c:v>
                </c:pt>
                <c:pt idx="463">
                  <c:v>-270.17459736761231</c:v>
                </c:pt>
                <c:pt idx="464">
                  <c:v>-270.22185448573714</c:v>
                </c:pt>
                <c:pt idx="465">
                  <c:v>-270.2689286442025</c:v>
                </c:pt>
                <c:pt idx="466">
                  <c:v>-270.31582192718702</c:v>
                </c:pt>
                <c:pt idx="467">
                  <c:v>-270.36253638666557</c:v>
                </c:pt>
                <c:pt idx="468">
                  <c:v>-270.40907404302777</c:v>
                </c:pt>
                <c:pt idx="469">
                  <c:v>-270.45543688568188</c:v>
                </c:pt>
                <c:pt idx="470">
                  <c:v>-270.50162687364542</c:v>
                </c:pt>
                <c:pt idx="471">
                  <c:v>-270.54764593612168</c:v>
                </c:pt>
                <c:pt idx="472">
                  <c:v>-270.59349597306368</c:v>
                </c:pt>
                <c:pt idx="473">
                  <c:v>-270.63917885572499</c:v>
                </c:pt>
                <c:pt idx="474">
                  <c:v>-270.68469642719833</c:v>
                </c:pt>
                <c:pt idx="475">
                  <c:v>-270.73005050294199</c:v>
                </c:pt>
                <c:pt idx="476">
                  <c:v>-270.77524287129461</c:v>
                </c:pt>
                <c:pt idx="477">
                  <c:v>-270.82027529397828</c:v>
                </c:pt>
                <c:pt idx="478">
                  <c:v>-270.86514950659057</c:v>
                </c:pt>
                <c:pt idx="479">
                  <c:v>-270.90986721908575</c:v>
                </c:pt>
                <c:pt idx="480">
                  <c:v>-270.95443011624531</c:v>
                </c:pt>
                <c:pt idx="481">
                  <c:v>-270.99883985813796</c:v>
                </c:pt>
                <c:pt idx="482">
                  <c:v>-271.04309808057008</c:v>
                </c:pt>
                <c:pt idx="483">
                  <c:v>-271.08720639552581</c:v>
                </c:pt>
                <c:pt idx="484">
                  <c:v>-271.13116639159801</c:v>
                </c:pt>
                <c:pt idx="485">
                  <c:v>-271.1749796344094</c:v>
                </c:pt>
                <c:pt idx="486">
                  <c:v>-271.21864766702527</c:v>
                </c:pt>
                <c:pt idx="487">
                  <c:v>-271.26217201035649</c:v>
                </c:pt>
                <c:pt idx="488">
                  <c:v>-271.30555416355503</c:v>
                </c:pt>
                <c:pt idx="489">
                  <c:v>-271.34879560439964</c:v>
                </c:pt>
                <c:pt idx="490">
                  <c:v>-271.39189778967472</c:v>
                </c:pt>
                <c:pt idx="491">
                  <c:v>-271.43486215553992</c:v>
                </c:pt>
                <c:pt idx="492">
                  <c:v>-271.47769011789319</c:v>
                </c:pt>
                <c:pt idx="493">
                  <c:v>-271.52038307272494</c:v>
                </c:pt>
                <c:pt idx="494">
                  <c:v>-271.5629423964657</c:v>
                </c:pt>
                <c:pt idx="495">
                  <c:v>-271.60536944632616</c:v>
                </c:pt>
                <c:pt idx="496">
                  <c:v>-271.64766556063012</c:v>
                </c:pt>
                <c:pt idx="497">
                  <c:v>-271.68983205914077</c:v>
                </c:pt>
                <c:pt idx="498">
                  <c:v>-271.7318702433796</c:v>
                </c:pt>
                <c:pt idx="499">
                  <c:v>-271.77378139693974</c:v>
                </c:pt>
                <c:pt idx="500">
                  <c:v>-271.81556678579199</c:v>
                </c:pt>
                <c:pt idx="501">
                  <c:v>-271.85722765858497</c:v>
                </c:pt>
                <c:pt idx="502">
                  <c:v>-271.89876524693926</c:v>
                </c:pt>
                <c:pt idx="503">
                  <c:v>-271.94018076573514</c:v>
                </c:pt>
                <c:pt idx="504">
                  <c:v>-271.981475413395</c:v>
                </c:pt>
                <c:pt idx="505">
                  <c:v>-272.02265037215977</c:v>
                </c:pt>
                <c:pt idx="506">
                  <c:v>-272.0637068083596</c:v>
                </c:pt>
                <c:pt idx="507">
                  <c:v>-272.10464587268001</c:v>
                </c:pt>
                <c:pt idx="508">
                  <c:v>-272.14546870042125</c:v>
                </c:pt>
                <c:pt idx="509">
                  <c:v>-272.18617641175405</c:v>
                </c:pt>
                <c:pt idx="510">
                  <c:v>-272.22677011196907</c:v>
                </c:pt>
                <c:pt idx="511">
                  <c:v>-272.2672508917222</c:v>
                </c:pt>
                <c:pt idx="512">
                  <c:v>-272.30761982727466</c:v>
                </c:pt>
                <c:pt idx="513">
                  <c:v>-272.34787798072841</c:v>
                </c:pt>
                <c:pt idx="514">
                  <c:v>-272.38802640025727</c:v>
                </c:pt>
                <c:pt idx="515">
                  <c:v>-272.42806612033274</c:v>
                </c:pt>
                <c:pt idx="516">
                  <c:v>-272.46799816194664</c:v>
                </c:pt>
                <c:pt idx="517">
                  <c:v>-272.5078235328283</c:v>
                </c:pt>
                <c:pt idx="518">
                  <c:v>-272.54754322765808</c:v>
                </c:pt>
                <c:pt idx="519">
                  <c:v>-272.58715822827673</c:v>
                </c:pt>
                <c:pt idx="520">
                  <c:v>-272.62666950389087</c:v>
                </c:pt>
                <c:pt idx="521">
                  <c:v>-272.66607801127407</c:v>
                </c:pt>
                <c:pt idx="522">
                  <c:v>-272.70538469496466</c:v>
                </c:pt>
                <c:pt idx="523">
                  <c:v>-272.74459048745939</c:v>
                </c:pt>
                <c:pt idx="524">
                  <c:v>-272.78369630940358</c:v>
                </c:pt>
                <c:pt idx="525">
                  <c:v>-272.82270306977762</c:v>
                </c:pt>
                <c:pt idx="526">
                  <c:v>-272.86161166607991</c:v>
                </c:pt>
                <c:pt idx="527">
                  <c:v>-272.90042298450675</c:v>
                </c:pt>
                <c:pt idx="528">
                  <c:v>-272.93913790012812</c:v>
                </c:pt>
                <c:pt idx="529">
                  <c:v>-272.97775727706085</c:v>
                </c:pt>
                <c:pt idx="530">
                  <c:v>-273.01628196863828</c:v>
                </c:pt>
                <c:pt idx="531">
                  <c:v>-273.05471281757696</c:v>
                </c:pt>
                <c:pt idx="532">
                  <c:v>-273.09305065613978</c:v>
                </c:pt>
                <c:pt idx="533">
                  <c:v>-273.13129630629692</c:v>
                </c:pt>
                <c:pt idx="534">
                  <c:v>-273.16945057988295</c:v>
                </c:pt>
                <c:pt idx="535">
                  <c:v>-273.2075142787516</c:v>
                </c:pt>
                <c:pt idx="536">
                  <c:v>-273.24548819492782</c:v>
                </c:pt>
                <c:pt idx="537">
                  <c:v>-273.28337311075637</c:v>
                </c:pt>
                <c:pt idx="538">
                  <c:v>-273.32116979904868</c:v>
                </c:pt>
                <c:pt idx="539">
                  <c:v>-273.35887902322611</c:v>
                </c:pt>
                <c:pt idx="540">
                  <c:v>-273.39650153746123</c:v>
                </c:pt>
                <c:pt idx="541">
                  <c:v>-273.4340380868166</c:v>
                </c:pt>
                <c:pt idx="542">
                  <c:v>-273.47148940738049</c:v>
                </c:pt>
                <c:pt idx="543">
                  <c:v>-273.50885622640067</c:v>
                </c:pt>
                <c:pt idx="544">
                  <c:v>-273.54613926241592</c:v>
                </c:pt>
                <c:pt idx="545">
                  <c:v>-273.58333922538452</c:v>
                </c:pt>
                <c:pt idx="546">
                  <c:v>-273.62045681681133</c:v>
                </c:pt>
                <c:pt idx="547">
                  <c:v>-273.65749272987199</c:v>
                </c:pt>
                <c:pt idx="548">
                  <c:v>-273.69444764953505</c:v>
                </c:pt>
                <c:pt idx="549">
                  <c:v>-273.7313222526825</c:v>
                </c:pt>
                <c:pt idx="550">
                  <c:v>-273.76811720822707</c:v>
                </c:pt>
                <c:pt idx="551">
                  <c:v>-273.80483317722872</c:v>
                </c:pt>
                <c:pt idx="552">
                  <c:v>-273.84147081300841</c:v>
                </c:pt>
                <c:pt idx="553">
                  <c:v>-273.87803076125977</c:v>
                </c:pt>
                <c:pt idx="554">
                  <c:v>-273.9145136601594</c:v>
                </c:pt>
                <c:pt idx="555">
                  <c:v>-273.95092014047481</c:v>
                </c:pt>
                <c:pt idx="556">
                  <c:v>-273.98725082567063</c:v>
                </c:pt>
                <c:pt idx="557">
                  <c:v>-274.02350633201314</c:v>
                </c:pt>
                <c:pt idx="558">
                  <c:v>-274.05968726867286</c:v>
                </c:pt>
                <c:pt idx="559">
                  <c:v>-274.09579423782526</c:v>
                </c:pt>
                <c:pt idx="560">
                  <c:v>-274.13182783475014</c:v>
                </c:pt>
                <c:pt idx="561">
                  <c:v>-274.16778864792894</c:v>
                </c:pt>
                <c:pt idx="562">
                  <c:v>-274.2036772591407</c:v>
                </c:pt>
                <c:pt idx="563">
                  <c:v>-274.23949424355618</c:v>
                </c:pt>
                <c:pt idx="564">
                  <c:v>-274.27524016983057</c:v>
                </c:pt>
                <c:pt idx="565">
                  <c:v>-274.31091560019445</c:v>
                </c:pt>
                <c:pt idx="566">
                  <c:v>-274.34652109054343</c:v>
                </c:pt>
                <c:pt idx="567">
                  <c:v>-274.38205719052615</c:v>
                </c:pt>
                <c:pt idx="568">
                  <c:v>-274.41752444363101</c:v>
                </c:pt>
                <c:pt idx="569">
                  <c:v>-274.45292338727108</c:v>
                </c:pt>
                <c:pt idx="570">
                  <c:v>-274.48825455286823</c:v>
                </c:pt>
                <c:pt idx="571">
                  <c:v>-274.5235184659349</c:v>
                </c:pt>
                <c:pt idx="572">
                  <c:v>-274.55871564615586</c:v>
                </c:pt>
                <c:pt idx="573">
                  <c:v>-274.59384660746724</c:v>
                </c:pt>
                <c:pt idx="574">
                  <c:v>-274.62891185813538</c:v>
                </c:pt>
                <c:pt idx="575">
                  <c:v>-274.66391190083363</c:v>
                </c:pt>
                <c:pt idx="576">
                  <c:v>-274.69884723271838</c:v>
                </c:pt>
                <c:pt idx="577">
                  <c:v>-274.73371834550352</c:v>
                </c:pt>
                <c:pt idx="578">
                  <c:v>-274.76852572553412</c:v>
                </c:pt>
                <c:pt idx="579">
                  <c:v>-274.80326985385835</c:v>
                </c:pt>
                <c:pt idx="580">
                  <c:v>-274.83795120629873</c:v>
                </c:pt>
                <c:pt idx="581">
                  <c:v>-274.87257025352193</c:v>
                </c:pt>
                <c:pt idx="582">
                  <c:v>-274.90712746110785</c:v>
                </c:pt>
                <c:pt idx="583">
                  <c:v>-274.94162328961693</c:v>
                </c:pt>
                <c:pt idx="584">
                  <c:v>-274.97605819465713</c:v>
                </c:pt>
                <c:pt idx="585">
                  <c:v>-275.01043262694935</c:v>
                </c:pt>
                <c:pt idx="586">
                  <c:v>-275.0447470323918</c:v>
                </c:pt>
                <c:pt idx="587">
                  <c:v>-275.07900185212401</c:v>
                </c:pt>
                <c:pt idx="588">
                  <c:v>-275.11319752258873</c:v>
                </c:pt>
                <c:pt idx="589">
                  <c:v>-275.14733447559399</c:v>
                </c:pt>
                <c:pt idx="590">
                  <c:v>-275.18141313837327</c:v>
                </c:pt>
                <c:pt idx="591">
                  <c:v>-275.21543393364533</c:v>
                </c:pt>
                <c:pt idx="592">
                  <c:v>-275.24939727967302</c:v>
                </c:pt>
                <c:pt idx="593">
                  <c:v>-275.28330359032083</c:v>
                </c:pt>
                <c:pt idx="594">
                  <c:v>-275.31715327511171</c:v>
                </c:pt>
                <c:pt idx="595">
                  <c:v>-275.35094673928342</c:v>
                </c:pt>
                <c:pt idx="596">
                  <c:v>-275.38468438384342</c:v>
                </c:pt>
                <c:pt idx="597">
                  <c:v>-275.41836660562319</c:v>
                </c:pt>
                <c:pt idx="598">
                  <c:v>-275.4519937973318</c:v>
                </c:pt>
                <c:pt idx="599">
                  <c:v>-275.48556634760837</c:v>
                </c:pt>
                <c:pt idx="600">
                  <c:v>-275.51908464107407</c:v>
                </c:pt>
                <c:pt idx="601">
                  <c:v>-275.55254905838314</c:v>
                </c:pt>
                <c:pt idx="602">
                  <c:v>-275.5859599762731</c:v>
                </c:pt>
                <c:pt idx="603">
                  <c:v>-275.61931776761435</c:v>
                </c:pt>
                <c:pt idx="604">
                  <c:v>-275.65262280145885</c:v>
                </c:pt>
                <c:pt idx="605">
                  <c:v>-275.68587544308821</c:v>
                </c:pt>
                <c:pt idx="606">
                  <c:v>-277.28880936540423</c:v>
                </c:pt>
                <c:pt idx="607">
                  <c:v>-278.79609382502713</c:v>
                </c:pt>
                <c:pt idx="608">
                  <c:v>-280.23056396544848</c:v>
                </c:pt>
                <c:pt idx="609">
                  <c:v>-281.60719362942206</c:v>
                </c:pt>
                <c:pt idx="610">
                  <c:v>-282.93614537976305</c:v>
                </c:pt>
                <c:pt idx="611">
                  <c:v>-284.22451100911996</c:v>
                </c:pt>
                <c:pt idx="612">
                  <c:v>-285.47735478600794</c:v>
                </c:pt>
                <c:pt idx="613">
                  <c:v>-286.69836487472918</c:v>
                </c:pt>
                <c:pt idx="614">
                  <c:v>-287.89027436151696</c:v>
                </c:pt>
                <c:pt idx="615">
                  <c:v>-289.05514146298572</c:v>
                </c:pt>
                <c:pt idx="616">
                  <c:v>-290.19454073547706</c:v>
                </c:pt>
                <c:pt idx="617">
                  <c:v>-291.30969636483292</c:v>
                </c:pt>
                <c:pt idx="618">
                  <c:v>-291.76548984789889</c:v>
                </c:pt>
                <c:pt idx="619">
                  <c:v>-292.21714434554133</c:v>
                </c:pt>
                <c:pt idx="620">
                  <c:v>-292.66473680581169</c:v>
                </c:pt>
                <c:pt idx="621">
                  <c:v>-293.10833822902714</c:v>
                </c:pt>
                <c:pt idx="622">
                  <c:v>-293.54801430372629</c:v>
                </c:pt>
                <c:pt idx="623">
                  <c:v>-293.98382597181705</c:v>
                </c:pt>
                <c:pt idx="624">
                  <c:v>-294.41582993156413</c:v>
                </c:pt>
                <c:pt idx="625">
                  <c:v>-294.8440790858765</c:v>
                </c:pt>
                <c:pt idx="626">
                  <c:v>-295.26862294235451</c:v>
                </c:pt>
                <c:pt idx="627">
                  <c:v>-295.68950797069971</c:v>
                </c:pt>
                <c:pt idx="628">
                  <c:v>-296.10677792236271</c:v>
                </c:pt>
                <c:pt idx="629">
                  <c:v>-296.5204741166832</c:v>
                </c:pt>
                <c:pt idx="630">
                  <c:v>-296.93063569724086</c:v>
                </c:pt>
                <c:pt idx="631">
                  <c:v>-297.33729986167612</c:v>
                </c:pt>
                <c:pt idx="632">
                  <c:v>-297.7405020678458</c:v>
                </c:pt>
                <c:pt idx="633">
                  <c:v>-298.14027621883508</c:v>
                </c:pt>
                <c:pt idx="634">
                  <c:v>-298.53665482904995</c:v>
                </c:pt>
                <c:pt idx="635">
                  <c:v>-298.92966917335934</c:v>
                </c:pt>
                <c:pt idx="636">
                  <c:v>-299.31934942102851</c:v>
                </c:pt>
                <c:pt idx="637">
                  <c:v>-299.70572475599283</c:v>
                </c:pt>
                <c:pt idx="638">
                  <c:v>-300.08882348484758</c:v>
                </c:pt>
                <c:pt idx="639">
                  <c:v>-300.46867313378027</c:v>
                </c:pt>
                <c:pt idx="640">
                  <c:v>-300.84530053554056</c:v>
                </c:pt>
                <c:pt idx="641">
                  <c:v>-301.21873190742645</c:v>
                </c:pt>
                <c:pt idx="642">
                  <c:v>-301.58899292116257</c:v>
                </c:pt>
                <c:pt idx="643">
                  <c:v>-301.95610876545788</c:v>
                </c:pt>
                <c:pt idx="644">
                  <c:v>-302.32010420194717</c:v>
                </c:pt>
                <c:pt idx="645">
                  <c:v>-302.68100361515275</c:v>
                </c:pt>
                <c:pt idx="646">
                  <c:v>-303.03883105703767</c:v>
                </c:pt>
                <c:pt idx="647">
                  <c:v>-303.3936102866661</c:v>
                </c:pt>
                <c:pt idx="648">
                  <c:v>-303.74536480543657</c:v>
                </c:pt>
                <c:pt idx="649">
                  <c:v>-304.09411788830903</c:v>
                </c:pt>
                <c:pt idx="650">
                  <c:v>-304.43989261140644</c:v>
                </c:pt>
                <c:pt idx="651">
                  <c:v>-304.78271187633578</c:v>
                </c:pt>
                <c:pt idx="652">
                  <c:v>-305.12259843154089</c:v>
                </c:pt>
                <c:pt idx="653">
                  <c:v>-305.45957489097145</c:v>
                </c:pt>
                <c:pt idx="654">
                  <c:v>-305.79366375032453</c:v>
                </c:pt>
                <c:pt idx="655">
                  <c:v>-306.12488740109416</c:v>
                </c:pt>
                <c:pt idx="656">
                  <c:v>-306.45326814264064</c:v>
                </c:pt>
                <c:pt idx="657">
                  <c:v>-306.77882819247338</c:v>
                </c:pt>
                <c:pt idx="658">
                  <c:v>-307.1015896949242</c:v>
                </c:pt>
                <c:pt idx="659">
                  <c:v>-307.42157472837016</c:v>
                </c:pt>
                <c:pt idx="660">
                  <c:v>-307.7388053111539</c:v>
                </c:pt>
                <c:pt idx="661">
                  <c:v>-308.05330340633276</c:v>
                </c:pt>
                <c:pt idx="662">
                  <c:v>-308.36509092537983</c:v>
                </c:pt>
                <c:pt idx="663">
                  <c:v>-308.67418973094607</c:v>
                </c:pt>
                <c:pt idx="664">
                  <c:v>-308.98062163878569</c:v>
                </c:pt>
                <c:pt idx="665">
                  <c:v>-309.28440841893536</c:v>
                </c:pt>
                <c:pt idx="666">
                  <c:v>-309.58557179623244</c:v>
                </c:pt>
                <c:pt idx="667">
                  <c:v>-309.88413345024765</c:v>
                </c:pt>
              </c:numCache>
            </c:numRef>
          </c:yVal>
          <c:smooth val="0"/>
          <c:extLst>
            <c:ext xmlns:c16="http://schemas.microsoft.com/office/drawing/2014/chart" uri="{C3380CC4-5D6E-409C-BE32-E72D297353CC}">
              <c16:uniqueId val="{00000001-306B-4242-B253-B9A3B2188A5D}"/>
            </c:ext>
          </c:extLst>
        </c:ser>
        <c:dLbls>
          <c:showLegendKey val="0"/>
          <c:showVal val="0"/>
          <c:showCatName val="0"/>
          <c:showSerName val="0"/>
          <c:showPercent val="0"/>
          <c:showBubbleSize val="0"/>
        </c:dLbls>
        <c:axId val="177465600"/>
        <c:axId val="177467392"/>
      </c:scatterChart>
      <c:valAx>
        <c:axId val="177449216"/>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375680580762788"/>
              <c:y val="0.88281468722659673"/>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3680"/>
        <c:crossesAt val="-80"/>
        <c:crossBetween val="midCat"/>
      </c:valAx>
      <c:valAx>
        <c:axId val="177463680"/>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852994555354056E-2"/>
              <c:y val="0.442709426946631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49216"/>
        <c:crosses val="autoZero"/>
        <c:crossBetween val="midCat"/>
      </c:valAx>
      <c:valAx>
        <c:axId val="177465600"/>
        <c:scaling>
          <c:logBase val="10"/>
          <c:orientation val="minMax"/>
        </c:scaling>
        <c:delete val="1"/>
        <c:axPos val="b"/>
        <c:numFmt formatCode="General" sourceLinked="1"/>
        <c:majorTickMark val="out"/>
        <c:minorTickMark val="none"/>
        <c:tickLblPos val="none"/>
        <c:crossAx val="177467392"/>
        <c:crosses val="autoZero"/>
        <c:crossBetween val="midCat"/>
      </c:valAx>
      <c:valAx>
        <c:axId val="177467392"/>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62794918330363"/>
              <c:y val="0.3671883202099790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5600"/>
        <c:crosses val="max"/>
        <c:crossBetween val="midCat"/>
      </c:valAx>
      <c:spPr>
        <a:noFill/>
        <a:ln w="12700">
          <a:solidFill>
            <a:srgbClr val="808080"/>
          </a:solidFill>
          <a:prstDash val="solid"/>
        </a:ln>
      </c:spPr>
    </c:plotArea>
    <c:legend>
      <c:legendPos val="t"/>
      <c:layout>
        <c:manualLayout>
          <c:xMode val="edge"/>
          <c:yMode val="edge"/>
          <c:x val="0.76406533575318358"/>
          <c:y val="1.3020833333333511E-2"/>
          <c:w val="0.21597096188747997"/>
          <c:h val="0.1458336067366578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Comp to Vout</a:t>
            </a:r>
          </a:p>
        </c:rich>
      </c:tx>
      <c:layout>
        <c:manualLayout>
          <c:xMode val="edge"/>
          <c:yMode val="edge"/>
          <c:x val="0.42753699265852635"/>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Calculations'!$BM$9:$BM$676</c:f>
              <c:numCache>
                <c:formatCode>General</c:formatCode>
                <c:ptCount val="668"/>
                <c:pt idx="0">
                  <c:v>23.366868527487625</c:v>
                </c:pt>
                <c:pt idx="1">
                  <c:v>23.366871084142446</c:v>
                </c:pt>
                <c:pt idx="2">
                  <c:v>23.366875345235322</c:v>
                </c:pt>
                <c:pt idx="3">
                  <c:v>23.36688131076853</c:v>
                </c:pt>
                <c:pt idx="4">
                  <c:v>23.366888980745234</c:v>
                </c:pt>
                <c:pt idx="5">
                  <c:v>23.366898355169518</c:v>
                </c:pt>
                <c:pt idx="6">
                  <c:v>23.366909434046377</c:v>
                </c:pt>
                <c:pt idx="7">
                  <c:v>23.366922217381713</c:v>
                </c:pt>
                <c:pt idx="8">
                  <c:v>23.366936705182315</c:v>
                </c:pt>
                <c:pt idx="9">
                  <c:v>23.366952897455899</c:v>
                </c:pt>
                <c:pt idx="10">
                  <c:v>23.367208568551096</c:v>
                </c:pt>
                <c:pt idx="11">
                  <c:v>23.367634702163819</c:v>
                </c:pt>
                <c:pt idx="12">
                  <c:v>23.368231320977589</c:v>
                </c:pt>
                <c:pt idx="13">
                  <c:v>23.368998456754277</c:v>
                </c:pt>
                <c:pt idx="14">
                  <c:v>23.369936150339001</c:v>
                </c:pt>
                <c:pt idx="15">
                  <c:v>23.371044451666421</c:v>
                </c:pt>
                <c:pt idx="16">
                  <c:v>23.372323419768513</c:v>
                </c:pt>
                <c:pt idx="17">
                  <c:v>23.373773122783671</c:v>
                </c:pt>
                <c:pt idx="18">
                  <c:v>23.375393637967271</c:v>
                </c:pt>
                <c:pt idx="19">
                  <c:v>23.401017002119424</c:v>
                </c:pt>
                <c:pt idx="20">
                  <c:v>23.443874902026408</c:v>
                </c:pt>
                <c:pt idx="21">
                  <c:v>23.504198266330029</c:v>
                </c:pt>
                <c:pt idx="22">
                  <c:v>23.582315437487861</c:v>
                </c:pt>
                <c:pt idx="23">
                  <c:v>23.678657364224534</c:v>
                </c:pt>
                <c:pt idx="24">
                  <c:v>23.793764493247565</c:v>
                </c:pt>
                <c:pt idx="25">
                  <c:v>23.928295522871533</c:v>
                </c:pt>
                <c:pt idx="26">
                  <c:v>24.083038214990431</c:v>
                </c:pt>
                <c:pt idx="27">
                  <c:v>24.258922488271843</c:v>
                </c:pt>
                <c:pt idx="28">
                  <c:v>25.500162742179363</c:v>
                </c:pt>
                <c:pt idx="29">
                  <c:v>27.525192094456354</c:v>
                </c:pt>
                <c:pt idx="30">
                  <c:v>30.681326073647718</c:v>
                </c:pt>
                <c:pt idx="31">
                  <c:v>33.909604779889008</c:v>
                </c:pt>
                <c:pt idx="32">
                  <c:v>30.843380485537576</c:v>
                </c:pt>
                <c:pt idx="33">
                  <c:v>25.885538369809016</c:v>
                </c:pt>
                <c:pt idx="34">
                  <c:v>22.063103897413413</c:v>
                </c:pt>
                <c:pt idx="35">
                  <c:v>19.079688306586469</c:v>
                </c:pt>
                <c:pt idx="36">
                  <c:v>16.63644151218482</c:v>
                </c:pt>
                <c:pt idx="37">
                  <c:v>14.561240282121028</c:v>
                </c:pt>
                <c:pt idx="38">
                  <c:v>12.751985669403345</c:v>
                </c:pt>
                <c:pt idx="39">
                  <c:v>11.144107549319278</c:v>
                </c:pt>
                <c:pt idx="40">
                  <c:v>9.6943555821851177</c:v>
                </c:pt>
                <c:pt idx="41">
                  <c:v>8.3723596114882035</c:v>
                </c:pt>
                <c:pt idx="42">
                  <c:v>7.1559588223929405</c:v>
                </c:pt>
                <c:pt idx="43">
                  <c:v>6.028465460588933</c:v>
                </c:pt>
                <c:pt idx="44">
                  <c:v>4.9769807946389548</c:v>
                </c:pt>
                <c:pt idx="45">
                  <c:v>3.9913140188130116</c:v>
                </c:pt>
                <c:pt idx="46">
                  <c:v>3.0632627070959231</c:v>
                </c:pt>
                <c:pt idx="47">
                  <c:v>2.1861187870946739</c:v>
                </c:pt>
                <c:pt idx="48">
                  <c:v>1.3543200883201891</c:v>
                </c:pt>
                <c:pt idx="49">
                  <c:v>0.56319871702935298</c:v>
                </c:pt>
                <c:pt idx="50">
                  <c:v>-0.1912044472959486</c:v>
                </c:pt>
                <c:pt idx="51">
                  <c:v>-0.91227903721356707</c:v>
                </c:pt>
                <c:pt idx="52">
                  <c:v>-1.602951499558801</c:v>
                </c:pt>
                <c:pt idx="53">
                  <c:v>-2.265767418881802</c:v>
                </c:pt>
                <c:pt idx="54">
                  <c:v>-2.9029561147582887</c:v>
                </c:pt>
                <c:pt idx="55">
                  <c:v>-3.516481936041262</c:v>
                </c:pt>
                <c:pt idx="56">
                  <c:v>-4.1080854338359272</c:v>
                </c:pt>
                <c:pt idx="57">
                  <c:v>-4.6793167372920399</c:v>
                </c:pt>
                <c:pt idx="58">
                  <c:v>-5.2315628536954204</c:v>
                </c:pt>
                <c:pt idx="59">
                  <c:v>-5.7660701844170861</c:v>
                </c:pt>
                <c:pt idx="60">
                  <c:v>-6.2839632372129053</c:v>
                </c:pt>
                <c:pt idx="61">
                  <c:v>-6.7862602873614879</c:v>
                </c:pt>
                <c:pt idx="62">
                  <c:v>-7.27388657098758</c:v>
                </c:pt>
                <c:pt idx="63">
                  <c:v>-7.7476854670419595</c:v>
                </c:pt>
                <c:pt idx="64">
                  <c:v>-8.2084280282462743</c:v>
                </c:pt>
                <c:pt idx="65">
                  <c:v>-8.6568211477217645</c:v>
                </c:pt>
                <c:pt idx="66">
                  <c:v>-9.0935145911961914</c:v>
                </c:pt>
                <c:pt idx="67">
                  <c:v>-9.5191070804330167</c:v>
                </c:pt>
                <c:pt idx="68">
                  <c:v>-9.934151578795074</c:v>
                </c:pt>
                <c:pt idx="69">
                  <c:v>-10.339159902391138</c:v>
                </c:pt>
                <c:pt idx="70">
                  <c:v>-10.734606758384428</c:v>
                </c:pt>
                <c:pt idx="71">
                  <c:v>-11.120933294513009</c:v>
                </c:pt>
                <c:pt idx="72">
                  <c:v>-11.498550229733638</c:v>
                </c:pt>
                <c:pt idx="73">
                  <c:v>-11.867840624430039</c:v>
                </c:pt>
                <c:pt idx="74">
                  <c:v>-12.229162339268525</c:v>
                </c:pt>
                <c:pt idx="75">
                  <c:v>-12.582850224108476</c:v>
                </c:pt>
                <c:pt idx="76">
                  <c:v>-12.929218072048613</c:v>
                </c:pt>
                <c:pt idx="77">
                  <c:v>-13.268560368450114</c:v>
                </c:pt>
                <c:pt idx="78">
                  <c:v>-13.601153860417929</c:v>
                </c:pt>
                <c:pt idx="79">
                  <c:v>-13.927258968578808</c:v>
                </c:pt>
                <c:pt idx="80">
                  <c:v>-14.247121059937847</c:v>
                </c:pt>
                <c:pt idx="81">
                  <c:v>-14.560971598020609</c:v>
                </c:pt>
                <c:pt idx="82">
                  <c:v>-14.869029184330699</c:v>
                </c:pt>
                <c:pt idx="83">
                  <c:v>-15.171500503305037</c:v>
                </c:pt>
                <c:pt idx="84">
                  <c:v>-15.468581181375992</c:v>
                </c:pt>
                <c:pt idx="85">
                  <c:v>-15.760456569405255</c:v>
                </c:pt>
                <c:pt idx="86">
                  <c:v>-16.047302456602342</c:v>
                </c:pt>
                <c:pt idx="87">
                  <c:v>-16.329285723050312</c:v>
                </c:pt>
                <c:pt idx="88">
                  <c:v>-16.606564937107233</c:v>
                </c:pt>
                <c:pt idx="89">
                  <c:v>-16.879290903213658</c:v>
                </c:pt>
                <c:pt idx="90">
                  <c:v>-17.147607164996263</c:v>
                </c:pt>
                <c:pt idx="91">
                  <c:v>-17.411650468001319</c:v>
                </c:pt>
                <c:pt idx="92">
                  <c:v>-17.671551185906701</c:v>
                </c:pt>
                <c:pt idx="93">
                  <c:v>-17.927433713637683</c:v>
                </c:pt>
                <c:pt idx="94">
                  <c:v>-18.179416830440768</c:v>
                </c:pt>
                <c:pt idx="95">
                  <c:v>-18.427614035644304</c:v>
                </c:pt>
                <c:pt idx="96">
                  <c:v>-18.672133859548367</c:v>
                </c:pt>
                <c:pt idx="97">
                  <c:v>-18.913080151634169</c:v>
                </c:pt>
                <c:pt idx="98">
                  <c:v>-19.150552348060259</c:v>
                </c:pt>
                <c:pt idx="99">
                  <c:v>-19.38464572021568</c:v>
                </c:pt>
                <c:pt idx="100">
                  <c:v>-19.615451605925507</c:v>
                </c:pt>
                <c:pt idx="101">
                  <c:v>-19.843057624748688</c:v>
                </c:pt>
                <c:pt idx="102">
                  <c:v>-20.067547878670172</c:v>
                </c:pt>
                <c:pt idx="103">
                  <c:v>-20.289003139365953</c:v>
                </c:pt>
                <c:pt idx="104">
                  <c:v>-20.507501023109761</c:v>
                </c:pt>
                <c:pt idx="105">
                  <c:v>-20.723116154291787</c:v>
                </c:pt>
                <c:pt idx="106">
                  <c:v>-20.935920318431663</c:v>
                </c:pt>
                <c:pt idx="107">
                  <c:v>-21.145982605488868</c:v>
                </c:pt>
                <c:pt idx="108">
                  <c:v>-21.353369544202778</c:v>
                </c:pt>
                <c:pt idx="109">
                  <c:v>-21.558145228130595</c:v>
                </c:pt>
                <c:pt idx="110">
                  <c:v>-21.760371433993836</c:v>
                </c:pt>
                <c:pt idx="111">
                  <c:v>-21.960107732892006</c:v>
                </c:pt>
                <c:pt idx="112">
                  <c:v>-22.157411594895304</c:v>
                </c:pt>
                <c:pt idx="113">
                  <c:v>-22.35233848748549</c:v>
                </c:pt>
                <c:pt idx="114">
                  <c:v>-22.54494196827579</c:v>
                </c:pt>
                <c:pt idx="115">
                  <c:v>-22.73527377240562</c:v>
                </c:pt>
                <c:pt idx="116">
                  <c:v>-22.92338389497429</c:v>
                </c:pt>
                <c:pt idx="117">
                  <c:v>-23.10932066884903</c:v>
                </c:pt>
                <c:pt idx="118">
                  <c:v>-23.293130838156411</c:v>
                </c:pt>
                <c:pt idx="119">
                  <c:v>-23.474859627742358</c:v>
                </c:pt>
                <c:pt idx="120">
                  <c:v>-23.65455080886408</c:v>
                </c:pt>
                <c:pt idx="121">
                  <c:v>-23.832246761357393</c:v>
                </c:pt>
                <c:pt idx="122">
                  <c:v>-24.007988532504672</c:v>
                </c:pt>
                <c:pt idx="123">
                  <c:v>-24.181815892811937</c:v>
                </c:pt>
                <c:pt idx="124">
                  <c:v>-24.353767388888482</c:v>
                </c:pt>
                <c:pt idx="125">
                  <c:v>-24.523880393608163</c:v>
                </c:pt>
                <c:pt idx="126">
                  <c:v>-24.692191153719016</c:v>
                </c:pt>
                <c:pt idx="127">
                  <c:v>-24.858734835055635</c:v>
                </c:pt>
                <c:pt idx="128">
                  <c:v>-25.023545565498235</c:v>
                </c:pt>
                <c:pt idx="129">
                  <c:v>-25.186656475812129</c:v>
                </c:pt>
                <c:pt idx="130">
                  <c:v>-25.34809973849223</c:v>
                </c:pt>
                <c:pt idx="131">
                  <c:v>-25.507906604728653</c:v>
                </c:pt>
                <c:pt idx="132">
                  <c:v>-25.666107439601795</c:v>
                </c:pt>
                <c:pt idx="133">
                  <c:v>-25.822731755607752</c:v>
                </c:pt>
                <c:pt idx="134">
                  <c:v>-25.977808244608688</c:v>
                </c:pt>
                <c:pt idx="135">
                  <c:v>-26.131364808296084</c:v>
                </c:pt>
                <c:pt idx="136">
                  <c:v>-26.283428587249546</c:v>
                </c:pt>
                <c:pt idx="137">
                  <c:v>-26.434025988668175</c:v>
                </c:pt>
                <c:pt idx="138">
                  <c:v>-26.583182712846884</c:v>
                </c:pt>
                <c:pt idx="139">
                  <c:v>-26.73092377846524</c:v>
                </c:pt>
                <c:pt idx="140">
                  <c:v>-26.877273546752356</c:v>
                </c:pt>
                <c:pt idx="141">
                  <c:v>-27.022255744587387</c:v>
                </c:pt>
                <c:pt idx="142">
                  <c:v>-27.165893486591436</c:v>
                </c:pt>
                <c:pt idx="143">
                  <c:v>-27.308209296263371</c:v>
                </c:pt>
                <c:pt idx="144">
                  <c:v>-27.44922512620893</c:v>
                </c:pt>
                <c:pt idx="145">
                  <c:v>-27.588962377509368</c:v>
                </c:pt>
                <c:pt idx="146">
                  <c:v>-27.727441918273325</c:v>
                </c:pt>
                <c:pt idx="147">
                  <c:v>-27.864684101413001</c:v>
                </c:pt>
                <c:pt idx="148">
                  <c:v>-28.000708781683205</c:v>
                </c:pt>
                <c:pt idx="149">
                  <c:v>-28.13553533201976</c:v>
                </c:pt>
                <c:pt idx="150">
                  <c:v>-28.269182659211637</c:v>
                </c:pt>
                <c:pt idx="151">
                  <c:v>-28.401669218939105</c:v>
                </c:pt>
                <c:pt idx="152">
                  <c:v>-28.533013030208583</c:v>
                </c:pt>
                <c:pt idx="153">
                  <c:v>-28.663231689212928</c:v>
                </c:pt>
                <c:pt idx="154">
                  <c:v>-28.792342382644534</c:v>
                </c:pt>
                <c:pt idx="155">
                  <c:v>-28.92036190048686</c:v>
                </c:pt>
                <c:pt idx="156">
                  <c:v>-29.047306648308894</c:v>
                </c:pt>
                <c:pt idx="157">
                  <c:v>-29.173192659085405</c:v>
                </c:pt>
                <c:pt idx="158">
                  <c:v>-29.298035604564969</c:v>
                </c:pt>
                <c:pt idx="159">
                  <c:v>-29.421850806206251</c:v>
                </c:pt>
                <c:pt idx="160">
                  <c:v>-29.544653245702136</c:v>
                </c:pt>
                <c:pt idx="161">
                  <c:v>-29.666457575110229</c:v>
                </c:pt>
                <c:pt idx="162">
                  <c:v>-29.787278126607319</c:v>
                </c:pt>
                <c:pt idx="163">
                  <c:v>-29.907128921884318</c:v>
                </c:pt>
                <c:pt idx="164">
                  <c:v>-30.026023681197639</c:v>
                </c:pt>
                <c:pt idx="165">
                  <c:v>-30.143975832091826</c:v>
                </c:pt>
                <c:pt idx="166">
                  <c:v>-30.260998517807796</c:v>
                </c:pt>
                <c:pt idx="167">
                  <c:v>-30.377104605390137</c:v>
                </c:pt>
                <c:pt idx="168">
                  <c:v>-30.492306693506336</c:v>
                </c:pt>
                <c:pt idx="169">
                  <c:v>-30.606617119990073</c:v>
                </c:pt>
                <c:pt idx="170">
                  <c:v>-30.720047969120294</c:v>
                </c:pt>
                <c:pt idx="171">
                  <c:v>-30.832611078647005</c:v>
                </c:pt>
                <c:pt idx="172">
                  <c:v>-30.944318046574345</c:v>
                </c:pt>
                <c:pt idx="173">
                  <c:v>-31.055180237710918</c:v>
                </c:pt>
                <c:pt idx="174">
                  <c:v>-31.165208789996882</c:v>
                </c:pt>
                <c:pt idx="175">
                  <c:v>-31.274414620616923</c:v>
                </c:pt>
                <c:pt idx="176">
                  <c:v>-31.382808431907709</c:v>
                </c:pt>
                <c:pt idx="177">
                  <c:v>-31.490400717068049</c:v>
                </c:pt>
                <c:pt idx="178">
                  <c:v>-31.59720176567966</c:v>
                </c:pt>
                <c:pt idx="179">
                  <c:v>-31.703221669046005</c:v>
                </c:pt>
                <c:pt idx="180">
                  <c:v>-31.80847032535636</c:v>
                </c:pt>
                <c:pt idx="181">
                  <c:v>-31.912957444681869</c:v>
                </c:pt>
                <c:pt idx="182">
                  <c:v>-32.016692553810266</c:v>
                </c:pt>
                <c:pt idx="183">
                  <c:v>-32.119685000925273</c:v>
                </c:pt>
                <c:pt idx="184">
                  <c:v>-32.221943960136755</c:v>
                </c:pt>
                <c:pt idx="185">
                  <c:v>-32.323478435867273</c:v>
                </c:pt>
                <c:pt idx="186">
                  <c:v>-32.424297267100513</c:v>
                </c:pt>
                <c:pt idx="187">
                  <c:v>-32.524409131496611</c:v>
                </c:pt>
                <c:pt idx="188">
                  <c:v>-32.623822549379604</c:v>
                </c:pt>
                <c:pt idx="189">
                  <c:v>-32.722545887601513</c:v>
                </c:pt>
                <c:pt idx="190">
                  <c:v>-32.820587363287707</c:v>
                </c:pt>
                <c:pt idx="191">
                  <c:v>-32.917955047467977</c:v>
                </c:pt>
                <c:pt idx="192">
                  <c:v>-33.014656868597278</c:v>
                </c:pt>
                <c:pt idx="193">
                  <c:v>-33.110700615970352</c:v>
                </c:pt>
                <c:pt idx="194">
                  <c:v>-33.20609394303392</c:v>
                </c:pt>
                <c:pt idx="195">
                  <c:v>-33.300844370600124</c:v>
                </c:pt>
                <c:pt idx="196">
                  <c:v>-33.394959289964753</c:v>
                </c:pt>
                <c:pt idx="197">
                  <c:v>-33.488445965933636</c:v>
                </c:pt>
                <c:pt idx="198">
                  <c:v>-33.581311539760385</c:v>
                </c:pt>
                <c:pt idx="199">
                  <c:v>-33.673563031998619</c:v>
                </c:pt>
                <c:pt idx="200">
                  <c:v>-33.765207345271584</c:v>
                </c:pt>
                <c:pt idx="201">
                  <c:v>-33.856251266962133</c:v>
                </c:pt>
                <c:pt idx="202">
                  <c:v>-33.946701471825691</c:v>
                </c:pt>
                <c:pt idx="203">
                  <c:v>-34.036564524528856</c:v>
                </c:pt>
                <c:pt idx="204">
                  <c:v>-34.125846882116228</c:v>
                </c:pt>
                <c:pt idx="205">
                  <c:v>-34.214554896407819</c:v>
                </c:pt>
                <c:pt idx="206">
                  <c:v>-34.302694816329371</c:v>
                </c:pt>
                <c:pt idx="207">
                  <c:v>-34.390272790177924</c:v>
                </c:pt>
                <c:pt idx="208">
                  <c:v>-34.477294867824632</c:v>
                </c:pt>
                <c:pt idx="209">
                  <c:v>-34.563767002856977</c:v>
                </c:pt>
                <c:pt idx="210">
                  <c:v>-34.649695054662438</c:v>
                </c:pt>
                <c:pt idx="211">
                  <c:v>-34.73508479045541</c:v>
                </c:pt>
                <c:pt idx="212">
                  <c:v>-34.819941887249286</c:v>
                </c:pt>
                <c:pt idx="213">
                  <c:v>-34.904271933775384</c:v>
                </c:pt>
                <c:pt idx="214">
                  <c:v>-34.988080432350642</c:v>
                </c:pt>
                <c:pt idx="215">
                  <c:v>-35.071372800695436</c:v>
                </c:pt>
                <c:pt idx="216">
                  <c:v>-35.154154373703321</c:v>
                </c:pt>
                <c:pt idx="217">
                  <c:v>-35.236430405164114</c:v>
                </c:pt>
                <c:pt idx="218">
                  <c:v>-35.31820606944185</c:v>
                </c:pt>
                <c:pt idx="219">
                  <c:v>-35.399486463108914</c:v>
                </c:pt>
                <c:pt idx="220">
                  <c:v>-35.480276606537927</c:v>
                </c:pt>
                <c:pt idx="221">
                  <c:v>-35.560581445452357</c:v>
                </c:pt>
                <c:pt idx="222">
                  <c:v>-35.640405852437553</c:v>
                </c:pt>
                <c:pt idx="223">
                  <c:v>-35.719754628413014</c:v>
                </c:pt>
                <c:pt idx="224">
                  <c:v>-35.798632504067349</c:v>
                </c:pt>
                <c:pt idx="225">
                  <c:v>-35.877044141256938</c:v>
                </c:pt>
                <c:pt idx="226">
                  <c:v>-36.636496421611952</c:v>
                </c:pt>
                <c:pt idx="227">
                  <c:v>-37.353990247879963</c:v>
                </c:pt>
                <c:pt idx="228">
                  <c:v>-38.03323699590613</c:v>
                </c:pt>
                <c:pt idx="229">
                  <c:v>-38.677491253679605</c:v>
                </c:pt>
                <c:pt idx="230">
                  <c:v>-39.289624279119067</c:v>
                </c:pt>
                <c:pt idx="231">
                  <c:v>-39.872182986252788</c:v>
                </c:pt>
                <c:pt idx="232">
                  <c:v>-40.427437770690162</c:v>
                </c:pt>
                <c:pt idx="233">
                  <c:v>-40.957421635128846</c:v>
                </c:pt>
                <c:pt idx="234">
                  <c:v>-41.463962465643853</c:v>
                </c:pt>
                <c:pt idx="235">
                  <c:v>-41.948709865991404</c:v>
                </c:pt>
                <c:pt idx="236">
                  <c:v>-42.413157630756672</c:v>
                </c:pt>
                <c:pt idx="237">
                  <c:v>-42.858662695260136</c:v>
                </c:pt>
                <c:pt idx="238">
                  <c:v>-43.286461217485623</c:v>
                </c:pt>
                <c:pt idx="239">
                  <c:v>-43.697682308637724</c:v>
                </c:pt>
                <c:pt idx="240">
                  <c:v>-44.093359822743906</c:v>
                </c:pt>
                <c:pt idx="241">
                  <c:v>-44.474442533712093</c:v>
                </c:pt>
                <c:pt idx="242">
                  <c:v>-44.841802964437946</c:v>
                </c:pt>
                <c:pt idx="243">
                  <c:v>-45.19624508253159</c:v>
                </c:pt>
                <c:pt idx="244">
                  <c:v>-45.538511037751661</c:v>
                </c:pt>
                <c:pt idx="245">
                  <c:v>-45.869287084869939</c:v>
                </c:pt>
                <c:pt idx="246">
                  <c:v>-46.189208810620308</c:v>
                </c:pt>
                <c:pt idx="247">
                  <c:v>-46.498865763228928</c:v>
                </c:pt>
                <c:pt idx="248">
                  <c:v>-46.798805566724027</c:v>
                </c:pt>
                <c:pt idx="249">
                  <c:v>-47.089537588973073</c:v>
                </c:pt>
                <c:pt idx="250">
                  <c:v>-47.371536221566018</c:v>
                </c:pt>
                <c:pt idx="251">
                  <c:v>-47.64524382076749</c:v>
                </c:pt>
                <c:pt idx="252">
                  <c:v>-47.911073351417919</c:v>
                </c:pt>
                <c:pt idx="253">
                  <c:v>-48.169410769572806</c:v>
                </c:pt>
                <c:pt idx="254">
                  <c:v>-48.420617174593616</c:v>
                </c:pt>
                <c:pt idx="255">
                  <c:v>-48.665030757155705</c:v>
                </c:pt>
                <c:pt idx="256">
                  <c:v>-48.902968566065837</c:v>
                </c:pt>
                <c:pt idx="257">
                  <c:v>-49.134728113766208</c:v>
                </c:pt>
                <c:pt idx="258">
                  <c:v>-49.360588837843963</c:v>
                </c:pt>
                <c:pt idx="259">
                  <c:v>-49.580813433688313</c:v>
                </c:pt>
                <c:pt idx="260">
                  <c:v>-49.795649071576172</c:v>
                </c:pt>
                <c:pt idx="261">
                  <c:v>-50.005328509871319</c:v>
                </c:pt>
                <c:pt idx="262">
                  <c:v>-50.210071114647199</c:v>
                </c:pt>
                <c:pt idx="263">
                  <c:v>-50.410083794856241</c:v>
                </c:pt>
                <c:pt idx="264">
                  <c:v>-50.605561861138469</c:v>
                </c:pt>
                <c:pt idx="265">
                  <c:v>-50.796689815467118</c:v>
                </c:pt>
                <c:pt idx="266">
                  <c:v>-50.983642078046863</c:v>
                </c:pt>
                <c:pt idx="267">
                  <c:v>-51.166583657197187</c:v>
                </c:pt>
                <c:pt idx="268">
                  <c:v>-51.345670767352473</c:v>
                </c:pt>
                <c:pt idx="269">
                  <c:v>-51.521051399782891</c:v>
                </c:pt>
                <c:pt idx="270">
                  <c:v>-51.692865850173774</c:v>
                </c:pt>
                <c:pt idx="271">
                  <c:v>-51.861247206788931</c:v>
                </c:pt>
                <c:pt idx="272">
                  <c:v>-52.026321802578465</c:v>
                </c:pt>
                <c:pt idx="273">
                  <c:v>-52.188209634266173</c:v>
                </c:pt>
                <c:pt idx="274">
                  <c:v>-52.347024751163261</c:v>
                </c:pt>
                <c:pt idx="275">
                  <c:v>-52.502875616196363</c:v>
                </c:pt>
                <c:pt idx="276">
                  <c:v>-52.655865441407983</c:v>
                </c:pt>
                <c:pt idx="277">
                  <c:v>-52.806092499980352</c:v>
                </c:pt>
                <c:pt idx="278">
                  <c:v>-52.953650416648571</c:v>
                </c:pt>
                <c:pt idx="279">
                  <c:v>-53.098628438202546</c:v>
                </c:pt>
                <c:pt idx="280">
                  <c:v>-53.241111685627033</c:v>
                </c:pt>
                <c:pt idx="281">
                  <c:v>-53.381181389294269</c:v>
                </c:pt>
                <c:pt idx="282">
                  <c:v>-53.518915108501531</c:v>
                </c:pt>
                <c:pt idx="283">
                  <c:v>-53.654386936535865</c:v>
                </c:pt>
                <c:pt idx="284">
                  <c:v>-53.787667692348251</c:v>
                </c:pt>
                <c:pt idx="285">
                  <c:v>-53.918825099829334</c:v>
                </c:pt>
                <c:pt idx="286">
                  <c:v>-54.047923955596502</c:v>
                </c:pt>
                <c:pt idx="287">
                  <c:v>-54.175026286127796</c:v>
                </c:pt>
                <c:pt idx="288">
                  <c:v>-54.300191495010324</c:v>
                </c:pt>
                <c:pt idx="289">
                  <c:v>-54.42347650100907</c:v>
                </c:pt>
                <c:pt idx="290">
                  <c:v>-54.544935867605929</c:v>
                </c:pt>
                <c:pt idx="291">
                  <c:v>-54.66462192460753</c:v>
                </c:pt>
                <c:pt idx="292">
                  <c:v>-54.782584882373314</c:v>
                </c:pt>
                <c:pt idx="293">
                  <c:v>-54.898872939173238</c:v>
                </c:pt>
                <c:pt idx="294">
                  <c:v>-55.013532382144419</c:v>
                </c:pt>
                <c:pt idx="295">
                  <c:v>-55.126607682281232</c:v>
                </c:pt>
                <c:pt idx="296">
                  <c:v>-55.238141583859822</c:v>
                </c:pt>
                <c:pt idx="297">
                  <c:v>-55.348175188668321</c:v>
                </c:pt>
                <c:pt idx="298">
                  <c:v>-55.456748035386319</c:v>
                </c:pt>
                <c:pt idx="299">
                  <c:v>-55.563898174431827</c:v>
                </c:pt>
                <c:pt idx="300">
                  <c:v>-55.669662238570865</c:v>
                </c:pt>
                <c:pt idx="301">
                  <c:v>-55.774075509563083</c:v>
                </c:pt>
                <c:pt idx="302">
                  <c:v>-55.877171981097298</c:v>
                </c:pt>
                <c:pt idx="303">
                  <c:v>-55.978984418252921</c:v>
                </c:pt>
                <c:pt idx="304">
                  <c:v>-56.079544413705982</c:v>
                </c:pt>
                <c:pt idx="305">
                  <c:v>-56.17888244088364</c:v>
                </c:pt>
                <c:pt idx="306">
                  <c:v>-56.277027904256478</c:v>
                </c:pt>
                <c:pt idx="307">
                  <c:v>-56.374009186944804</c:v>
                </c:pt>
                <c:pt idx="308">
                  <c:v>-56.469853695803224</c:v>
                </c:pt>
                <c:pt idx="309">
                  <c:v>-56.564587904136438</c:v>
                </c:pt>
                <c:pt idx="310">
                  <c:v>-56.658237392188653</c:v>
                </c:pt>
                <c:pt idx="311">
                  <c:v>-56.750826885539837</c:v>
                </c:pt>
                <c:pt idx="312">
                  <c:v>-56.84238029153272</c:v>
                </c:pt>
                <c:pt idx="313">
                  <c:v>-56.932920733846615</c:v>
                </c:pt>
                <c:pt idx="314">
                  <c:v>-57.022470585325983</c:v>
                </c:pt>
                <c:pt idx="315">
                  <c:v>-57.111051499165285</c:v>
                </c:pt>
                <c:pt idx="316">
                  <c:v>-57.198684438544433</c:v>
                </c:pt>
                <c:pt idx="317">
                  <c:v>-57.285389704803364</c:v>
                </c:pt>
                <c:pt idx="318">
                  <c:v>-57.371186964238809</c:v>
                </c:pt>
                <c:pt idx="319">
                  <c:v>-57.45609527360044</c:v>
                </c:pt>
                <c:pt idx="320">
                  <c:v>-57.540133104359384</c:v>
                </c:pt>
                <c:pt idx="321">
                  <c:v>-57.623318365817099</c:v>
                </c:pt>
                <c:pt idx="322">
                  <c:v>-57.705668427118368</c:v>
                </c:pt>
                <c:pt idx="323">
                  <c:v>-57.78720013822857</c:v>
                </c:pt>
                <c:pt idx="324">
                  <c:v>-57.867929849931265</c:v>
                </c:pt>
                <c:pt idx="325">
                  <c:v>-57.94787343289898</c:v>
                </c:pt>
                <c:pt idx="326">
                  <c:v>-58.027046295886805</c:v>
                </c:pt>
                <c:pt idx="327">
                  <c:v>-58.105463403095413</c:v>
                </c:pt>
                <c:pt idx="328">
                  <c:v>-58.183139290747334</c:v>
                </c:pt>
                <c:pt idx="329">
                  <c:v>-58.26008808291774</c:v>
                </c:pt>
                <c:pt idx="330">
                  <c:v>-58.336323506658474</c:v>
                </c:pt>
                <c:pt idx="331">
                  <c:v>-58.411858906451897</c:v>
                </c:pt>
                <c:pt idx="332">
                  <c:v>-58.486707258029014</c:v>
                </c:pt>
                <c:pt idx="333">
                  <c:v>-58.560881181584101</c:v>
                </c:pt>
                <c:pt idx="334">
                  <c:v>-58.634392954416583</c:v>
                </c:pt>
                <c:pt idx="335">
                  <c:v>-58.707254523028837</c:v>
                </c:pt>
                <c:pt idx="336">
                  <c:v>-58.779477514707104</c:v>
                </c:pt>
                <c:pt idx="337">
                  <c:v>-58.851073248611229</c:v>
                </c:pt>
                <c:pt idx="338">
                  <c:v>-58.92205274639727</c:v>
                </c:pt>
                <c:pt idx="339">
                  <c:v>-58.992426742396013</c:v>
                </c:pt>
                <c:pt idx="340">
                  <c:v>-59.062205693368867</c:v>
                </c:pt>
                <c:pt idx="341">
                  <c:v>-59.131399787861497</c:v>
                </c:pt>
                <c:pt idx="342">
                  <c:v>-59.20001895517472</c:v>
                </c:pt>
                <c:pt idx="343">
                  <c:v>-59.268072873970524</c:v>
                </c:pt>
                <c:pt idx="344">
                  <c:v>-59.335570980530896</c:v>
                </c:pt>
                <c:pt idx="345">
                  <c:v>-59.402522476685498</c:v>
                </c:pt>
                <c:pt idx="346">
                  <c:v>-59.468936337423663</c:v>
                </c:pt>
                <c:pt idx="347">
                  <c:v>-59.534821318205644</c:v>
                </c:pt>
                <c:pt idx="348">
                  <c:v>-59.60018596198659</c:v>
                </c:pt>
                <c:pt idx="349">
                  <c:v>-59.665038605966686</c:v>
                </c:pt>
                <c:pt idx="350">
                  <c:v>-59.729387388079886</c:v>
                </c:pt>
                <c:pt idx="351">
                  <c:v>-59.793240253232874</c:v>
                </c:pt>
                <c:pt idx="352">
                  <c:v>-59.856604959305812</c:v>
                </c:pt>
                <c:pt idx="353">
                  <c:v>-59.919489082925132</c:v>
                </c:pt>
                <c:pt idx="354">
                  <c:v>-59.981900025018774</c:v>
                </c:pt>
                <c:pt idx="355">
                  <c:v>-60.043845016163324</c:v>
                </c:pt>
                <c:pt idx="356">
                  <c:v>-60.105331121732263</c:v>
                </c:pt>
                <c:pt idx="357">
                  <c:v>-60.166365246853815</c:v>
                </c:pt>
                <c:pt idx="358">
                  <c:v>-60.22695414118688</c:v>
                </c:pt>
                <c:pt idx="359">
                  <c:v>-60.287104403522633</c:v>
                </c:pt>
                <c:pt idx="360">
                  <c:v>-60.346822486219402</c:v>
                </c:pt>
                <c:pt idx="361">
                  <c:v>-60.406114699477854</c:v>
                </c:pt>
                <c:pt idx="362">
                  <c:v>-60.464987215463211</c:v>
                </c:pt>
                <c:pt idx="363">
                  <c:v>-60.523446072280905</c:v>
                </c:pt>
                <c:pt idx="364">
                  <c:v>-60.581497177811883</c:v>
                </c:pt>
                <c:pt idx="365">
                  <c:v>-60.639146313413235</c:v>
                </c:pt>
                <c:pt idx="366">
                  <c:v>-60.696399137489806</c:v>
                </c:pt>
                <c:pt idx="367">
                  <c:v>-60.75326118894197</c:v>
                </c:pt>
                <c:pt idx="368">
                  <c:v>-60.809737890494802</c:v>
                </c:pt>
                <c:pt idx="369">
                  <c:v>-60.865834551913125</c:v>
                </c:pt>
                <c:pt idx="370">
                  <c:v>-60.921556373107421</c:v>
                </c:pt>
                <c:pt idx="371">
                  <c:v>-60.976908447134583</c:v>
                </c:pt>
                <c:pt idx="372">
                  <c:v>-61.031895763097985</c:v>
                </c:pt>
                <c:pt idx="373">
                  <c:v>-61.086523208950645</c:v>
                </c:pt>
                <c:pt idx="374">
                  <c:v>-61.14079557420547</c:v>
                </c:pt>
                <c:pt idx="375">
                  <c:v>-61.194717552556014</c:v>
                </c:pt>
                <c:pt idx="376">
                  <c:v>-61.248293744411406</c:v>
                </c:pt>
                <c:pt idx="377">
                  <c:v>-61.301528659348598</c:v>
                </c:pt>
                <c:pt idx="378">
                  <c:v>-61.354426718485314</c:v>
                </c:pt>
                <c:pt idx="379">
                  <c:v>-61.406992256776476</c:v>
                </c:pt>
                <c:pt idx="380">
                  <c:v>-61.459229525237205</c:v>
                </c:pt>
                <c:pt idx="381">
                  <c:v>-61.511142693095081</c:v>
                </c:pt>
                <c:pt idx="382">
                  <c:v>-61.562735849874329</c:v>
                </c:pt>
                <c:pt idx="383">
                  <c:v>-61.614013007414535</c:v>
                </c:pt>
                <c:pt idx="384">
                  <c:v>-61.664978101826186</c:v>
                </c:pt>
                <c:pt idx="385">
                  <c:v>-61.715634995385429</c:v>
                </c:pt>
                <c:pt idx="386">
                  <c:v>-61.765987478370434</c:v>
                </c:pt>
                <c:pt idx="387">
                  <c:v>-61.816039270841152</c:v>
                </c:pt>
                <c:pt idx="388">
                  <c:v>-61.865794024364895</c:v>
                </c:pt>
                <c:pt idx="389">
                  <c:v>-61.915255323689387</c:v>
                </c:pt>
                <c:pt idx="390">
                  <c:v>-61.964426688365393</c:v>
                </c:pt>
                <c:pt idx="391">
                  <c:v>-62.013311574320568</c:v>
                </c:pt>
                <c:pt idx="392">
                  <c:v>-62.061913375386339</c:v>
                </c:pt>
                <c:pt idx="393">
                  <c:v>-62.110235424779532</c:v>
                </c:pt>
                <c:pt idx="394">
                  <c:v>-62.158280996540121</c:v>
                </c:pt>
                <c:pt idx="395">
                  <c:v>-62.206053306926947</c:v>
                </c:pt>
                <c:pt idx="396">
                  <c:v>-62.253555515772511</c:v>
                </c:pt>
                <c:pt idx="397">
                  <c:v>-62.300790727798613</c:v>
                </c:pt>
                <c:pt idx="398">
                  <c:v>-62.347761993893862</c:v>
                </c:pt>
                <c:pt idx="399">
                  <c:v>-62.394472312354608</c:v>
                </c:pt>
                <c:pt idx="400">
                  <c:v>-62.440924630090386</c:v>
                </c:pt>
                <c:pt idx="401">
                  <c:v>-62.48712184379513</c:v>
                </c:pt>
                <c:pt idx="402">
                  <c:v>-62.533066801085326</c:v>
                </c:pt>
                <c:pt idx="403">
                  <c:v>-62.578762301606154</c:v>
                </c:pt>
                <c:pt idx="404">
                  <c:v>-62.62421109810677</c:v>
                </c:pt>
                <c:pt idx="405">
                  <c:v>-62.669415897485614</c:v>
                </c:pt>
                <c:pt idx="406">
                  <c:v>-62.714379361806934</c:v>
                </c:pt>
                <c:pt idx="407">
                  <c:v>-62.759104109289261</c:v>
                </c:pt>
                <c:pt idx="408">
                  <c:v>-62.803592715266873</c:v>
                </c:pt>
                <c:pt idx="409">
                  <c:v>-62.847847713125098</c:v>
                </c:pt>
                <c:pt idx="410">
                  <c:v>-62.891871595210304</c:v>
                </c:pt>
                <c:pt idx="411">
                  <c:v>-62.935666813715358</c:v>
                </c:pt>
                <c:pt idx="412">
                  <c:v>-62.979235781541391</c:v>
                </c:pt>
                <c:pt idx="413">
                  <c:v>-63.022580873136597</c:v>
                </c:pt>
                <c:pt idx="414">
                  <c:v>-63.065704425312752</c:v>
                </c:pt>
                <c:pt idx="415">
                  <c:v>-63.108608738040218</c:v>
                </c:pt>
                <c:pt idx="416">
                  <c:v>-63.151296075222135</c:v>
                </c:pt>
                <c:pt idx="417">
                  <c:v>-63.193768665448275</c:v>
                </c:pt>
                <c:pt idx="418">
                  <c:v>-63.236028702729392</c:v>
                </c:pt>
                <c:pt idx="419">
                  <c:v>-63.278078347212663</c:v>
                </c:pt>
                <c:pt idx="420">
                  <c:v>-63.31991972587852</c:v>
                </c:pt>
                <c:pt idx="421">
                  <c:v>-63.361554933219885</c:v>
                </c:pt>
                <c:pt idx="422">
                  <c:v>-63.402986031903907</c:v>
                </c:pt>
                <c:pt idx="423">
                  <c:v>-63.444215053417075</c:v>
                </c:pt>
                <c:pt idx="424">
                  <c:v>-63.485243998694017</c:v>
                </c:pt>
                <c:pt idx="425">
                  <c:v>-63.526074838730466</c:v>
                </c:pt>
                <c:pt idx="426">
                  <c:v>-63.566709515181032</c:v>
                </c:pt>
                <c:pt idx="427">
                  <c:v>-63.60714994094203</c:v>
                </c:pt>
                <c:pt idx="428">
                  <c:v>-63.647398000719946</c:v>
                </c:pt>
                <c:pt idx="429">
                  <c:v>-63.687455551585906</c:v>
                </c:pt>
                <c:pt idx="430">
                  <c:v>-63.727324423516535</c:v>
                </c:pt>
                <c:pt idx="431">
                  <c:v>-63.767006419921685</c:v>
                </c:pt>
                <c:pt idx="432">
                  <c:v>-63.806503318159358</c:v>
                </c:pt>
                <c:pt idx="433">
                  <c:v>-63.845816870038156</c:v>
                </c:pt>
                <c:pt idx="434">
                  <c:v>-63.88494880230769</c:v>
                </c:pt>
                <c:pt idx="435">
                  <c:v>-63.92390081713728</c:v>
                </c:pt>
                <c:pt idx="436">
                  <c:v>-63.962674592583227</c:v>
                </c:pt>
                <c:pt idx="437">
                  <c:v>-64.001271783045027</c:v>
                </c:pt>
                <c:pt idx="438">
                  <c:v>-64.039694019710851</c:v>
                </c:pt>
                <c:pt idx="439">
                  <c:v>-64.077942910992576</c:v>
                </c:pt>
                <c:pt idx="440">
                  <c:v>-64.116020042950538</c:v>
                </c:pt>
                <c:pt idx="441">
                  <c:v>-64.153926979708629</c:v>
                </c:pt>
                <c:pt idx="442">
                  <c:v>-64.191665263859562</c:v>
                </c:pt>
                <c:pt idx="443">
                  <c:v>-64.229236416860971</c:v>
                </c:pt>
                <c:pt idx="444">
                  <c:v>-64.266641939422271</c:v>
                </c:pt>
                <c:pt idx="445">
                  <c:v>-64.303883311882814</c:v>
                </c:pt>
                <c:pt idx="446">
                  <c:v>-64.340961994581448</c:v>
                </c:pt>
                <c:pt idx="447">
                  <c:v>-64.377879428217582</c:v>
                </c:pt>
                <c:pt idx="448">
                  <c:v>-64.414637034204262</c:v>
                </c:pt>
                <c:pt idx="449">
                  <c:v>-64.451236215013211</c:v>
                </c:pt>
                <c:pt idx="450">
                  <c:v>-64.487678354512326</c:v>
                </c:pt>
                <c:pt idx="451">
                  <c:v>-64.523964818295511</c:v>
                </c:pt>
                <c:pt idx="452">
                  <c:v>-64.560096954005274</c:v>
                </c:pt>
                <c:pt idx="453">
                  <c:v>-64.596076091648229</c:v>
                </c:pt>
                <c:pt idx="454">
                  <c:v>-64.631903543903718</c:v>
                </c:pt>
                <c:pt idx="455">
                  <c:v>-64.667580606425531</c:v>
                </c:pt>
                <c:pt idx="456">
                  <c:v>-64.703108558137288</c:v>
                </c:pt>
                <c:pt idx="457">
                  <c:v>-64.738488661521245</c:v>
                </c:pt>
                <c:pt idx="458">
                  <c:v>-64.773722162900995</c:v>
                </c:pt>
                <c:pt idx="459">
                  <c:v>-64.808810292717993</c:v>
                </c:pt>
                <c:pt idx="460">
                  <c:v>-64.843754265802289</c:v>
                </c:pt>
                <c:pt idx="461">
                  <c:v>-64.878555281637404</c:v>
                </c:pt>
                <c:pt idx="462">
                  <c:v>-64.91321452461959</c:v>
                </c:pt>
                <c:pt idx="463">
                  <c:v>-64.947733164311757</c:v>
                </c:pt>
                <c:pt idx="464">
                  <c:v>-64.982112355691882</c:v>
                </c:pt>
                <c:pt idx="465">
                  <c:v>-65.016353239396295</c:v>
                </c:pt>
                <c:pt idx="466">
                  <c:v>-65.050456941957961</c:v>
                </c:pt>
                <c:pt idx="467">
                  <c:v>-65.084424576039709</c:v>
                </c:pt>
                <c:pt idx="468">
                  <c:v>-65.118257240662729</c:v>
                </c:pt>
                <c:pt idx="469">
                  <c:v>-65.151956021430294</c:v>
                </c:pt>
                <c:pt idx="470">
                  <c:v>-65.185521990746935</c:v>
                </c:pt>
                <c:pt idx="471">
                  <c:v>-65.218956208033148</c:v>
                </c:pt>
                <c:pt idx="472">
                  <c:v>-65.252259719935751</c:v>
                </c:pt>
                <c:pt idx="473">
                  <c:v>-65.28543356053386</c:v>
                </c:pt>
                <c:pt idx="474">
                  <c:v>-65.318478751540965</c:v>
                </c:pt>
                <c:pt idx="475">
                  <c:v>-65.351396302502678</c:v>
                </c:pt>
                <c:pt idx="476">
                  <c:v>-65.384187210990632</c:v>
                </c:pt>
                <c:pt idx="477">
                  <c:v>-65.416852462792619</c:v>
                </c:pt>
                <c:pt idx="478">
                  <c:v>-65.449393032098783</c:v>
                </c:pt>
                <c:pt idx="479">
                  <c:v>-65.481809881684228</c:v>
                </c:pt>
                <c:pt idx="480">
                  <c:v>-65.514103963088061</c:v>
                </c:pt>
                <c:pt idx="481">
                  <c:v>-65.546276216788797</c:v>
                </c:pt>
                <c:pt idx="482">
                  <c:v>-65.578327572376523</c:v>
                </c:pt>
                <c:pt idx="483">
                  <c:v>-65.610258948721523</c:v>
                </c:pt>
                <c:pt idx="484">
                  <c:v>-65.642071254139751</c:v>
                </c:pt>
                <c:pt idx="485">
                  <c:v>-65.673765386555147</c:v>
                </c:pt>
                <c:pt idx="486">
                  <c:v>-65.705342233658655</c:v>
                </c:pt>
                <c:pt idx="487">
                  <c:v>-65.736802673064417</c:v>
                </c:pt>
                <c:pt idx="488">
                  <c:v>-65.768147572462794</c:v>
                </c:pt>
                <c:pt idx="489">
                  <c:v>-65.799377789770631</c:v>
                </c:pt>
                <c:pt idx="490">
                  <c:v>-65.830494173278595</c:v>
                </c:pt>
                <c:pt idx="491">
                  <c:v>-65.861497561795701</c:v>
                </c:pt>
                <c:pt idx="492">
                  <c:v>-65.892388784791251</c:v>
                </c:pt>
                <c:pt idx="493">
                  <c:v>-65.923168662533982</c:v>
                </c:pt>
                <c:pt idx="494">
                  <c:v>-65.953838006228679</c:v>
                </c:pt>
                <c:pt idx="495">
                  <c:v>-65.984397618150282</c:v>
                </c:pt>
                <c:pt idx="496">
                  <c:v>-66.014848291775422</c:v>
                </c:pt>
                <c:pt idx="497">
                  <c:v>-66.045190811911652</c:v>
                </c:pt>
                <c:pt idx="498">
                  <c:v>-66.075425954824183</c:v>
                </c:pt>
                <c:pt idx="499">
                  <c:v>-66.105554488360369</c:v>
                </c:pt>
                <c:pt idx="500">
                  <c:v>-66.135577172071919</c:v>
                </c:pt>
                <c:pt idx="501">
                  <c:v>-66.165494757334869</c:v>
                </c:pt>
                <c:pt idx="502">
                  <c:v>-66.195307987467402</c:v>
                </c:pt>
                <c:pt idx="503">
                  <c:v>-66.225017597845508</c:v>
                </c:pt>
                <c:pt idx="504">
                  <c:v>-66.254624316016631</c:v>
                </c:pt>
                <c:pt idx="505">
                  <c:v>-66.284128861811212</c:v>
                </c:pt>
                <c:pt idx="506">
                  <c:v>-66.313531947452262</c:v>
                </c:pt>
                <c:pt idx="507">
                  <c:v>-66.342834277663073</c:v>
                </c:pt>
                <c:pt idx="508">
                  <c:v>-66.372036549772815</c:v>
                </c:pt>
                <c:pt idx="509">
                  <c:v>-66.401139453820534</c:v>
                </c:pt>
                <c:pt idx="510">
                  <c:v>-66.430143672657096</c:v>
                </c:pt>
                <c:pt idx="511">
                  <c:v>-66.459049882045477</c:v>
                </c:pt>
                <c:pt idx="512">
                  <c:v>-66.487858750759287</c:v>
                </c:pt>
                <c:pt idx="513">
                  <c:v>-66.516570940679472</c:v>
                </c:pt>
                <c:pt idx="514">
                  <c:v>-66.545187106889514</c:v>
                </c:pt>
                <c:pt idx="515">
                  <c:v>-66.573707897768855</c:v>
                </c:pt>
                <c:pt idx="516">
                  <c:v>-66.602133955084724</c:v>
                </c:pt>
                <c:pt idx="517">
                  <c:v>-66.630465914082492</c:v>
                </c:pt>
                <c:pt idx="518">
                  <c:v>-66.658704403574347</c:v>
                </c:pt>
                <c:pt idx="519">
                  <c:v>-66.686850046026521</c:v>
                </c:pt>
                <c:pt idx="520">
                  <c:v>-66.714903457645107</c:v>
                </c:pt>
                <c:pt idx="521">
                  <c:v>-66.742865248460248</c:v>
                </c:pt>
                <c:pt idx="522">
                  <c:v>-66.770736022409096</c:v>
                </c:pt>
                <c:pt idx="523">
                  <c:v>-66.798516377417229</c:v>
                </c:pt>
                <c:pt idx="524">
                  <c:v>-66.826206905478841</c:v>
                </c:pt>
                <c:pt idx="525">
                  <c:v>-66.853808192735428</c:v>
                </c:pt>
                <c:pt idx="526">
                  <c:v>-66.881320819553338</c:v>
                </c:pt>
                <c:pt idx="527">
                  <c:v>-66.908745360599951</c:v>
                </c:pt>
                <c:pt idx="528">
                  <c:v>-66.936082384918507</c:v>
                </c:pt>
                <c:pt idx="529">
                  <c:v>-66.963332456001964</c:v>
                </c:pt>
                <c:pt idx="530">
                  <c:v>-66.990496131865328</c:v>
                </c:pt>
                <c:pt idx="531">
                  <c:v>-67.017573965117009</c:v>
                </c:pt>
                <c:pt idx="532">
                  <c:v>-67.044566503029031</c:v>
                </c:pt>
                <c:pt idx="533">
                  <c:v>-67.071474287605881</c:v>
                </c:pt>
                <c:pt idx="534">
                  <c:v>-67.098297855652532</c:v>
                </c:pt>
                <c:pt idx="535">
                  <c:v>-67.125037738841101</c:v>
                </c:pt>
                <c:pt idx="536">
                  <c:v>-67.151694463776693</c:v>
                </c:pt>
                <c:pt idx="537">
                  <c:v>-67.178268552061937</c:v>
                </c:pt>
                <c:pt idx="538">
                  <c:v>-67.204760520360651</c:v>
                </c:pt>
                <c:pt idx="539">
                  <c:v>-67.231170880460496</c:v>
                </c:pt>
                <c:pt idx="540">
                  <c:v>-67.257500139334525</c:v>
                </c:pt>
                <c:pt idx="541">
                  <c:v>-67.283748799201874</c:v>
                </c:pt>
                <c:pt idx="542">
                  <c:v>-67.309917357587381</c:v>
                </c:pt>
                <c:pt idx="543">
                  <c:v>-67.336006307380444</c:v>
                </c:pt>
                <c:pt idx="544">
                  <c:v>-67.362016136892692</c:v>
                </c:pt>
                <c:pt idx="545">
                  <c:v>-67.38794732991505</c:v>
                </c:pt>
                <c:pt idx="546">
                  <c:v>-67.413800365773668</c:v>
                </c:pt>
                <c:pt idx="547">
                  <c:v>-67.439575719385189</c:v>
                </c:pt>
                <c:pt idx="548">
                  <c:v>-67.465273861310905</c:v>
                </c:pt>
                <c:pt idx="549">
                  <c:v>-67.490895257810422</c:v>
                </c:pt>
                <c:pt idx="550">
                  <c:v>-67.516440370894159</c:v>
                </c:pt>
                <c:pt idx="551">
                  <c:v>-67.541909658375218</c:v>
                </c:pt>
                <c:pt idx="552">
                  <c:v>-67.567303573920526</c:v>
                </c:pt>
                <c:pt idx="553">
                  <c:v>-67.592622567101003</c:v>
                </c:pt>
                <c:pt idx="554">
                  <c:v>-67.617867083441098</c:v>
                </c:pt>
                <c:pt idx="555">
                  <c:v>-67.643037564467576</c:v>
                </c:pt>
                <c:pt idx="556">
                  <c:v>-67.668134447757524</c:v>
                </c:pt>
                <c:pt idx="557">
                  <c:v>-67.693158166985683</c:v>
                </c:pt>
                <c:pt idx="558">
                  <c:v>-67.718109151970935</c:v>
                </c:pt>
                <c:pt idx="559">
                  <c:v>-67.742987828722349</c:v>
                </c:pt>
                <c:pt idx="560">
                  <c:v>-67.767794619484249</c:v>
                </c:pt>
                <c:pt idx="561">
                  <c:v>-67.792529942780874</c:v>
                </c:pt>
                <c:pt idx="562">
                  <c:v>-67.817194213460155</c:v>
                </c:pt>
                <c:pt idx="563">
                  <c:v>-67.841787842737006</c:v>
                </c:pt>
                <c:pt idx="564">
                  <c:v>-67.866311238235895</c:v>
                </c:pt>
                <c:pt idx="565">
                  <c:v>-67.890764804032798</c:v>
                </c:pt>
                <c:pt idx="566">
                  <c:v>-67.915148940696582</c:v>
                </c:pt>
                <c:pt idx="567">
                  <c:v>-67.939464045329743</c:v>
                </c:pt>
                <c:pt idx="568">
                  <c:v>-67.963710511608554</c:v>
                </c:pt>
                <c:pt idx="569">
                  <c:v>-67.9878887298226</c:v>
                </c:pt>
                <c:pt idx="570">
                  <c:v>-68.011999086913889</c:v>
                </c:pt>
                <c:pt idx="571">
                  <c:v>-68.036041966515171</c:v>
                </c:pt>
                <c:pt idx="572">
                  <c:v>-68.060017748987875</c:v>
                </c:pt>
                <c:pt idx="573">
                  <c:v>-68.083926811459449</c:v>
                </c:pt>
                <c:pt idx="574">
                  <c:v>-68.107769527860157</c:v>
                </c:pt>
                <c:pt idx="575">
                  <c:v>-68.131546268959397</c:v>
                </c:pt>
                <c:pt idx="576">
                  <c:v>-68.155257402401389</c:v>
                </c:pt>
                <c:pt idx="577">
                  <c:v>-68.178903292740515</c:v>
                </c:pt>
                <c:pt idx="578">
                  <c:v>-68.202484301476019</c:v>
                </c:pt>
                <c:pt idx="579">
                  <c:v>-68.226000787086363</c:v>
                </c:pt>
                <c:pt idx="580">
                  <c:v>-68.249453105062898</c:v>
                </c:pt>
                <c:pt idx="581">
                  <c:v>-68.272841607943249</c:v>
                </c:pt>
                <c:pt idx="582">
                  <c:v>-68.296166645344201</c:v>
                </c:pt>
                <c:pt idx="583">
                  <c:v>-68.319428563993995</c:v>
                </c:pt>
                <c:pt idx="584">
                  <c:v>-68.342627707764336</c:v>
                </c:pt>
                <c:pt idx="585">
                  <c:v>-68.365764417701897</c:v>
                </c:pt>
                <c:pt idx="586">
                  <c:v>-68.388839032059366</c:v>
                </c:pt>
                <c:pt idx="587">
                  <c:v>-68.411851886326033</c:v>
                </c:pt>
                <c:pt idx="588">
                  <c:v>-68.434803313258115</c:v>
                </c:pt>
                <c:pt idx="589">
                  <c:v>-68.457693642908467</c:v>
                </c:pt>
                <c:pt idx="590">
                  <c:v>-68.480523202656002</c:v>
                </c:pt>
                <c:pt idx="591">
                  <c:v>-68.503292317234724</c:v>
                </c:pt>
                <c:pt idx="592">
                  <c:v>-68.526001308762204</c:v>
                </c:pt>
                <c:pt idx="593">
                  <c:v>-68.548650496768005</c:v>
                </c:pt>
                <c:pt idx="594">
                  <c:v>-68.57124019822129</c:v>
                </c:pt>
                <c:pt idx="595">
                  <c:v>-68.593770727558422</c:v>
                </c:pt>
                <c:pt idx="596">
                  <c:v>-68.616242396709993</c:v>
                </c:pt>
                <c:pt idx="597">
                  <c:v>-68.638655515127581</c:v>
                </c:pt>
                <c:pt idx="598">
                  <c:v>-68.661010389810073</c:v>
                </c:pt>
                <c:pt idx="599">
                  <c:v>-68.683307325329736</c:v>
                </c:pt>
                <c:pt idx="600">
                  <c:v>-68.705546623857828</c:v>
                </c:pt>
                <c:pt idx="601">
                  <c:v>-68.727728585189979</c:v>
                </c:pt>
                <c:pt idx="602">
                  <c:v>-68.749853506771146</c:v>
                </c:pt>
                <c:pt idx="603">
                  <c:v>-68.771921683720322</c:v>
                </c:pt>
                <c:pt idx="604">
                  <c:v>-68.793933408854855</c:v>
                </c:pt>
                <c:pt idx="605">
                  <c:v>-68.815888972714433</c:v>
                </c:pt>
                <c:pt idx="606">
                  <c:v>-69.847883287608596</c:v>
                </c:pt>
                <c:pt idx="607">
                  <c:v>-70.769441901177956</c:v>
                </c:pt>
                <c:pt idx="608">
                  <c:v>-71.6020434822765</c:v>
                </c:pt>
                <c:pt idx="609">
                  <c:v>-72.361429325774807</c:v>
                </c:pt>
                <c:pt idx="610">
                  <c:v>-73.059486560897142</c:v>
                </c:pt>
                <c:pt idx="611">
                  <c:v>-73.705415229760519</c:v>
                </c:pt>
                <c:pt idx="612">
                  <c:v>-74.306483620260678</c:v>
                </c:pt>
                <c:pt idx="613">
                  <c:v>-74.868535028262258</c:v>
                </c:pt>
                <c:pt idx="614">
                  <c:v>-75.396338231515955</c:v>
                </c:pt>
                <c:pt idx="615">
                  <c:v>-75.893836254940837</c:v>
                </c:pt>
                <c:pt idx="616">
                  <c:v>-76.364326960343973</c:v>
                </c:pt>
                <c:pt idx="617">
                  <c:v>-76.810596749457986</c:v>
                </c:pt>
                <c:pt idx="618">
                  <c:v>-76.982866880620989</c:v>
                </c:pt>
                <c:pt idx="619">
                  <c:v>-77.151781704400463</c:v>
                </c:pt>
                <c:pt idx="620">
                  <c:v>-77.317469610507658</c:v>
                </c:pt>
                <c:pt idx="621">
                  <c:v>-77.480051747997422</c:v>
                </c:pt>
                <c:pt idx="622">
                  <c:v>-77.639642560363015</c:v>
                </c:pt>
                <c:pt idx="623">
                  <c:v>-77.796350272038993</c:v>
                </c:pt>
                <c:pt idx="624">
                  <c:v>-77.950277331518905</c:v>
                </c:pt>
                <c:pt idx="625">
                  <c:v>-78.101520815654055</c:v>
                </c:pt>
                <c:pt idx="626">
                  <c:v>-78.250172799148089</c:v>
                </c:pt>
                <c:pt idx="627">
                  <c:v>-78.396320692785665</c:v>
                </c:pt>
                <c:pt idx="628">
                  <c:v>-78.540047553520054</c:v>
                </c:pt>
                <c:pt idx="629">
                  <c:v>-78.681432369186254</c:v>
                </c:pt>
                <c:pt idx="630">
                  <c:v>-78.820550320293236</c:v>
                </c:pt>
                <c:pt idx="631">
                  <c:v>-78.957473021076652</c:v>
                </c:pt>
                <c:pt idx="632">
                  <c:v>-79.092268741754509</c:v>
                </c:pt>
                <c:pt idx="633">
                  <c:v>-79.225002613719283</c:v>
                </c:pt>
                <c:pt idx="634">
                  <c:v>-79.355736819216048</c:v>
                </c:pt>
                <c:pt idx="635">
                  <c:v>-79.48453076689421</c:v>
                </c:pt>
                <c:pt idx="636">
                  <c:v>-79.611441254478081</c:v>
                </c:pt>
                <c:pt idx="637">
                  <c:v>-79.73652261967456</c:v>
                </c:pt>
                <c:pt idx="638">
                  <c:v>-79.859826880325187</c:v>
                </c:pt>
                <c:pt idx="639">
                  <c:v>-79.981403864709975</c:v>
                </c:pt>
                <c:pt idx="640">
                  <c:v>-80.101301332822629</c:v>
                </c:pt>
                <c:pt idx="641">
                  <c:v>-80.219565089358071</c:v>
                </c:pt>
                <c:pt idx="642">
                  <c:v>-80.336239089083179</c:v>
                </c:pt>
                <c:pt idx="643">
                  <c:v>-80.45136553519923</c:v>
                </c:pt>
                <c:pt idx="644">
                  <c:v>-80.564984971248123</c:v>
                </c:pt>
                <c:pt idx="645">
                  <c:v>-80.677136367065017</c:v>
                </c:pt>
                <c:pt idx="646">
                  <c:v>-80.787857199234324</c:v>
                </c:pt>
                <c:pt idx="647">
                  <c:v>-80.897183526465653</c:v>
                </c:pt>
                <c:pt idx="648">
                  <c:v>-81.005150060270452</c:v>
                </c:pt>
                <c:pt idx="649">
                  <c:v>-81.111790231286335</c:v>
                </c:pt>
                <c:pt idx="650">
                  <c:v>-81.217136251567354</c:v>
                </c:pt>
                <c:pt idx="651">
                  <c:v>-81.32121917313097</c:v>
                </c:pt>
                <c:pt idx="652">
                  <c:v>-81.424068943028885</c:v>
                </c:pt>
                <c:pt idx="653">
                  <c:v>-81.525714455186375</c:v>
                </c:pt>
                <c:pt idx="654">
                  <c:v>-81.626183599235262</c:v>
                </c:pt>
                <c:pt idx="655">
                  <c:v>-81.725503306547566</c:v>
                </c:pt>
                <c:pt idx="656">
                  <c:v>-81.823699593659995</c:v>
                </c:pt>
                <c:pt idx="657">
                  <c:v>-81.920797603265228</c:v>
                </c:pt>
                <c:pt idx="658">
                  <c:v>-82.01682164293149</c:v>
                </c:pt>
                <c:pt idx="659">
                  <c:v>-82.111795221700191</c:v>
                </c:pt>
                <c:pt idx="660">
                  <c:v>-82.205741084699497</c:v>
                </c:pt>
                <c:pt idx="661">
                  <c:v>-82.298681245901903</c:v>
                </c:pt>
                <c:pt idx="662">
                  <c:v>-82.390637019143497</c:v>
                </c:pt>
                <c:pt idx="663">
                  <c:v>-82.481629047515085</c:v>
                </c:pt>
                <c:pt idx="664">
                  <c:v>-82.571677331226283</c:v>
                </c:pt>
                <c:pt idx="665">
                  <c:v>-82.660801254036969</c:v>
                </c:pt>
                <c:pt idx="666">
                  <c:v>-82.749019608343673</c:v>
                </c:pt>
                <c:pt idx="667">
                  <c:v>-82.836350619002204</c:v>
                </c:pt>
              </c:numCache>
            </c:numRef>
          </c:yVal>
          <c:smooth val="1"/>
          <c:extLst>
            <c:ext xmlns:c16="http://schemas.microsoft.com/office/drawing/2014/chart" uri="{C3380CC4-5D6E-409C-BE32-E72D297353CC}">
              <c16:uniqueId val="{00000000-2DBB-4F72-B5DF-A436F54D08AE}"/>
            </c:ext>
          </c:extLst>
        </c:ser>
        <c:dLbls>
          <c:showLegendKey val="0"/>
          <c:showVal val="0"/>
          <c:showCatName val="0"/>
          <c:showSerName val="0"/>
          <c:showPercent val="0"/>
          <c:showBubbleSize val="0"/>
        </c:dLbls>
        <c:axId val="176896640"/>
        <c:axId val="176898816"/>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Calculations'!$BN$9:$BN$676</c:f>
              <c:numCache>
                <c:formatCode>General</c:formatCode>
                <c:ptCount val="668"/>
                <c:pt idx="0">
                  <c:v>-5.1984720291559962E-3</c:v>
                </c:pt>
                <c:pt idx="1">
                  <c:v>-1.0396947338058482E-2</c:v>
                </c:pt>
                <c:pt idx="2">
                  <c:v>-1.5595429206460284E-2</c:v>
                </c:pt>
                <c:pt idx="3">
                  <c:v>-2.0793920914126886E-2</c:v>
                </c:pt>
                <c:pt idx="4">
                  <c:v>-2.5992425740842789E-2</c:v>
                </c:pt>
                <c:pt idx="5">
                  <c:v>-3.1190946966417825E-2</c:v>
                </c:pt>
                <c:pt idx="6">
                  <c:v>-3.6389487870693474E-2</c:v>
                </c:pt>
                <c:pt idx="7">
                  <c:v>-4.1588051733549236E-2</c:v>
                </c:pt>
                <c:pt idx="8">
                  <c:v>-4.6786641834908944E-2</c:v>
                </c:pt>
                <c:pt idx="9">
                  <c:v>-5.1985261454747099E-2</c:v>
                </c:pt>
                <c:pt idx="10">
                  <c:v>-0.10397380281274579</c:v>
                </c:pt>
                <c:pt idx="11">
                  <c:v>-0.15596890461068327</c:v>
                </c:pt>
                <c:pt idx="12">
                  <c:v>-0.20797384865236598</c:v>
                </c:pt>
                <c:pt idx="13">
                  <c:v>-0.25999191864290072</c:v>
                </c:pt>
                <c:pt idx="14">
                  <c:v>-0.31202640082362099</c:v>
                </c:pt>
                <c:pt idx="15">
                  <c:v>-0.36408058460800852</c:v>
                </c:pt>
                <c:pt idx="16">
                  <c:v>-0.41615776321886011</c:v>
                </c:pt>
                <c:pt idx="17">
                  <c:v>-0.46826123432694999</c:v>
                </c:pt>
                <c:pt idx="18">
                  <c:v>-0.5203943006914401</c:v>
                </c:pt>
                <c:pt idx="19">
                  <c:v>-1.0440842424103154</c:v>
                </c:pt>
                <c:pt idx="20">
                  <c:v>-1.5744296369980324</c:v>
                </c:pt>
                <c:pt idx="21">
                  <c:v>-2.1149211890672674</c:v>
                </c:pt>
                <c:pt idx="22">
                  <c:v>-2.6692524886787585</c:v>
                </c:pt>
                <c:pt idx="23">
                  <c:v>-3.2414003475141189</c:v>
                </c:pt>
                <c:pt idx="24">
                  <c:v>-3.8357171240862691</c:v>
                </c:pt>
                <c:pt idx="25">
                  <c:v>-4.457039533715724</c:v>
                </c:pt>
                <c:pt idx="26">
                  <c:v>-5.1108196553371767</c:v>
                </c:pt>
                <c:pt idx="27">
                  <c:v>-5.8032855615838734</c:v>
                </c:pt>
                <c:pt idx="28">
                  <c:v>-10.148550753244285</c:v>
                </c:pt>
                <c:pt idx="29">
                  <c:v>-17.428838309354976</c:v>
                </c:pt>
                <c:pt idx="30">
                  <c:v>-33.03534215853945</c:v>
                </c:pt>
                <c:pt idx="31">
                  <c:v>-74.352094380073083</c:v>
                </c:pt>
                <c:pt idx="32">
                  <c:v>-126.57273880465659</c:v>
                </c:pt>
                <c:pt idx="33">
                  <c:v>-148.06624219292877</c:v>
                </c:pt>
                <c:pt idx="34">
                  <c:v>-156.94220560659059</c:v>
                </c:pt>
                <c:pt idx="35">
                  <c:v>-161.57203328043195</c:v>
                </c:pt>
                <c:pt idx="36">
                  <c:v>-164.37783666778225</c:v>
                </c:pt>
                <c:pt idx="37">
                  <c:v>-166.24545838101938</c:v>
                </c:pt>
                <c:pt idx="38">
                  <c:v>-167.56796887723763</c:v>
                </c:pt>
                <c:pt idx="39">
                  <c:v>-168.54528899384852</c:v>
                </c:pt>
                <c:pt idx="40">
                  <c:v>-169.28968732543629</c:v>
                </c:pt>
                <c:pt idx="41">
                  <c:v>-169.86909577054303</c:v>
                </c:pt>
                <c:pt idx="42">
                  <c:v>-170.32707791181011</c:v>
                </c:pt>
                <c:pt idx="43">
                  <c:v>-170.6928983169577</c:v>
                </c:pt>
                <c:pt idx="44">
                  <c:v>-170.98697574439538</c:v>
                </c:pt>
                <c:pt idx="45">
                  <c:v>-171.22401309492344</c:v>
                </c:pt>
                <c:pt idx="46">
                  <c:v>-171.41488262658342</c:v>
                </c:pt>
                <c:pt idx="47">
                  <c:v>-171.56780854883417</c:v>
                </c:pt>
                <c:pt idx="48">
                  <c:v>-171.68913507824956</c:v>
                </c:pt>
                <c:pt idx="49">
                  <c:v>-171.78384046297461</c:v>
                </c:pt>
                <c:pt idx="50">
                  <c:v>-171.85589012501114</c:v>
                </c:pt>
                <c:pt idx="51">
                  <c:v>-171.90848493187843</c:v>
                </c:pt>
                <c:pt idx="52">
                  <c:v>-171.94423934498121</c:v>
                </c:pt>
                <c:pt idx="53">
                  <c:v>-171.96531160432312</c:v>
                </c:pt>
                <c:pt idx="54">
                  <c:v>-171.97350043413607</c:v>
                </c:pt>
                <c:pt idx="55">
                  <c:v>-171.97031794895122</c:v>
                </c:pt>
                <c:pt idx="56">
                  <c:v>-171.95704535902658</c:v>
                </c:pt>
                <c:pt idx="57">
                  <c:v>-171.93477605607745</c:v>
                </c:pt>
                <c:pt idx="58">
                  <c:v>-171.90444931229163</c:v>
                </c:pt>
                <c:pt idx="59">
                  <c:v>-171.86687690899683</c:v>
                </c:pt>
                <c:pt idx="60">
                  <c:v>-171.82276437777318</c:v>
                </c:pt>
                <c:pt idx="61">
                  <c:v>-171.77272809224175</c:v>
                </c:pt>
                <c:pt idx="62">
                  <c:v>-171.71730913245793</c:v>
                </c:pt>
                <c:pt idx="63">
                  <c:v>-171.65698461589113</c:v>
                </c:pt>
                <c:pt idx="64">
                  <c:v>-171.59217702271954</c:v>
                </c:pt>
                <c:pt idx="65">
                  <c:v>-171.52326192056907</c:v>
                </c:pt>
                <c:pt idx="66">
                  <c:v>-171.45057440246734</c:v>
                </c:pt>
                <c:pt idx="67">
                  <c:v>-171.37441448305242</c:v>
                </c:pt>
                <c:pt idx="68">
                  <c:v>-171.29505164588747</c:v>
                </c:pt>
                <c:pt idx="69">
                  <c:v>-171.2127286947736</c:v>
                </c:pt>
                <c:pt idx="70">
                  <c:v>-171.12766503110865</c:v>
                </c:pt>
                <c:pt idx="71">
                  <c:v>-171.04005945534828</c:v>
                </c:pt>
                <c:pt idx="72">
                  <c:v>-170.95009257183753</c:v>
                </c:pt>
                <c:pt idx="73">
                  <c:v>-170.85792886146041</c:v>
                </c:pt>
                <c:pt idx="74">
                  <c:v>-170.76371847479575</c:v>
                </c:pt>
                <c:pt idx="75">
                  <c:v>-170.66759878907794</c:v>
                </c:pt>
                <c:pt idx="76">
                  <c:v>-170.56969576471906</c:v>
                </c:pt>
                <c:pt idx="77">
                  <c:v>-170.47012513106256</c:v>
                </c:pt>
                <c:pt idx="78">
                  <c:v>-170.36899342609465</c:v>
                </c:pt>
                <c:pt idx="79">
                  <c:v>-170.26639891081143</c:v>
                </c:pt>
                <c:pt idx="80">
                  <c:v>-170.1624323756339</c:v>
                </c:pt>
                <c:pt idx="81">
                  <c:v>-170.05717785354662</c:v>
                </c:pt>
                <c:pt idx="82">
                  <c:v>-169.95071325238564</c:v>
                </c:pt>
                <c:pt idx="83">
                  <c:v>-169.8431109168354</c:v>
                </c:pt>
                <c:pt idx="84">
                  <c:v>-169.73443812914044</c:v>
                </c:pt>
                <c:pt idx="85">
                  <c:v>-169.62475755623382</c:v>
                </c:pt>
                <c:pt idx="86">
                  <c:v>-169.51412764989405</c:v>
                </c:pt>
                <c:pt idx="87">
                  <c:v>-169.40260300562025</c:v>
                </c:pt>
                <c:pt idx="88">
                  <c:v>-169.29023468513779</c:v>
                </c:pt>
                <c:pt idx="89">
                  <c:v>-169.17707050678592</c:v>
                </c:pt>
                <c:pt idx="90">
                  <c:v>-169.06315530747881</c:v>
                </c:pt>
                <c:pt idx="91">
                  <c:v>-168.9485311794501</c:v>
                </c:pt>
                <c:pt idx="92">
                  <c:v>-168.83323768458393</c:v>
                </c:pt>
                <c:pt idx="93">
                  <c:v>-168.71731204878088</c:v>
                </c:pt>
                <c:pt idx="94">
                  <c:v>-168.60078933850647</c:v>
                </c:pt>
                <c:pt idx="95">
                  <c:v>-168.4837026214085</c:v>
                </c:pt>
                <c:pt idx="96">
                  <c:v>-168.36608311266269</c:v>
                </c:pt>
                <c:pt idx="97">
                  <c:v>-168.24796030851192</c:v>
                </c:pt>
                <c:pt idx="98">
                  <c:v>-168.12936210829295</c:v>
                </c:pt>
                <c:pt idx="99">
                  <c:v>-168.01031492609815</c:v>
                </c:pt>
                <c:pt idx="100">
                  <c:v>-167.89084379308824</c:v>
                </c:pt>
                <c:pt idx="101">
                  <c:v>-167.77097245136159</c:v>
                </c:pt>
                <c:pt idx="102">
                  <c:v>-167.65072344018452</c:v>
                </c:pt>
                <c:pt idx="103">
                  <c:v>-167.53011817530171</c:v>
                </c:pt>
                <c:pt idx="104">
                  <c:v>-167.40917702196765</c:v>
                </c:pt>
                <c:pt idx="105">
                  <c:v>-167.28791936227515</c:v>
                </c:pt>
                <c:pt idx="106">
                  <c:v>-167.16636365729426</c:v>
                </c:pt>
                <c:pt idx="107">
                  <c:v>-167.04452750448476</c:v>
                </c:pt>
                <c:pt idx="108">
                  <c:v>-166.9224276907982</c:v>
                </c:pt>
                <c:pt idx="109">
                  <c:v>-166.80008024184303</c:v>
                </c:pt>
                <c:pt idx="110">
                  <c:v>-166.67750046745059</c:v>
                </c:pt>
                <c:pt idx="111">
                  <c:v>-166.55470300394688</c:v>
                </c:pt>
                <c:pt idx="112">
                  <c:v>-166.43170185340566</c:v>
                </c:pt>
                <c:pt idx="113">
                  <c:v>-166.3085104201312</c:v>
                </c:pt>
                <c:pt idx="114">
                  <c:v>-166.18514154459859</c:v>
                </c:pt>
                <c:pt idx="115">
                  <c:v>-166.06160753505506</c:v>
                </c:pt>
                <c:pt idx="116">
                  <c:v>-165.93792019696937</c:v>
                </c:pt>
                <c:pt idx="117">
                  <c:v>-165.81409086049925</c:v>
                </c:pt>
                <c:pt idx="118">
                  <c:v>-165.69013040613063</c:v>
                </c:pt>
                <c:pt idx="119">
                  <c:v>-165.56604928862947</c:v>
                </c:pt>
                <c:pt idx="120">
                  <c:v>-165.44185755943568</c:v>
                </c:pt>
                <c:pt idx="121">
                  <c:v>-165.31756488761485</c:v>
                </c:pt>
                <c:pt idx="122">
                  <c:v>-165.19318057947706</c:v>
                </c:pt>
                <c:pt idx="123">
                  <c:v>-165.06871359695958</c:v>
                </c:pt>
                <c:pt idx="124">
                  <c:v>-164.94417257486435</c:v>
                </c:pt>
                <c:pt idx="125">
                  <c:v>-164.81956583703271</c:v>
                </c:pt>
                <c:pt idx="126">
                  <c:v>-164.69490141153364</c:v>
                </c:pt>
                <c:pt idx="127">
                  <c:v>-164.57018704493399</c:v>
                </c:pt>
                <c:pt idx="128">
                  <c:v>-164.44543021571707</c:v>
                </c:pt>
                <c:pt idx="129">
                  <c:v>-164.32063814690642</c:v>
                </c:pt>
                <c:pt idx="130">
                  <c:v>-164.19581781795063</c:v>
                </c:pt>
                <c:pt idx="131">
                  <c:v>-164.07097597591897</c:v>
                </c:pt>
                <c:pt idx="132">
                  <c:v>-163.94611914605434</c:v>
                </c:pt>
                <c:pt idx="133">
                  <c:v>-163.82125364172589</c:v>
                </c:pt>
                <c:pt idx="134">
                  <c:v>-163.69638557382152</c:v>
                </c:pt>
                <c:pt idx="135">
                  <c:v>-163.57152085961667</c:v>
                </c:pt>
                <c:pt idx="136">
                  <c:v>-163.44666523115302</c:v>
                </c:pt>
                <c:pt idx="137">
                  <c:v>-163.32182424315903</c:v>
                </c:pt>
                <c:pt idx="138">
                  <c:v>-163.19700328054088</c:v>
                </c:pt>
                <c:pt idx="139">
                  <c:v>-163.07220756547161</c:v>
                </c:pt>
                <c:pt idx="140">
                  <c:v>-162.94744216410288</c:v>
                </c:pt>
                <c:pt idx="141">
                  <c:v>-162.82271199292288</c:v>
                </c:pt>
                <c:pt idx="142">
                  <c:v>-162.69802182478247</c:v>
                </c:pt>
                <c:pt idx="143">
                  <c:v>-162.57337629460918</c:v>
                </c:pt>
                <c:pt idx="144">
                  <c:v>-162.44877990482851</c:v>
                </c:pt>
                <c:pt idx="145">
                  <c:v>-162.32423703050918</c:v>
                </c:pt>
                <c:pt idx="146">
                  <c:v>-162.19975192424965</c:v>
                </c:pt>
                <c:pt idx="147">
                  <c:v>-162.07532872082052</c:v>
                </c:pt>
                <c:pt idx="148">
                  <c:v>-161.95097144157702</c:v>
                </c:pt>
                <c:pt idx="149">
                  <c:v>-161.82668399865562</c:v>
                </c:pt>
                <c:pt idx="150">
                  <c:v>-161.70247019896576</c:v>
                </c:pt>
                <c:pt idx="151">
                  <c:v>-161.57833374798997</c:v>
                </c:pt>
                <c:pt idx="152">
                  <c:v>-161.45427825340218</c:v>
                </c:pt>
                <c:pt idx="153">
                  <c:v>-161.3303072285143</c:v>
                </c:pt>
                <c:pt idx="154">
                  <c:v>-161.20642409556166</c:v>
                </c:pt>
                <c:pt idx="155">
                  <c:v>-161.08263218883494</c:v>
                </c:pt>
                <c:pt idx="156">
                  <c:v>-160.95893475766772</c:v>
                </c:pt>
                <c:pt idx="157">
                  <c:v>-160.83533496928763</c:v>
                </c:pt>
                <c:pt idx="158">
                  <c:v>-160.71183591153769</c:v>
                </c:pt>
                <c:pt idx="159">
                  <c:v>-160.5884405954757</c:v>
                </c:pt>
                <c:pt idx="160">
                  <c:v>-160.46515195785747</c:v>
                </c:pt>
                <c:pt idx="161">
                  <c:v>-160.34197286351036</c:v>
                </c:pt>
                <c:pt idx="162">
                  <c:v>-160.21890610760278</c:v>
                </c:pt>
                <c:pt idx="163">
                  <c:v>-160.09595441781519</c:v>
                </c:pt>
                <c:pt idx="164">
                  <c:v>-159.97312045641721</c:v>
                </c:pt>
                <c:pt idx="165">
                  <c:v>-159.85040682225656</c:v>
                </c:pt>
                <c:pt idx="166">
                  <c:v>-159.72781605266317</c:v>
                </c:pt>
                <c:pt idx="167">
                  <c:v>-159.60535062527381</c:v>
                </c:pt>
                <c:pt idx="168">
                  <c:v>-159.48301295978052</c:v>
                </c:pt>
                <c:pt idx="169">
                  <c:v>-159.36080541960703</c:v>
                </c:pt>
                <c:pt idx="170">
                  <c:v>-159.2387303135163</c:v>
                </c:pt>
                <c:pt idx="171">
                  <c:v>-159.11678989715347</c:v>
                </c:pt>
                <c:pt idx="172">
                  <c:v>-158.99498637452589</c:v>
                </c:pt>
                <c:pt idx="173">
                  <c:v>-158.87332189942509</c:v>
                </c:pt>
                <c:pt idx="174">
                  <c:v>-158.75179857679183</c:v>
                </c:pt>
                <c:pt idx="175">
                  <c:v>-158.630418464028</c:v>
                </c:pt>
                <c:pt idx="176">
                  <c:v>-158.50918357225774</c:v>
                </c:pt>
                <c:pt idx="177">
                  <c:v>-158.3880958675397</c:v>
                </c:pt>
                <c:pt idx="178">
                  <c:v>-158.26715727203336</c:v>
                </c:pt>
                <c:pt idx="179">
                  <c:v>-158.14636966512089</c:v>
                </c:pt>
                <c:pt idx="180">
                  <c:v>-158.02573488448758</c:v>
                </c:pt>
                <c:pt idx="181">
                  <c:v>-157.90525472716149</c:v>
                </c:pt>
                <c:pt idx="182">
                  <c:v>-157.78493095051539</c:v>
                </c:pt>
                <c:pt idx="183">
                  <c:v>-157.66476527323186</c:v>
                </c:pt>
                <c:pt idx="184">
                  <c:v>-157.54475937623369</c:v>
                </c:pt>
                <c:pt idx="185">
                  <c:v>-157.42491490358083</c:v>
                </c:pt>
                <c:pt idx="186">
                  <c:v>-157.30523346333578</c:v>
                </c:pt>
                <c:pt idx="187">
                  <c:v>-157.18571662839838</c:v>
                </c:pt>
                <c:pt idx="188">
                  <c:v>-157.06636593731164</c:v>
                </c:pt>
                <c:pt idx="189">
                  <c:v>-156.94718289503965</c:v>
                </c:pt>
                <c:pt idx="190">
                  <c:v>-156.82816897371936</c:v>
                </c:pt>
                <c:pt idx="191">
                  <c:v>-156.70932561338637</c:v>
                </c:pt>
                <c:pt idx="192">
                  <c:v>-156.59065422267673</c:v>
                </c:pt>
                <c:pt idx="193">
                  <c:v>-156.47215617950565</c:v>
                </c:pt>
                <c:pt idx="194">
                  <c:v>-156.35383283172348</c:v>
                </c:pt>
                <c:pt idx="195">
                  <c:v>-156.23568549775069</c:v>
                </c:pt>
                <c:pt idx="196">
                  <c:v>-156.11771546719234</c:v>
                </c:pt>
                <c:pt idx="197">
                  <c:v>-155.99992400143296</c:v>
                </c:pt>
                <c:pt idx="198">
                  <c:v>-155.88231233421263</c:v>
                </c:pt>
                <c:pt idx="199">
                  <c:v>-155.76488167218506</c:v>
                </c:pt>
                <c:pt idx="200">
                  <c:v>-155.64763319545872</c:v>
                </c:pt>
                <c:pt idx="201">
                  <c:v>-155.53056805812074</c:v>
                </c:pt>
                <c:pt idx="202">
                  <c:v>-155.4136873887459</c:v>
                </c:pt>
                <c:pt idx="203">
                  <c:v>-155.29699229088942</c:v>
                </c:pt>
                <c:pt idx="204">
                  <c:v>-155.18048384356595</c:v>
                </c:pt>
                <c:pt idx="205">
                  <c:v>-155.06416310171386</c:v>
                </c:pt>
                <c:pt idx="206">
                  <c:v>-154.9480310966467</c:v>
                </c:pt>
                <c:pt idx="207">
                  <c:v>-154.83208883649112</c:v>
                </c:pt>
                <c:pt idx="208">
                  <c:v>-154.71633730661276</c:v>
                </c:pt>
                <c:pt idx="209">
                  <c:v>-154.60077747003004</c:v>
                </c:pt>
                <c:pt idx="210">
                  <c:v>-154.48541026781646</c:v>
                </c:pt>
                <c:pt idx="211">
                  <c:v>-154.37023661949183</c:v>
                </c:pt>
                <c:pt idx="212">
                  <c:v>-154.25525742340324</c:v>
                </c:pt>
                <c:pt idx="213">
                  <c:v>-154.14047355709488</c:v>
                </c:pt>
                <c:pt idx="214">
                  <c:v>-154.02588587766945</c:v>
                </c:pt>
                <c:pt idx="215">
                  <c:v>-153.91149522213868</c:v>
                </c:pt>
                <c:pt idx="216">
                  <c:v>-153.79730240776573</c:v>
                </c:pt>
                <c:pt idx="217">
                  <c:v>-153.68330823239828</c:v>
                </c:pt>
                <c:pt idx="218">
                  <c:v>-153.56951347479364</c:v>
                </c:pt>
                <c:pt idx="219">
                  <c:v>-153.45591889493519</c:v>
                </c:pt>
                <c:pt idx="220">
                  <c:v>-153.34252523434159</c:v>
                </c:pt>
                <c:pt idx="221">
                  <c:v>-153.22933321636765</c:v>
                </c:pt>
                <c:pt idx="222">
                  <c:v>-153.11634354649877</c:v>
                </c:pt>
                <c:pt idx="223">
                  <c:v>-153.00355691263789</c:v>
                </c:pt>
                <c:pt idx="224">
                  <c:v>-152.89097398538556</c:v>
                </c:pt>
                <c:pt idx="225">
                  <c:v>-152.77859541831393</c:v>
                </c:pt>
                <c:pt idx="226">
                  <c:v>-151.66618168581169</c:v>
                </c:pt>
                <c:pt idx="227">
                  <c:v>-150.57480604289955</c:v>
                </c:pt>
                <c:pt idx="228">
                  <c:v>-149.50487802298318</c:v>
                </c:pt>
                <c:pt idx="229">
                  <c:v>-148.45668383792665</c:v>
                </c:pt>
                <c:pt idx="230">
                  <c:v>-147.43040238400062</c:v>
                </c:pt>
                <c:pt idx="231">
                  <c:v>-146.42611888055094</c:v>
                </c:pt>
                <c:pt idx="232">
                  <c:v>-145.44383668217156</c:v>
                </c:pt>
                <c:pt idx="233">
                  <c:v>-144.48348764029834</c:v>
                </c:pt>
                <c:pt idx="234">
                  <c:v>-143.5449412800246</c:v>
                </c:pt>
                <c:pt idx="235">
                  <c:v>-142.62801298379799</c:v>
                </c:pt>
                <c:pt idx="236">
                  <c:v>-141.73247132341032</c:v>
                </c:pt>
                <c:pt idx="237">
                  <c:v>-140.85804464743165</c:v>
                </c:pt>
                <c:pt idx="238">
                  <c:v>-140.00442700774153</c:v>
                </c:pt>
                <c:pt idx="239">
                  <c:v>-139.17128349256845</c:v>
                </c:pt>
                <c:pt idx="240">
                  <c:v>-138.35825502210542</c:v>
                </c:pt>
                <c:pt idx="241">
                  <c:v>-137.56496265472808</c:v>
                </c:pt>
                <c:pt idx="242">
                  <c:v>-136.79101144601074</c:v>
                </c:pt>
                <c:pt idx="243">
                  <c:v>-136.03599389838269</c:v>
                </c:pt>
                <c:pt idx="244">
                  <c:v>-135.29949303588936</c:v>
                </c:pt>
                <c:pt idx="245">
                  <c:v>-134.58108513579003</c:v>
                </c:pt>
                <c:pt idx="246">
                  <c:v>-133.8803421464078</c:v>
                </c:pt>
                <c:pt idx="247">
                  <c:v>-133.19683381861006</c:v>
                </c:pt>
                <c:pt idx="248">
                  <c:v>-132.53012957643995</c:v>
                </c:pt>
                <c:pt idx="249">
                  <c:v>-131.87980015068911</c:v>
                </c:pt>
                <c:pt idx="250">
                  <c:v>-131.2454189975617</c:v>
                </c:pt>
                <c:pt idx="251">
                  <c:v>-130.62656352301471</c:v>
                </c:pt>
                <c:pt idx="252">
                  <c:v>-130.02281613185744</c:v>
                </c:pt>
                <c:pt idx="253">
                  <c:v>-129.43376511925547</c:v>
                </c:pt>
                <c:pt idx="254">
                  <c:v>-128.85900542090491</c:v>
                </c:pt>
                <c:pt idx="255">
                  <c:v>-128.29813923683318</c:v>
                </c:pt>
                <c:pt idx="256">
                  <c:v>-127.75077654253168</c:v>
                </c:pt>
                <c:pt idx="257">
                  <c:v>-127.21653549995003</c:v>
                </c:pt>
                <c:pt idx="258">
                  <c:v>-126.69504277977002</c:v>
                </c:pt>
                <c:pt idx="259">
                  <c:v>-126.1859338053381</c:v>
                </c:pt>
                <c:pt idx="260">
                  <c:v>-125.68885292766551</c:v>
                </c:pt>
                <c:pt idx="261">
                  <c:v>-125.20345354000278</c:v>
                </c:pt>
                <c:pt idx="262">
                  <c:v>-124.72939813966236</c:v>
                </c:pt>
                <c:pt idx="263">
                  <c:v>-124.266358343992</c:v>
                </c:pt>
                <c:pt idx="264">
                  <c:v>-123.81401486669569</c:v>
                </c:pt>
                <c:pt idx="265">
                  <c:v>-123.37205746004983</c:v>
                </c:pt>
                <c:pt idx="266">
                  <c:v>-122.94018482797145</c:v>
                </c:pt>
                <c:pt idx="267">
                  <c:v>-122.51810451435441</c:v>
                </c:pt>
                <c:pt idx="268">
                  <c:v>-122.10553277060158</c:v>
                </c:pt>
                <c:pt idx="269">
                  <c:v>-121.70219440583587</c:v>
                </c:pt>
                <c:pt idx="270">
                  <c:v>-121.30782262287072</c:v>
                </c:pt>
                <c:pt idx="271">
                  <c:v>-120.92215884266054</c:v>
                </c:pt>
                <c:pt idx="272">
                  <c:v>-120.54495251962332</c:v>
                </c:pt>
                <c:pt idx="273">
                  <c:v>-120.17596094993557</c:v>
                </c:pt>
                <c:pt idx="274">
                  <c:v>-119.8149490746375</c:v>
                </c:pt>
                <c:pt idx="275">
                  <c:v>-119.46168927914906</c:v>
                </c:pt>
                <c:pt idx="276">
                  <c:v>-119.11596119059034</c:v>
                </c:pt>
                <c:pt idx="277">
                  <c:v>-118.77755147410969</c:v>
                </c:pt>
                <c:pt idx="278">
                  <c:v>-118.4462536292569</c:v>
                </c:pt>
                <c:pt idx="279">
                  <c:v>-118.12186778729172</c:v>
                </c:pt>
                <c:pt idx="280">
                  <c:v>-117.80420051018447</c:v>
                </c:pt>
                <c:pt idx="281">
                  <c:v>-117.49306459195051</c:v>
                </c:pt>
                <c:pt idx="282">
                  <c:v>-117.18827886285678</c:v>
                </c:pt>
                <c:pt idx="283">
                  <c:v>-116.88966799694798</c:v>
                </c:pt>
                <c:pt idx="284">
                  <c:v>-116.59706232326062</c:v>
                </c:pt>
                <c:pt idx="285">
                  <c:v>-116.31029764102173</c:v>
                </c:pt>
                <c:pt idx="286">
                  <c:v>-116.02921503906904</c:v>
                </c:pt>
                <c:pt idx="287">
                  <c:v>-115.75366071967485</c:v>
                </c:pt>
                <c:pt idx="288">
                  <c:v>-115.48348582690946</c:v>
                </c:pt>
                <c:pt idx="289">
                  <c:v>-115.2185462796389</c:v>
                </c:pt>
                <c:pt idx="290">
                  <c:v>-114.95870260921693</c:v>
                </c:pt>
                <c:pt idx="291">
                  <c:v>-114.7038198019011</c:v>
                </c:pt>
                <c:pt idx="292">
                  <c:v>-114.45376714599573</c:v>
                </c:pt>
                <c:pt idx="293">
                  <c:v>-114.20841808370324</c:v>
                </c:pt>
                <c:pt idx="294">
                  <c:v>-113.96765006764618</c:v>
                </c:pt>
                <c:pt idx="295">
                  <c:v>-113.73134442200576</c:v>
                </c:pt>
                <c:pt idx="296">
                  <c:v>-113.49938620821014</c:v>
                </c:pt>
                <c:pt idx="297">
                  <c:v>-113.27166409509364</c:v>
                </c:pt>
                <c:pt idx="298">
                  <c:v>-113.04807023344043</c:v>
                </c:pt>
                <c:pt idx="299">
                  <c:v>-112.82850013481678</c:v>
                </c:pt>
                <c:pt idx="300">
                  <c:v>-112.61285255459248</c:v>
                </c:pt>
                <c:pt idx="301">
                  <c:v>-112.40102937904548</c:v>
                </c:pt>
                <c:pt idx="302">
                  <c:v>-112.19293551644225</c:v>
                </c:pt>
                <c:pt idx="303">
                  <c:v>-111.98847879198262</c:v>
                </c:pt>
                <c:pt idx="304">
                  <c:v>-111.78756984649721</c:v>
                </c:pt>
                <c:pt idx="305">
                  <c:v>-111.59012203878511</c:v>
                </c:pt>
                <c:pt idx="306">
                  <c:v>-111.39605135147792</c:v>
                </c:pt>
                <c:pt idx="307">
                  <c:v>-111.2052763003193</c:v>
                </c:pt>
                <c:pt idx="308">
                  <c:v>-111.01771784674715</c:v>
                </c:pt>
                <c:pt idx="309">
                  <c:v>-110.83329931366947</c:v>
                </c:pt>
                <c:pt idx="310">
                  <c:v>-110.65194630432509</c:v>
                </c:pt>
                <c:pt idx="311">
                  <c:v>-110.47358662412289</c:v>
                </c:pt>
                <c:pt idx="312">
                  <c:v>-110.29815020535499</c:v>
                </c:pt>
                <c:pt idx="313">
                  <c:v>-110.12556903468251</c:v>
                </c:pt>
                <c:pt idx="314">
                  <c:v>-109.95577708329391</c:v>
                </c:pt>
                <c:pt idx="315">
                  <c:v>-109.7887102396393</c:v>
                </c:pt>
                <c:pt idx="316">
                  <c:v>-109.62430624464621</c:v>
                </c:pt>
                <c:pt idx="317">
                  <c:v>-109.46250462932568</c:v>
                </c:pt>
                <c:pt idx="318">
                  <c:v>-109.30324665467927</c:v>
                </c:pt>
                <c:pt idx="319">
                  <c:v>-109.14647525382172</c:v>
                </c:pt>
                <c:pt idx="320">
                  <c:v>-108.99213497623508</c:v>
                </c:pt>
                <c:pt idx="321">
                  <c:v>-108.84017193407448</c:v>
                </c:pt>
                <c:pt idx="322">
                  <c:v>-108.69053375044719</c:v>
                </c:pt>
                <c:pt idx="323">
                  <c:v>-108.54316950959023</c:v>
                </c:pt>
                <c:pt idx="324">
                  <c:v>-108.39802970887338</c:v>
                </c:pt>
                <c:pt idx="325">
                  <c:v>-108.25506621255828</c:v>
                </c:pt>
                <c:pt idx="326">
                  <c:v>-108.11423220724576</c:v>
                </c:pt>
                <c:pt idx="327">
                  <c:v>-107.97548215894649</c:v>
                </c:pt>
                <c:pt idx="328">
                  <c:v>-107.83877177171242</c:v>
                </c:pt>
                <c:pt idx="329">
                  <c:v>-107.70405794776886</c:v>
                </c:pt>
                <c:pt idx="330">
                  <c:v>-107.57129874908934</c:v>
                </c:pt>
                <c:pt idx="331">
                  <c:v>-107.44045336035684</c:v>
                </c:pt>
                <c:pt idx="332">
                  <c:v>-107.31148205325894</c:v>
                </c:pt>
                <c:pt idx="333">
                  <c:v>-107.18434615206419</c:v>
                </c:pt>
                <c:pt idx="334">
                  <c:v>-107.05900800043113</c:v>
                </c:pt>
                <c:pt idx="335">
                  <c:v>-106.93543092940155</c:v>
                </c:pt>
                <c:pt idx="336">
                  <c:v>-106.81357922653292</c:v>
                </c:pt>
                <c:pt idx="337">
                  <c:v>-106.69341810612576</c:v>
                </c:pt>
                <c:pt idx="338">
                  <c:v>-106.5749136805038</c:v>
                </c:pt>
                <c:pt idx="339">
                  <c:v>-106.4580329323063</c:v>
                </c:pt>
                <c:pt idx="340">
                  <c:v>-106.34274368775402</c:v>
                </c:pt>
                <c:pt idx="341">
                  <c:v>-106.22901459085119</c:v>
                </c:pt>
                <c:pt idx="342">
                  <c:v>-106.11681507848741</c:v>
                </c:pt>
                <c:pt idx="343">
                  <c:v>-106.00611535640567</c:v>
                </c:pt>
                <c:pt idx="344">
                  <c:v>-105.89688637600307</c:v>
                </c:pt>
                <c:pt idx="345">
                  <c:v>-105.78909981193242</c:v>
                </c:pt>
                <c:pt idx="346">
                  <c:v>-105.68272804047447</c:v>
                </c:pt>
                <c:pt idx="347">
                  <c:v>-105.57774411865172</c:v>
                </c:pt>
                <c:pt idx="348">
                  <c:v>-105.47412176405528</c:v>
                </c:pt>
                <c:pt idx="349">
                  <c:v>-105.37183533535833</c:v>
                </c:pt>
                <c:pt idx="350">
                  <c:v>-105.27085981349011</c:v>
                </c:pt>
                <c:pt idx="351">
                  <c:v>-105.17117078344573</c:v>
                </c:pt>
                <c:pt idx="352">
                  <c:v>-105.07274441670783</c:v>
                </c:pt>
                <c:pt idx="353">
                  <c:v>-104.9755574542575</c:v>
                </c:pt>
                <c:pt idx="354">
                  <c:v>-104.87958719015225</c:v>
                </c:pt>
                <c:pt idx="355">
                  <c:v>-104.78481145565024</c:v>
                </c:pt>
                <c:pt idx="356">
                  <c:v>-104.69120860386032</c:v>
                </c:pt>
                <c:pt idx="357">
                  <c:v>-104.59875749489854</c:v>
                </c:pt>
                <c:pt idx="358">
                  <c:v>-104.50743748153261</c:v>
                </c:pt>
                <c:pt idx="359">
                  <c:v>-104.41722839529615</c:v>
                </c:pt>
                <c:pt idx="360">
                  <c:v>-104.32811053305595</c:v>
                </c:pt>
                <c:pt idx="361">
                  <c:v>-104.24006464401531</c:v>
                </c:pt>
                <c:pt idx="362">
                  <c:v>-104.15307191713764</c:v>
                </c:pt>
                <c:pt idx="363">
                  <c:v>-104.06711396897569</c:v>
                </c:pt>
                <c:pt idx="364">
                  <c:v>-103.98217283189075</c:v>
                </c:pt>
                <c:pt idx="365">
                  <c:v>-103.89823094264889</c:v>
                </c:pt>
                <c:pt idx="366">
                  <c:v>-103.81527113137975</c:v>
                </c:pt>
                <c:pt idx="367">
                  <c:v>-103.73327661088565</c:v>
                </c:pt>
                <c:pt idx="368">
                  <c:v>-103.65223096628799</c:v>
                </c:pt>
                <c:pt idx="369">
                  <c:v>-103.57211814499941</c:v>
                </c:pt>
                <c:pt idx="370">
                  <c:v>-103.49292244700999</c:v>
                </c:pt>
                <c:pt idx="371">
                  <c:v>-103.41462851547611</c:v>
                </c:pt>
                <c:pt idx="372">
                  <c:v>-103.33722132760226</c:v>
                </c:pt>
                <c:pt idx="373">
                  <c:v>-103.26068618580412</c:v>
                </c:pt>
                <c:pt idx="374">
                  <c:v>-103.18500870914465</c:v>
                </c:pt>
                <c:pt idx="375">
                  <c:v>-103.11017482503259</c:v>
                </c:pt>
                <c:pt idx="376">
                  <c:v>-103.03617076117452</c:v>
                </c:pt>
                <c:pt idx="377">
                  <c:v>-102.96298303777228</c:v>
                </c:pt>
                <c:pt idx="378">
                  <c:v>-102.89059845995649</c:v>
                </c:pt>
                <c:pt idx="379">
                  <c:v>-102.81900411044866</c:v>
                </c:pt>
                <c:pt idx="380">
                  <c:v>-102.74818734244394</c:v>
                </c:pt>
                <c:pt idx="381">
                  <c:v>-102.67813577270674</c:v>
                </c:pt>
                <c:pt idx="382">
                  <c:v>-102.60883727487257</c:v>
                </c:pt>
                <c:pt idx="383">
                  <c:v>-102.54027997294851</c:v>
                </c:pt>
                <c:pt idx="384">
                  <c:v>-102.47245223500609</c:v>
                </c:pt>
                <c:pt idx="385">
                  <c:v>-102.40534266705984</c:v>
                </c:pt>
                <c:pt idx="386">
                  <c:v>-102.3389401071254</c:v>
                </c:pt>
                <c:pt idx="387">
                  <c:v>-102.27323361945155</c:v>
                </c:pt>
                <c:pt idx="388">
                  <c:v>-102.20821248891951</c:v>
                </c:pt>
                <c:pt idx="389">
                  <c:v>-102.14386621560517</c:v>
                </c:pt>
                <c:pt idx="390">
                  <c:v>-102.0801845094978</c:v>
                </c:pt>
                <c:pt idx="391">
                  <c:v>-102.01715728537089</c:v>
                </c:pt>
                <c:pt idx="392">
                  <c:v>-101.95477465779959</c:v>
                </c:pt>
                <c:pt idx="393">
                  <c:v>-101.89302693632054</c:v>
                </c:pt>
                <c:pt idx="394">
                  <c:v>-101.83190462072884</c:v>
                </c:pt>
                <c:pt idx="395">
                  <c:v>-101.7713983965082</c:v>
                </c:pt>
                <c:pt idx="396">
                  <c:v>-101.71149913039</c:v>
                </c:pt>
                <c:pt idx="397">
                  <c:v>-101.6521978660366</c:v>
                </c:pt>
                <c:pt idx="398">
                  <c:v>-101.59348581984564</c:v>
                </c:pt>
                <c:pt idx="399">
                  <c:v>-101.53535437687091</c:v>
                </c:pt>
                <c:pt idx="400">
                  <c:v>-101.47779508685643</c:v>
                </c:pt>
                <c:pt idx="401">
                  <c:v>-101.42079966037998</c:v>
                </c:pt>
                <c:pt idx="402">
                  <c:v>-101.36435996510282</c:v>
                </c:pt>
                <c:pt idx="403">
                  <c:v>-101.30846802212193</c:v>
                </c:pt>
                <c:pt idx="404">
                  <c:v>-101.25311600242208</c:v>
                </c:pt>
                <c:pt idx="405">
                  <c:v>-101.19829622342409</c:v>
                </c:pt>
                <c:pt idx="406">
                  <c:v>-101.14400114562663</c:v>
                </c:pt>
                <c:pt idx="407">
                  <c:v>-101.09022336933872</c:v>
                </c:pt>
                <c:pt idx="408">
                  <c:v>-101.03695563149965</c:v>
                </c:pt>
                <c:pt idx="409">
                  <c:v>-100.98419080258432</c:v>
                </c:pt>
                <c:pt idx="410">
                  <c:v>-100.93192188359097</c:v>
                </c:pt>
                <c:pt idx="411">
                  <c:v>-100.88014200310873</c:v>
                </c:pt>
                <c:pt idx="412">
                  <c:v>-100.82884441446291</c:v>
                </c:pt>
                <c:pt idx="413">
                  <c:v>-100.77802249293534</c:v>
                </c:pt>
                <c:pt idx="414">
                  <c:v>-100.72766973305781</c:v>
                </c:pt>
                <c:pt idx="415">
                  <c:v>-100.67777974597595</c:v>
                </c:pt>
                <c:pt idx="416">
                  <c:v>-100.62834625688218</c:v>
                </c:pt>
                <c:pt idx="417">
                  <c:v>-100.57936310251489</c:v>
                </c:pt>
                <c:pt idx="418">
                  <c:v>-100.53082422872227</c:v>
                </c:pt>
                <c:pt idx="419">
                  <c:v>-100.4827236880891</c:v>
                </c:pt>
                <c:pt idx="420">
                  <c:v>-100.43505563762409</c:v>
                </c:pt>
                <c:pt idx="421">
                  <c:v>-100.38781433650647</c:v>
                </c:pt>
                <c:pt idx="422">
                  <c:v>-100.34099414388979</c:v>
                </c:pt>
                <c:pt idx="423">
                  <c:v>-100.29458951676158</c:v>
                </c:pt>
                <c:pt idx="424">
                  <c:v>-100.24859500785682</c:v>
                </c:pt>
                <c:pt idx="425">
                  <c:v>-100.20300526362412</c:v>
                </c:pt>
                <c:pt idx="426">
                  <c:v>-100.15781502224272</c:v>
                </c:pt>
                <c:pt idx="427">
                  <c:v>-100.11301911168904</c:v>
                </c:pt>
                <c:pt idx="428">
                  <c:v>-100.06861244785149</c:v>
                </c:pt>
                <c:pt idx="429">
                  <c:v>-100.02459003269159</c:v>
                </c:pt>
                <c:pt idx="430">
                  <c:v>-99.980946952451077</c:v>
                </c:pt>
                <c:pt idx="431">
                  <c:v>-99.937678375902436</c:v>
                </c:pt>
                <c:pt idx="432">
                  <c:v>-99.894779552643087</c:v>
                </c:pt>
                <c:pt idx="433">
                  <c:v>-99.852245811430379</c:v>
                </c:pt>
                <c:pt idx="434">
                  <c:v>-99.810072558557778</c:v>
                </c:pt>
                <c:pt idx="435">
                  <c:v>-99.768255276270054</c:v>
                </c:pt>
                <c:pt idx="436">
                  <c:v>-99.726789521216801</c:v>
                </c:pt>
                <c:pt idx="437">
                  <c:v>-99.685670922943203</c:v>
                </c:pt>
                <c:pt idx="438">
                  <c:v>-99.644895182417059</c:v>
                </c:pt>
                <c:pt idx="439">
                  <c:v>-99.604458070590709</c:v>
                </c:pt>
                <c:pt idx="440">
                  <c:v>-99.564355426997494</c:v>
                </c:pt>
                <c:pt idx="441">
                  <c:v>-99.524583158381375</c:v>
                </c:pt>
                <c:pt idx="442">
                  <c:v>-99.485137237358842</c:v>
                </c:pt>
                <c:pt idx="443">
                  <c:v>-99.446013701112562</c:v>
                </c:pt>
                <c:pt idx="444">
                  <c:v>-99.407208650115294</c:v>
                </c:pt>
                <c:pt idx="445">
                  <c:v>-99.368718246884058</c:v>
                </c:pt>
                <c:pt idx="446">
                  <c:v>-99.330538714762895</c:v>
                </c:pt>
                <c:pt idx="447">
                  <c:v>-99.292666336734385</c:v>
                </c:pt>
                <c:pt idx="448">
                  <c:v>-99.255097454257992</c:v>
                </c:pt>
                <c:pt idx="449">
                  <c:v>-99.217828466135956</c:v>
                </c:pt>
                <c:pt idx="450">
                  <c:v>-99.180855827404272</c:v>
                </c:pt>
                <c:pt idx="451">
                  <c:v>-99.14417604825006</c:v>
                </c:pt>
                <c:pt idx="452">
                  <c:v>-99.107785692953001</c:v>
                </c:pt>
                <c:pt idx="453">
                  <c:v>-99.071681378850698</c:v>
                </c:pt>
                <c:pt idx="454">
                  <c:v>-99.035859775328021</c:v>
                </c:pt>
                <c:pt idx="455">
                  <c:v>-99.000317602828886</c:v>
                </c:pt>
                <c:pt idx="456">
                  <c:v>-98.965051631890162</c:v>
                </c:pt>
                <c:pt idx="457">
                  <c:v>-98.930058682197568</c:v>
                </c:pt>
                <c:pt idx="458">
                  <c:v>-98.895335621662298</c:v>
                </c:pt>
                <c:pt idx="459">
                  <c:v>-98.860879365518457</c:v>
                </c:pt>
                <c:pt idx="460">
                  <c:v>-98.826686875440416</c:v>
                </c:pt>
                <c:pt idx="461">
                  <c:v>-98.792755158679554</c:v>
                </c:pt>
                <c:pt idx="462">
                  <c:v>-98.759081267220125</c:v>
                </c:pt>
                <c:pt idx="463">
                  <c:v>-98.725662296953772</c:v>
                </c:pt>
                <c:pt idx="464">
                  <c:v>-98.692495386871812</c:v>
                </c:pt>
                <c:pt idx="465">
                  <c:v>-98.659577718275358</c:v>
                </c:pt>
                <c:pt idx="466">
                  <c:v>-98.62690651400257</c:v>
                </c:pt>
                <c:pt idx="467">
                  <c:v>-98.594479037672485</c:v>
                </c:pt>
                <c:pt idx="468">
                  <c:v>-98.562292592945269</c:v>
                </c:pt>
                <c:pt idx="469">
                  <c:v>-98.530344522798401</c:v>
                </c:pt>
                <c:pt idx="470">
                  <c:v>-98.49863220881852</c:v>
                </c:pt>
                <c:pt idx="471">
                  <c:v>-98.467153070507933</c:v>
                </c:pt>
                <c:pt idx="472">
                  <c:v>-98.435904564606346</c:v>
                </c:pt>
                <c:pt idx="473">
                  <c:v>-98.40488418442682</c:v>
                </c:pt>
                <c:pt idx="474">
                  <c:v>-98.374089459205805</c:v>
                </c:pt>
                <c:pt idx="475">
                  <c:v>-98.343517953466687</c:v>
                </c:pt>
                <c:pt idx="476">
                  <c:v>-98.313167266397073</c:v>
                </c:pt>
                <c:pt idx="477">
                  <c:v>-98.283035031238768</c:v>
                </c:pt>
                <c:pt idx="478">
                  <c:v>-98.253118914690759</c:v>
                </c:pt>
                <c:pt idx="479">
                  <c:v>-98.223416616324286</c:v>
                </c:pt>
                <c:pt idx="480">
                  <c:v>-98.193925868010524</c:v>
                </c:pt>
                <c:pt idx="481">
                  <c:v>-98.164644433359499</c:v>
                </c:pt>
                <c:pt idx="482">
                  <c:v>-98.135570107171247</c:v>
                </c:pt>
                <c:pt idx="483">
                  <c:v>-98.106700714897556</c:v>
                </c:pt>
                <c:pt idx="484">
                  <c:v>-98.078034112115205</c:v>
                </c:pt>
                <c:pt idx="485">
                  <c:v>-98.049568184009843</c:v>
                </c:pt>
                <c:pt idx="486">
                  <c:v>-98.021300844870225</c:v>
                </c:pt>
                <c:pt idx="487">
                  <c:v>-97.993230037592795</c:v>
                </c:pt>
                <c:pt idx="488">
                  <c:v>-97.965353733196451</c:v>
                </c:pt>
                <c:pt idx="489">
                  <c:v>-97.937669930346686</c:v>
                </c:pt>
                <c:pt idx="490">
                  <c:v>-97.910176654889625</c:v>
                </c:pt>
                <c:pt idx="491">
                  <c:v>-97.882871959395402</c:v>
                </c:pt>
                <c:pt idx="492">
                  <c:v>-97.855753922710349</c:v>
                </c:pt>
                <c:pt idx="493">
                  <c:v>-97.828820649518363</c:v>
                </c:pt>
                <c:pt idx="494">
                  <c:v>-97.802070269910899</c:v>
                </c:pt>
                <c:pt idx="495">
                  <c:v>-97.775500938965408</c:v>
                </c:pt>
                <c:pt idx="496">
                  <c:v>-97.74911083633215</c:v>
                </c:pt>
                <c:pt idx="497">
                  <c:v>-97.722898165829108</c:v>
                </c:pt>
                <c:pt idx="498">
                  <c:v>-97.696861155044829</c:v>
                </c:pt>
                <c:pt idx="499">
                  <c:v>-97.670998054948939</c:v>
                </c:pt>
                <c:pt idx="500">
                  <c:v>-97.645307139510507</c:v>
                </c:pt>
                <c:pt idx="501">
                  <c:v>-97.619786705323392</c:v>
                </c:pt>
                <c:pt idx="502">
                  <c:v>-97.594435071239218</c:v>
                </c:pt>
                <c:pt idx="503">
                  <c:v>-97.569250578007242</c:v>
                </c:pt>
                <c:pt idx="504">
                  <c:v>-97.54423158792126</c:v>
                </c:pt>
                <c:pt idx="505">
                  <c:v>-97.519376484473028</c:v>
                </c:pt>
                <c:pt idx="506">
                  <c:v>-97.49468367201267</c:v>
                </c:pt>
                <c:pt idx="507">
                  <c:v>-97.470151575415215</c:v>
                </c:pt>
                <c:pt idx="508">
                  <c:v>-97.445778639753811</c:v>
                </c:pt>
                <c:pt idx="509">
                  <c:v>-97.421563329978753</c:v>
                </c:pt>
                <c:pt idx="510">
                  <c:v>-97.39750413060284</c:v>
                </c:pt>
                <c:pt idx="511">
                  <c:v>-97.373599545392594</c:v>
                </c:pt>
                <c:pt idx="512">
                  <c:v>-97.349848097065248</c:v>
                </c:pt>
                <c:pt idx="513">
                  <c:v>-97.326248326991347</c:v>
                </c:pt>
                <c:pt idx="514">
                  <c:v>-97.302798794903069</c:v>
                </c:pt>
                <c:pt idx="515">
                  <c:v>-97.279498078607688</c:v>
                </c:pt>
                <c:pt idx="516">
                  <c:v>-97.2563447737068</c:v>
                </c:pt>
                <c:pt idx="517">
                  <c:v>-97.23333749332015</c:v>
                </c:pt>
                <c:pt idx="518">
                  <c:v>-97.210474867815122</c:v>
                </c:pt>
                <c:pt idx="519">
                  <c:v>-97.187755544540849</c:v>
                </c:pt>
                <c:pt idx="520">
                  <c:v>-97.165178187567264</c:v>
                </c:pt>
                <c:pt idx="521">
                  <c:v>-97.142741477428999</c:v>
                </c:pt>
                <c:pt idx="522">
                  <c:v>-97.120444110873876</c:v>
                </c:pt>
                <c:pt idx="523">
                  <c:v>-97.098284800616028</c:v>
                </c:pt>
                <c:pt idx="524">
                  <c:v>-97.076262275093455</c:v>
                </c:pt>
                <c:pt idx="525">
                  <c:v>-97.054375278229941</c:v>
                </c:pt>
                <c:pt idx="526">
                  <c:v>-97.032622569201308</c:v>
                </c:pt>
                <c:pt idx="527">
                  <c:v>-97.011002922205833</c:v>
                </c:pt>
                <c:pt idx="528">
                  <c:v>-96.989515126238743</c:v>
                </c:pt>
                <c:pt idx="529">
                  <c:v>-96.968157984870913</c:v>
                </c:pt>
                <c:pt idx="530">
                  <c:v>-96.946930316031271</c:v>
                </c:pt>
                <c:pt idx="531">
                  <c:v>-96.925830951793131</c:v>
                </c:pt>
                <c:pt idx="532">
                  <c:v>-96.904858738164464</c:v>
                </c:pt>
                <c:pt idx="533">
                  <c:v>-96.88401253488172</c:v>
                </c:pt>
                <c:pt idx="534">
                  <c:v>-96.863291215207241</c:v>
                </c:pt>
                <c:pt idx="535">
                  <c:v>-96.842693665730394</c:v>
                </c:pt>
                <c:pt idx="536">
                  <c:v>-96.822218786172115</c:v>
                </c:pt>
                <c:pt idx="537">
                  <c:v>-96.801865489192735</c:v>
                </c:pt>
                <c:pt idx="538">
                  <c:v>-96.781632700203374</c:v>
                </c:pt>
                <c:pt idx="539">
                  <c:v>-96.761519357180489</c:v>
                </c:pt>
                <c:pt idx="540">
                  <c:v>-96.741524410483535</c:v>
                </c:pt>
                <c:pt idx="541">
                  <c:v>-96.721646822676121</c:v>
                </c:pt>
                <c:pt idx="542">
                  <c:v>-96.701885568349709</c:v>
                </c:pt>
                <c:pt idx="543">
                  <c:v>-96.6822396339509</c:v>
                </c:pt>
                <c:pt idx="544">
                  <c:v>-96.662708017611251</c:v>
                </c:pt>
                <c:pt idx="545">
                  <c:v>-96.643289728980264</c:v>
                </c:pt>
                <c:pt idx="546">
                  <c:v>-96.623983789061072</c:v>
                </c:pt>
                <c:pt idx="547">
                  <c:v>-96.604789230048922</c:v>
                </c:pt>
                <c:pt idx="548">
                  <c:v>-96.585705095172585</c:v>
                </c:pt>
                <c:pt idx="549">
                  <c:v>-96.566730438538116</c:v>
                </c:pt>
                <c:pt idx="550">
                  <c:v>-96.547864324975563</c:v>
                </c:pt>
                <c:pt idx="551">
                  <c:v>-96.529105829888039</c:v>
                </c:pt>
                <c:pt idx="552">
                  <c:v>-96.510454039103379</c:v>
                </c:pt>
                <c:pt idx="553">
                  <c:v>-96.491908048728405</c:v>
                </c:pt>
                <c:pt idx="554">
                  <c:v>-96.473466965005386</c:v>
                </c:pt>
                <c:pt idx="555">
                  <c:v>-96.455129904171031</c:v>
                </c:pt>
                <c:pt idx="556">
                  <c:v>-96.436895992317886</c:v>
                </c:pt>
                <c:pt idx="557">
                  <c:v>-96.418764365257829</c:v>
                </c:pt>
                <c:pt idx="558">
                  <c:v>-96.400734168387899</c:v>
                </c:pt>
                <c:pt idx="559">
                  <c:v>-96.382804556558511</c:v>
                </c:pt>
                <c:pt idx="560">
                  <c:v>-96.364974693943481</c:v>
                </c:pt>
                <c:pt idx="561">
                  <c:v>-96.347243753912437</c:v>
                </c:pt>
                <c:pt idx="562">
                  <c:v>-96.329610918905274</c:v>
                </c:pt>
                <c:pt idx="563">
                  <c:v>-96.312075380308684</c:v>
                </c:pt>
                <c:pt idx="564">
                  <c:v>-96.294636338334357</c:v>
                </c:pt>
                <c:pt idx="565">
                  <c:v>-96.27729300189975</c:v>
                </c:pt>
                <c:pt idx="566">
                  <c:v>-96.260044588510269</c:v>
                </c:pt>
                <c:pt idx="567">
                  <c:v>-96.242890324143474</c:v>
                </c:pt>
                <c:pt idx="568">
                  <c:v>-96.22582944313541</c:v>
                </c:pt>
                <c:pt idx="569">
                  <c:v>-96.208861188068397</c:v>
                </c:pt>
                <c:pt idx="570">
                  <c:v>-96.191984809660781</c:v>
                </c:pt>
                <c:pt idx="571">
                  <c:v>-96.175199566658435</c:v>
                </c:pt>
                <c:pt idx="572">
                  <c:v>-96.158504725727994</c:v>
                </c:pt>
                <c:pt idx="573">
                  <c:v>-96.141899561351806</c:v>
                </c:pt>
                <c:pt idx="574">
                  <c:v>-96.125383355724395</c:v>
                </c:pt>
                <c:pt idx="575">
                  <c:v>-96.108955398650693</c:v>
                </c:pt>
                <c:pt idx="576">
                  <c:v>-96.092614987445984</c:v>
                </c:pt>
                <c:pt idx="577">
                  <c:v>-96.076361426837138</c:v>
                </c:pt>
                <c:pt idx="578">
                  <c:v>-96.060194028865496</c:v>
                </c:pt>
                <c:pt idx="579">
                  <c:v>-96.044112112791424</c:v>
                </c:pt>
                <c:pt idx="580">
                  <c:v>-96.028115005000174</c:v>
                </c:pt>
                <c:pt idx="581">
                  <c:v>-96.012202038909365</c:v>
                </c:pt>
                <c:pt idx="582">
                  <c:v>-95.996372554877652</c:v>
                </c:pt>
                <c:pt idx="583">
                  <c:v>-95.980625900115015</c:v>
                </c:pt>
                <c:pt idx="584">
                  <c:v>-95.964961428594464</c:v>
                </c:pt>
                <c:pt idx="585">
                  <c:v>-95.949378500964897</c:v>
                </c:pt>
                <c:pt idx="586">
                  <c:v>-95.933876484465472</c:v>
                </c:pt>
                <c:pt idx="587">
                  <c:v>-95.918454752841228</c:v>
                </c:pt>
                <c:pt idx="588">
                  <c:v>-95.903112686259917</c:v>
                </c:pt>
                <c:pt idx="589">
                  <c:v>-95.887849671230327</c:v>
                </c:pt>
                <c:pt idx="590">
                  <c:v>-95.872665100521601</c:v>
                </c:pt>
                <c:pt idx="591">
                  <c:v>-95.857558373083819</c:v>
                </c:pt>
                <c:pt idx="592">
                  <c:v>-95.842528893969984</c:v>
                </c:pt>
                <c:pt idx="593">
                  <c:v>-95.827576074258971</c:v>
                </c:pt>
                <c:pt idx="594">
                  <c:v>-95.812699330979584</c:v>
                </c:pt>
                <c:pt idx="595">
                  <c:v>-95.79789808703616</c:v>
                </c:pt>
                <c:pt idx="596">
                  <c:v>-95.783171771134647</c:v>
                </c:pt>
                <c:pt idx="597">
                  <c:v>-95.76851981771047</c:v>
                </c:pt>
                <c:pt idx="598">
                  <c:v>-95.753941666856875</c:v>
                </c:pt>
                <c:pt idx="599">
                  <c:v>-95.739436764254748</c:v>
                </c:pt>
                <c:pt idx="600">
                  <c:v>-95.725004561103262</c:v>
                </c:pt>
                <c:pt idx="601">
                  <c:v>-95.710644514051694</c:v>
                </c:pt>
                <c:pt idx="602">
                  <c:v>-95.696356085132109</c:v>
                </c:pt>
                <c:pt idx="603">
                  <c:v>-95.682138741693052</c:v>
                </c:pt>
                <c:pt idx="604">
                  <c:v>-95.667991956334333</c:v>
                </c:pt>
                <c:pt idx="605">
                  <c:v>-95.653915206842754</c:v>
                </c:pt>
                <c:pt idx="606">
                  <c:v>-95.029172307263551</c:v>
                </c:pt>
                <c:pt idx="607">
                  <c:v>-94.528493616651161</c:v>
                </c:pt>
                <c:pt idx="608">
                  <c:v>-94.118320395596712</c:v>
                </c:pt>
                <c:pt idx="609">
                  <c:v>-93.776179632054834</c:v>
                </c:pt>
                <c:pt idx="610">
                  <c:v>-93.486461105040448</c:v>
                </c:pt>
                <c:pt idx="611">
                  <c:v>-93.237986183077609</c:v>
                </c:pt>
                <c:pt idx="612">
                  <c:v>-93.02254083615766</c:v>
                </c:pt>
                <c:pt idx="613">
                  <c:v>-92.833954740300555</c:v>
                </c:pt>
                <c:pt idx="614">
                  <c:v>-92.667503331928032</c:v>
                </c:pt>
                <c:pt idx="615">
                  <c:v>-92.519508060654275</c:v>
                </c:pt>
                <c:pt idx="616">
                  <c:v>-92.387062251325773</c:v>
                </c:pt>
                <c:pt idx="617">
                  <c:v>-92.267838843099113</c:v>
                </c:pt>
                <c:pt idx="618">
                  <c:v>-92.223417127464188</c:v>
                </c:pt>
                <c:pt idx="619">
                  <c:v>-92.180701380666449</c:v>
                </c:pt>
                <c:pt idx="620">
                  <c:v>-92.139595225828742</c:v>
                </c:pt>
                <c:pt idx="621">
                  <c:v>-92.10000940825897</c:v>
                </c:pt>
                <c:pt idx="622">
                  <c:v>-92.061861149762905</c:v>
                </c:pt>
                <c:pt idx="623">
                  <c:v>-92.025073571920956</c:v>
                </c:pt>
                <c:pt idx="624">
                  <c:v>-91.989575179889314</c:v>
                </c:pt>
                <c:pt idx="625">
                  <c:v>-91.955299399445863</c:v>
                </c:pt>
                <c:pt idx="626">
                  <c:v>-91.92218416098315</c:v>
                </c:pt>
                <c:pt idx="627">
                  <c:v>-91.89017152498981</c:v>
                </c:pt>
                <c:pt idx="628">
                  <c:v>-91.859207344272519</c:v>
                </c:pt>
                <c:pt idx="629">
                  <c:v>-91.829240958783515</c:v>
                </c:pt>
                <c:pt idx="630">
                  <c:v>-91.800224919440723</c:v>
                </c:pt>
                <c:pt idx="631">
                  <c:v>-91.772114737777827</c:v>
                </c:pt>
                <c:pt idx="632">
                  <c:v>-91.744868658650816</c:v>
                </c:pt>
                <c:pt idx="633">
                  <c:v>-91.718447453561012</c:v>
                </c:pt>
                <c:pt idx="634">
                  <c:v>-91.692814232446452</c:v>
                </c:pt>
                <c:pt idx="635">
                  <c:v>-91.667934272045287</c:v>
                </c:pt>
                <c:pt idx="636">
                  <c:v>-91.643774859153368</c:v>
                </c:pt>
                <c:pt idx="637">
                  <c:v>-91.620305147290424</c:v>
                </c:pt>
                <c:pt idx="638">
                  <c:v>-91.597496025455627</c:v>
                </c:pt>
                <c:pt idx="639">
                  <c:v>-91.575319997799852</c:v>
                </c:pt>
                <c:pt idx="640">
                  <c:v>-91.553751073169678</c:v>
                </c:pt>
                <c:pt idx="641">
                  <c:v>-91.532764663591834</c:v>
                </c:pt>
                <c:pt idx="642">
                  <c:v>-91.512337490864496</c:v>
                </c:pt>
                <c:pt idx="643">
                  <c:v>-91.492447500510849</c:v>
                </c:pt>
                <c:pt idx="644">
                  <c:v>-91.473073782426752</c:v>
                </c:pt>
                <c:pt idx="645">
                  <c:v>-91.454196497622362</c:v>
                </c:pt>
                <c:pt idx="646">
                  <c:v>-91.435796810519562</c:v>
                </c:pt>
                <c:pt idx="647">
                  <c:v>-91.417856826319067</c:v>
                </c:pt>
                <c:pt idx="648">
                  <c:v>-91.400359533000241</c:v>
                </c:pt>
                <c:pt idx="649">
                  <c:v>-91.383288747558936</c:v>
                </c:pt>
                <c:pt idx="650">
                  <c:v>-91.366629066126094</c:v>
                </c:pt>
                <c:pt idx="651">
                  <c:v>-91.350365817644558</c:v>
                </c:pt>
                <c:pt idx="652">
                  <c:v>-91.334485020811513</c:v>
                </c:pt>
                <c:pt idx="653">
                  <c:v>-91.318973344020677</c:v>
                </c:pt>
                <c:pt idx="654">
                  <c:v>-91.30381806806399</c:v>
                </c:pt>
                <c:pt idx="655">
                  <c:v>-91.289007051373048</c:v>
                </c:pt>
                <c:pt idx="656">
                  <c:v>-91.274528697600871</c:v>
                </c:pt>
                <c:pt idx="657">
                  <c:v>-91.260371925362406</c:v>
                </c:pt>
                <c:pt idx="658">
                  <c:v>-91.246526139967997</c:v>
                </c:pt>
                <c:pt idx="659">
                  <c:v>-91.232981206997991</c:v>
                </c:pt>
                <c:pt idx="660">
                  <c:v>-91.219727427580438</c:v>
                </c:pt>
                <c:pt idx="661">
                  <c:v>-91.206755515245149</c:v>
                </c:pt>
                <c:pt idx="662">
                  <c:v>-91.194056574237848</c:v>
                </c:pt>
                <c:pt idx="663">
                  <c:v>-91.181622079188543</c:v>
                </c:pt>
                <c:pt idx="664">
                  <c:v>-91.169443856036111</c:v>
                </c:pt>
                <c:pt idx="665">
                  <c:v>-91.157514064119525</c:v>
                </c:pt>
                <c:pt idx="666">
                  <c:v>-91.145825179353608</c:v>
                </c:pt>
                <c:pt idx="667">
                  <c:v>-91.134369978412977</c:v>
                </c:pt>
              </c:numCache>
            </c:numRef>
          </c:yVal>
          <c:smooth val="0"/>
          <c:extLst>
            <c:ext xmlns:c16="http://schemas.microsoft.com/office/drawing/2014/chart" uri="{C3380CC4-5D6E-409C-BE32-E72D297353CC}">
              <c16:uniqueId val="{00000001-2DBB-4F72-B5DF-A436F54D08AE}"/>
            </c:ext>
          </c:extLst>
        </c:ser>
        <c:dLbls>
          <c:showLegendKey val="0"/>
          <c:showVal val="0"/>
          <c:showCatName val="0"/>
          <c:showSerName val="0"/>
          <c:showPercent val="0"/>
          <c:showBubbleSize val="0"/>
        </c:dLbls>
        <c:axId val="176900736"/>
        <c:axId val="176902528"/>
      </c:scatterChart>
      <c:valAx>
        <c:axId val="176896640"/>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8816"/>
        <c:crossesAt val="-120"/>
        <c:crossBetween val="midCat"/>
      </c:valAx>
      <c:valAx>
        <c:axId val="17689881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6640"/>
        <c:crosses val="autoZero"/>
        <c:crossBetween val="midCat"/>
      </c:valAx>
      <c:valAx>
        <c:axId val="176900736"/>
        <c:scaling>
          <c:logBase val="10"/>
          <c:orientation val="minMax"/>
        </c:scaling>
        <c:delete val="1"/>
        <c:axPos val="b"/>
        <c:numFmt formatCode="General" sourceLinked="1"/>
        <c:majorTickMark val="out"/>
        <c:minorTickMark val="none"/>
        <c:tickLblPos val="none"/>
        <c:crossAx val="176902528"/>
        <c:crosses val="autoZero"/>
        <c:crossBetween val="midCat"/>
      </c:valAx>
      <c:valAx>
        <c:axId val="176902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00736"/>
        <c:crosses val="max"/>
        <c:crossBetween val="midCat"/>
      </c:valAx>
      <c:spPr>
        <a:noFill/>
        <a:ln w="12700">
          <a:solidFill>
            <a:srgbClr val="808080"/>
          </a:solidFill>
          <a:prstDash val="solid"/>
        </a:ln>
      </c:spPr>
    </c:plotArea>
    <c:legend>
      <c:legendPos val="r"/>
      <c:layout>
        <c:manualLayout>
          <c:xMode val="edge"/>
          <c:yMode val="edge"/>
          <c:x val="0.76630434782608692"/>
          <c:y val="1.2987012987012988E-2"/>
          <c:w val="0.21557971014492749"/>
          <c:h val="0.14545454545454545"/>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
5V Vin</a:t>
            </a:r>
          </a:p>
        </c:rich>
      </c:tx>
      <c:layout>
        <c:manualLayout>
          <c:xMode val="edge"/>
          <c:yMode val="edge"/>
          <c:x val="0.40036307961505191"/>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Theoretical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60.789664437330899</c:v>
                </c:pt>
                <c:pt idx="1">
                  <c:v>56.649223228419636</c:v>
                </c:pt>
                <c:pt idx="2">
                  <c:v>53.58654984006931</c:v>
                </c:pt>
                <c:pt idx="3">
                  <c:v>51.260685592708441</c:v>
                </c:pt>
                <c:pt idx="4">
                  <c:v>49.404919234544302</c:v>
                </c:pt>
                <c:pt idx="5">
                  <c:v>47.866747726057483</c:v>
                </c:pt>
                <c:pt idx="6">
                  <c:v>46.555460968168312</c:v>
                </c:pt>
                <c:pt idx="7">
                  <c:v>45.413672716271691</c:v>
                </c:pt>
                <c:pt idx="8">
                  <c:v>44.403052275367088</c:v>
                </c:pt>
                <c:pt idx="9">
                  <c:v>43.496826700203961</c:v>
                </c:pt>
                <c:pt idx="10">
                  <c:v>37.505280584938632</c:v>
                </c:pt>
                <c:pt idx="11">
                  <c:v>33.989593685163577</c:v>
                </c:pt>
                <c:pt idx="12">
                  <c:v>31.493839666967066</c:v>
                </c:pt>
                <c:pt idx="13">
                  <c:v>29.55799300412767</c:v>
                </c:pt>
                <c:pt idx="14">
                  <c:v>27.976659768128094</c:v>
                </c:pt>
                <c:pt idx="15">
                  <c:v>26.640161057156888</c:v>
                </c:pt>
                <c:pt idx="16">
                  <c:v>25.482991044419979</c:v>
                </c:pt>
                <c:pt idx="17">
                  <c:v>24.462882496439939</c:v>
                </c:pt>
                <c:pt idx="18">
                  <c:v>23.55096904257973</c:v>
                </c:pt>
                <c:pt idx="19">
                  <c:v>17.580179534625998</c:v>
                </c:pt>
                <c:pt idx="20">
                  <c:v>14.140288147009779</c:v>
                </c:pt>
                <c:pt idx="21">
                  <c:v>11.754811191517005</c:v>
                </c:pt>
                <c:pt idx="22">
                  <c:v>9.9600093663394969</c:v>
                </c:pt>
                <c:pt idx="23">
                  <c:v>8.5483213932287168</c:v>
                </c:pt>
                <c:pt idx="24">
                  <c:v>7.408070227080672</c:v>
                </c:pt>
                <c:pt idx="25">
                  <c:v>6.4717053609391195</c:v>
                </c:pt>
                <c:pt idx="26">
                  <c:v>5.6948513690165461</c:v>
                </c:pt>
                <c:pt idx="27">
                  <c:v>5.0464988856214177</c:v>
                </c:pt>
                <c:pt idx="28">
                  <c:v>3.095080398885977</c:v>
                </c:pt>
                <c:pt idx="29">
                  <c:v>2.3959803960618311</c:v>
                </c:pt>
                <c:pt idx="30">
                  <c:v>2.3233277424020873</c:v>
                </c:pt>
                <c:pt idx="31">
                  <c:v>2.5769945701497541</c:v>
                </c:pt>
                <c:pt idx="32">
                  <c:v>3.0000935299174269</c:v>
                </c:pt>
                <c:pt idx="33">
                  <c:v>3.5074817643388294</c:v>
                </c:pt>
                <c:pt idx="34">
                  <c:v>4.0519834785239066</c:v>
                </c:pt>
                <c:pt idx="35">
                  <c:v>4.6071820551899014</c:v>
                </c:pt>
                <c:pt idx="36">
                  <c:v>5.1582929992923159</c:v>
                </c:pt>
                <c:pt idx="37">
                  <c:v>5.6971789988772858</c:v>
                </c:pt>
                <c:pt idx="38">
                  <c:v>6.2195586693817049</c:v>
                </c:pt>
                <c:pt idx="39">
                  <c:v>6.7234088877480822</c:v>
                </c:pt>
                <c:pt idx="40">
                  <c:v>7.2080326091240021</c:v>
                </c:pt>
                <c:pt idx="41">
                  <c:v>7.6735061356315057</c:v>
                </c:pt>
                <c:pt idx="42">
                  <c:v>8.1203472075480256</c:v>
                </c:pt>
                <c:pt idx="43">
                  <c:v>8.5493139689865352</c:v>
                </c:pt>
                <c:pt idx="44">
                  <c:v>8.9612827432742961</c:v>
                </c:pt>
                <c:pt idx="45">
                  <c:v>9.3571739064085868</c:v>
                </c:pt>
                <c:pt idx="46">
                  <c:v>9.7379074303018687</c:v>
                </c:pt>
                <c:pt idx="47">
                  <c:v>10.104376868426716</c:v>
                </c:pt>
                <c:pt idx="48">
                  <c:v>10.457434852095098</c:v>
                </c:pt>
                <c:pt idx="49">
                  <c:v>10.797885769205388</c:v>
                </c:pt>
                <c:pt idx="50">
                  <c:v>11.126482898183006</c:v>
                </c:pt>
                <c:pt idx="51">
                  <c:v>11.44392826689298</c:v>
                </c:pt>
                <c:pt idx="52">
                  <c:v>11.75087413430056</c:v>
                </c:pt>
                <c:pt idx="53">
                  <c:v>12.047925392031569</c:v>
                </c:pt>
                <c:pt idx="54">
                  <c:v>12.335642438990373</c:v>
                </c:pt>
                <c:pt idx="55">
                  <c:v>12.614544247301909</c:v>
                </c:pt>
                <c:pt idx="56">
                  <c:v>12.885111444762558</c:v>
                </c:pt>
                <c:pt idx="57">
                  <c:v>13.14778930833822</c:v>
                </c:pt>
                <c:pt idx="58">
                  <c:v>13.402990608179957</c:v>
                </c:pt>
                <c:pt idx="59">
                  <c:v>13.651098270595687</c:v>
                </c:pt>
                <c:pt idx="60">
                  <c:v>13.892467846906593</c:v>
                </c:pt>
                <c:pt idx="61">
                  <c:v>14.12742978671675</c:v>
                </c:pt>
                <c:pt idx="62">
                  <c:v>14.356291521191878</c:v>
                </c:pt>
                <c:pt idx="63">
                  <c:v>14.579339366039568</c:v>
                </c:pt>
                <c:pt idx="64">
                  <c:v>14.796840256041987</c:v>
                </c:pt>
                <c:pt idx="65">
                  <c:v>15.009043323903226</c:v>
                </c:pt>
                <c:pt idx="66">
                  <c:v>15.216181336294678</c:v>
                </c:pt>
                <c:pt idx="67">
                  <c:v>15.418471999617838</c:v>
                </c:pt>
                <c:pt idx="68">
                  <c:v>15.61611914735683</c:v>
                </c:pt>
                <c:pt idx="69">
                  <c:v>15.809313820095241</c:v>
                </c:pt>
                <c:pt idx="70">
                  <c:v>15.998235248409429</c:v>
                </c:pt>
                <c:pt idx="71">
                  <c:v>16.183051747978695</c:v>
                </c:pt>
                <c:pt idx="72">
                  <c:v>16.363921535404835</c:v>
                </c:pt>
                <c:pt idx="73">
                  <c:v>16.54099347243033</c:v>
                </c:pt>
                <c:pt idx="74">
                  <c:v>16.714407745495784</c:v>
                </c:pt>
                <c:pt idx="75">
                  <c:v>16.884296486888225</c:v>
                </c:pt>
                <c:pt idx="76">
                  <c:v>17.050784343103043</c:v>
                </c:pt>
                <c:pt idx="77">
                  <c:v>17.21398899547242</c:v>
                </c:pt>
                <c:pt idx="78">
                  <c:v>17.374021637598332</c:v>
                </c:pt>
                <c:pt idx="79">
                  <c:v>17.530987413665407</c:v>
                </c:pt>
                <c:pt idx="80">
                  <c:v>17.684985821293669</c:v>
                </c:pt>
                <c:pt idx="81">
                  <c:v>17.836111082219009</c:v>
                </c:pt>
                <c:pt idx="82">
                  <c:v>17.984452483756431</c:v>
                </c:pt>
                <c:pt idx="83">
                  <c:v>18.130094693703494</c:v>
                </c:pt>
                <c:pt idx="84">
                  <c:v>18.273118051075205</c:v>
                </c:pt>
                <c:pt idx="85">
                  <c:v>18.413598834824153</c:v>
                </c:pt>
                <c:pt idx="86">
                  <c:v>18.551609512486966</c:v>
                </c:pt>
                <c:pt idx="87">
                  <c:v>18.687218970508216</c:v>
                </c:pt>
                <c:pt idx="88">
                  <c:v>18.820492727823183</c:v>
                </c:pt>
                <c:pt idx="89">
                  <c:v>18.951493134128512</c:v>
                </c:pt>
                <c:pt idx="90">
                  <c:v>19.08027955413381</c:v>
                </c:pt>
                <c:pt idx="91">
                  <c:v>19.206908538965092</c:v>
                </c:pt>
                <c:pt idx="92">
                  <c:v>19.331433985781423</c:v>
                </c:pt>
                <c:pt idx="93">
                  <c:v>19.453907286567883</c:v>
                </c:pt>
                <c:pt idx="94">
                  <c:v>19.574377466979644</c:v>
                </c:pt>
                <c:pt idx="95">
                  <c:v>19.692891316032476</c:v>
                </c:pt>
                <c:pt idx="96">
                  <c:v>19.809493507363428</c:v>
                </c:pt>
                <c:pt idx="97">
                  <c:v>19.924226712721062</c:v>
                </c:pt>
                <c:pt idx="98">
                  <c:v>20.037131708286459</c:v>
                </c:pt>
                <c:pt idx="99">
                  <c:v>20.148247474373623</c:v>
                </c:pt>
                <c:pt idx="100">
                  <c:v>20.257611289010654</c:v>
                </c:pt>
                <c:pt idx="101">
                  <c:v>20.365258815859846</c:v>
                </c:pt>
                <c:pt idx="102">
                  <c:v>20.471224186896208</c:v>
                </c:pt>
                <c:pt idx="103">
                  <c:v>20.575540080228571</c:v>
                </c:pt>
                <c:pt idx="104">
                  <c:v>20.678237793415477</c:v>
                </c:pt>
                <c:pt idx="105">
                  <c:v>20.779347312598819</c:v>
                </c:pt>
                <c:pt idx="106">
                  <c:v>20.878897377751965</c:v>
                </c:pt>
                <c:pt idx="107">
                  <c:v>20.976915544315023</c:v>
                </c:pt>
                <c:pt idx="108">
                  <c:v>21.073428241467695</c:v>
                </c:pt>
                <c:pt idx="109">
                  <c:v>21.168460827270636</c:v>
                </c:pt>
                <c:pt idx="110">
                  <c:v>21.262037640887442</c:v>
                </c:pt>
                <c:pt idx="111">
                  <c:v>21.354182052083178</c:v>
                </c:pt>
                <c:pt idx="112">
                  <c:v>21.444916508179791</c:v>
                </c:pt>
                <c:pt idx="113">
                  <c:v>21.534262578634809</c:v>
                </c:pt>
                <c:pt idx="114">
                  <c:v>21.622240997397103</c:v>
                </c:pt>
                <c:pt idx="115">
                  <c:v>21.708871703181508</c:v>
                </c:pt>
                <c:pt idx="116">
                  <c:v>21.794173877793426</c:v>
                </c:pt>
                <c:pt idx="117">
                  <c:v>21.878165982624687</c:v>
                </c:pt>
                <c:pt idx="118">
                  <c:v>21.960865793432628</c:v>
                </c:pt>
                <c:pt idx="119">
                  <c:v>22.042290433506231</c:v>
                </c:pt>
                <c:pt idx="120">
                  <c:v>22.122456405315209</c:v>
                </c:pt>
                <c:pt idx="121">
                  <c:v>22.201379620730904</c:v>
                </c:pt>
                <c:pt idx="122">
                  <c:v>22.279075429901365</c:v>
                </c:pt>
                <c:pt idx="123">
                  <c:v>22.355558648856771</c:v>
                </c:pt>
                <c:pt idx="124">
                  <c:v>22.430843585915888</c:v>
                </c:pt>
                <c:pt idx="125">
                  <c:v>22.504944066959016</c:v>
                </c:pt>
                <c:pt idx="126">
                  <c:v>22.577873459628151</c:v>
                </c:pt>
                <c:pt idx="127">
                  <c:v>22.649644696510663</c:v>
                </c:pt>
                <c:pt idx="128">
                  <c:v>22.720270297358624</c:v>
                </c:pt>
                <c:pt idx="129">
                  <c:v>22.789762390392315</c:v>
                </c:pt>
                <c:pt idx="130">
                  <c:v>22.858132732732756</c:v>
                </c:pt>
                <c:pt idx="131">
                  <c:v>22.925392730004969</c:v>
                </c:pt>
                <c:pt idx="132">
                  <c:v>22.991553455150694</c:v>
                </c:pt>
                <c:pt idx="133">
                  <c:v>23.056625666486443</c:v>
                </c:pt>
                <c:pt idx="134">
                  <c:v>23.120619825040272</c:v>
                </c:pt>
                <c:pt idx="135">
                  <c:v>23.183546111198254</c:v>
                </c:pt>
                <c:pt idx="136">
                  <c:v>23.245414440689338</c:v>
                </c:pt>
                <c:pt idx="137">
                  <c:v>23.306234479935565</c:v>
                </c:pt>
                <c:pt idx="138">
                  <c:v>23.366015660792257</c:v>
                </c:pt>
                <c:pt idx="139">
                  <c:v>23.424767194701555</c:v>
                </c:pt>
                <c:pt idx="140">
                  <c:v>23.482498086280678</c:v>
                </c:pt>
                <c:pt idx="141">
                  <c:v>23.539217146365097</c:v>
                </c:pt>
                <c:pt idx="142">
                  <c:v>23.594933004525359</c:v>
                </c:pt>
                <c:pt idx="143">
                  <c:v>23.64965412107491</c:v>
                </c:pt>
                <c:pt idx="144">
                  <c:v>23.703388798585465</c:v>
                </c:pt>
                <c:pt idx="145">
                  <c:v>23.756145192925008</c:v>
                </c:pt>
                <c:pt idx="146">
                  <c:v>23.807931323832975</c:v>
                </c:pt>
                <c:pt idx="147">
                  <c:v>23.858755085045921</c:v>
                </c:pt>
                <c:pt idx="148">
                  <c:v>23.90862425398646</c:v>
                </c:pt>
                <c:pt idx="149">
                  <c:v>23.957546501027402</c:v>
                </c:pt>
                <c:pt idx="150">
                  <c:v>24.005529398342425</c:v>
                </c:pt>
                <c:pt idx="151">
                  <c:v>24.052580428353995</c:v>
                </c:pt>
                <c:pt idx="152">
                  <c:v>24.098706991788745</c:v>
                </c:pt>
                <c:pt idx="153">
                  <c:v>24.143916415350077</c:v>
                </c:pt>
                <c:pt idx="154">
                  <c:v>24.188215959017256</c:v>
                </c:pt>
                <c:pt idx="155">
                  <c:v>24.231612822980072</c:v>
                </c:pt>
                <c:pt idx="156">
                  <c:v>24.274114154217543</c:v>
                </c:pt>
                <c:pt idx="157">
                  <c:v>24.315727052729148</c:v>
                </c:pt>
                <c:pt idx="158">
                  <c:v>24.35645857742665</c:v>
                </c:pt>
                <c:pt idx="159">
                  <c:v>24.396315751694381</c:v>
                </c:pt>
                <c:pt idx="160">
                  <c:v>24.435305568625864</c:v>
                </c:pt>
                <c:pt idx="161">
                  <c:v>24.473434995944121</c:v>
                </c:pt>
                <c:pt idx="162">
                  <c:v>24.510710980613378</c:v>
                </c:pt>
                <c:pt idx="163">
                  <c:v>24.547140453149424</c:v>
                </c:pt>
                <c:pt idx="164">
                  <c:v>24.582730331635897</c:v>
                </c:pt>
                <c:pt idx="165">
                  <c:v>24.617487525453857</c:v>
                </c:pt>
                <c:pt idx="166">
                  <c:v>24.651418938731769</c:v>
                </c:pt>
                <c:pt idx="167">
                  <c:v>24.684531473523094</c:v>
                </c:pt>
                <c:pt idx="168">
                  <c:v>24.716832032718795</c:v>
                </c:pt>
                <c:pt idx="169">
                  <c:v>24.748327522701711</c:v>
                </c:pt>
                <c:pt idx="170">
                  <c:v>24.779024855750279</c:v>
                </c:pt>
                <c:pt idx="171">
                  <c:v>24.808930952198548</c:v>
                </c:pt>
                <c:pt idx="172">
                  <c:v>24.83805274235991</c:v>
                </c:pt>
                <c:pt idx="173">
                  <c:v>24.866397168221724</c:v>
                </c:pt>
                <c:pt idx="174">
                  <c:v>24.893971184918151</c:v>
                </c:pt>
                <c:pt idx="175">
                  <c:v>24.920781761988408</c:v>
                </c:pt>
                <c:pt idx="176">
                  <c:v>24.946835884428047</c:v>
                </c:pt>
                <c:pt idx="177">
                  <c:v>24.972140553540253</c:v>
                </c:pt>
                <c:pt idx="178">
                  <c:v>24.996702787594852</c:v>
                </c:pt>
                <c:pt idx="179">
                  <c:v>25.020529622302274</c:v>
                </c:pt>
                <c:pt idx="180">
                  <c:v>25.043628111109946</c:v>
                </c:pt>
                <c:pt idx="181">
                  <c:v>25.066005325328486</c:v>
                </c:pt>
                <c:pt idx="182">
                  <c:v>25.087668354095154</c:v>
                </c:pt>
                <c:pt idx="183">
                  <c:v>25.108624304181902</c:v>
                </c:pt>
                <c:pt idx="184">
                  <c:v>25.128880299655542</c:v>
                </c:pt>
                <c:pt idx="185">
                  <c:v>25.148443481397184</c:v>
                </c:pt>
                <c:pt idx="186">
                  <c:v>25.167321006488518</c:v>
                </c:pt>
                <c:pt idx="187">
                  <c:v>25.185520047471961</c:v>
                </c:pt>
                <c:pt idx="188">
                  <c:v>25.20304779149216</c:v>
                </c:pt>
                <c:pt idx="189">
                  <c:v>25.21991143932577</c:v>
                </c:pt>
                <c:pt idx="190">
                  <c:v>25.236118204306791</c:v>
                </c:pt>
                <c:pt idx="191">
                  <c:v>25.25167531115434</c:v>
                </c:pt>
                <c:pt idx="192">
                  <c:v>25.266589994709857</c:v>
                </c:pt>
                <c:pt idx="193">
                  <c:v>25.280869498590512</c:v>
                </c:pt>
                <c:pt idx="194">
                  <c:v>25.294521073765559</c:v>
                </c:pt>
                <c:pt idx="195">
                  <c:v>25.307551977062154</c:v>
                </c:pt>
                <c:pt idx="196">
                  <c:v>25.31996946960718</c:v>
                </c:pt>
                <c:pt idx="197">
                  <c:v>25.331780815211339</c:v>
                </c:pt>
                <c:pt idx="198">
                  <c:v>25.342993278701684</c:v>
                </c:pt>
                <c:pt idx="199">
                  <c:v>25.353614124208683</c:v>
                </c:pt>
                <c:pt idx="200">
                  <c:v>25.363650613413601</c:v>
                </c:pt>
                <c:pt idx="201">
                  <c:v>25.373110003761919</c:v>
                </c:pt>
                <c:pt idx="202">
                  <c:v>25.381999546648423</c:v>
                </c:pt>
                <c:pt idx="203">
                  <c:v>25.390326485579102</c:v>
                </c:pt>
                <c:pt idx="204">
                  <c:v>25.398098054315316</c:v>
                </c:pt>
                <c:pt idx="205">
                  <c:v>25.405321475004946</c:v>
                </c:pt>
                <c:pt idx="206">
                  <c:v>25.412003956305519</c:v>
                </c:pt>
                <c:pt idx="207">
                  <c:v>25.418152691503849</c:v>
                </c:pt>
                <c:pt idx="208">
                  <c:v>25.423774856636612</c:v>
                </c:pt>
                <c:pt idx="209">
                  <c:v>25.428877608616087</c:v>
                </c:pt>
                <c:pt idx="210">
                  <c:v>25.433468083365057</c:v>
                </c:pt>
                <c:pt idx="211">
                  <c:v>25.437553393964766</c:v>
                </c:pt>
                <c:pt idx="212">
                  <c:v>25.44114062881949</c:v>
                </c:pt>
                <c:pt idx="213">
                  <c:v>25.444236849841179</c:v>
                </c:pt>
                <c:pt idx="214">
                  <c:v>25.446849090657437</c:v>
                </c:pt>
                <c:pt idx="215">
                  <c:v>25.448984354845777</c:v>
                </c:pt>
                <c:pt idx="216">
                  <c:v>25.450649614197154</c:v>
                </c:pt>
                <c:pt idx="217">
                  <c:v>25.451851807011284</c:v>
                </c:pt>
                <c:pt idx="218">
                  <c:v>25.452597836426261</c:v>
                </c:pt>
                <c:pt idx="219">
                  <c:v>25.452894568784803</c:v>
                </c:pt>
                <c:pt idx="220">
                  <c:v>25.452748832039124</c:v>
                </c:pt>
                <c:pt idx="221">
                  <c:v>25.45216741419641</c:v>
                </c:pt>
                <c:pt idx="222">
                  <c:v>25.451157061806704</c:v>
                </c:pt>
                <c:pt idx="223">
                  <c:v>25.449724478494527</c:v>
                </c:pt>
                <c:pt idx="224">
                  <c:v>25.447876323535958</c:v>
                </c:pt>
                <c:pt idx="225">
                  <c:v>25.445619210482199</c:v>
                </c:pt>
                <c:pt idx="226">
                  <c:v>25.40197516055941</c:v>
                </c:pt>
                <c:pt idx="227">
                  <c:v>25.324325958674851</c:v>
                </c:pt>
                <c:pt idx="228">
                  <c:v>25.218370011988107</c:v>
                </c:pt>
                <c:pt idx="229">
                  <c:v>25.089178751563654</c:v>
                </c:pt>
                <c:pt idx="230">
                  <c:v>24.941187202979989</c:v>
                </c:pt>
                <c:pt idx="231">
                  <c:v>24.778216656781428</c:v>
                </c:pt>
                <c:pt idx="232">
                  <c:v>24.603518737572735</c:v>
                </c:pt>
                <c:pt idx="233">
                  <c:v>24.419831494576385</c:v>
                </c:pt>
                <c:pt idx="234">
                  <c:v>24.229440252015927</c:v>
                </c:pt>
                <c:pt idx="235">
                  <c:v>24.034238139260591</c:v>
                </c:pt>
                <c:pt idx="236">
                  <c:v>23.835783097250186</c:v>
                </c:pt>
                <c:pt idx="237">
                  <c:v>23.635349601140451</c:v>
                </c:pt>
                <c:pt idx="238">
                  <c:v>23.433974358447557</c:v>
                </c:pt>
                <c:pt idx="239">
                  <c:v>23.232495907611586</c:v>
                </c:pt>
                <c:pt idx="240">
                  <c:v>23.03158844007983</c:v>
                </c:pt>
                <c:pt idx="241">
                  <c:v>22.831790379087682</c:v>
                </c:pt>
                <c:pt idx="242">
                  <c:v>22.633528334172212</c:v>
                </c:pt>
                <c:pt idx="243">
                  <c:v>22.437137059407569</c:v>
                </c:pt>
                <c:pt idx="244">
                  <c:v>22.242876008375944</c:v>
                </c:pt>
                <c:pt idx="245">
                  <c:v>22.050943021797501</c:v>
                </c:pt>
                <c:pt idx="246">
                  <c:v>21.861485618262797</c:v>
                </c:pt>
                <c:pt idx="247">
                  <c:v>21.674610292786642</c:v>
                </c:pt>
                <c:pt idx="248">
                  <c:v>21.490390166395485</c:v>
                </c:pt>
                <c:pt idx="249">
                  <c:v>21.308871274797529</c:v>
                </c:pt>
                <c:pt idx="250">
                  <c:v>21.130077736074341</c:v>
                </c:pt>
                <c:pt idx="251">
                  <c:v>20.954015996175485</c:v>
                </c:pt>
                <c:pt idx="252">
                  <c:v>20.780678316264115</c:v>
                </c:pt>
                <c:pt idx="253">
                  <c:v>20.610045636936583</c:v>
                </c:pt>
                <c:pt idx="254">
                  <c:v>20.442089930254802</c:v>
                </c:pt>
                <c:pt idx="255">
                  <c:v>20.276776130648116</c:v>
                </c:pt>
                <c:pt idx="256">
                  <c:v>20.114063719386049</c:v>
                </c:pt>
                <c:pt idx="257">
                  <c:v>19.953908023903221</c:v>
                </c:pt>
                <c:pt idx="258">
                  <c:v>19.796261282262769</c:v>
                </c:pt>
                <c:pt idx="259">
                  <c:v>19.641073514044717</c:v>
                </c:pt>
                <c:pt idx="260">
                  <c:v>19.488293231581864</c:v>
                </c:pt>
                <c:pt idx="261">
                  <c:v>19.337868019439608</c:v>
                </c:pt>
                <c:pt idx="262">
                  <c:v>19.189745005103202</c:v>
                </c:pt>
                <c:pt idx="263">
                  <c:v>19.043871239794964</c:v>
                </c:pt>
                <c:pt idx="264">
                  <c:v>18.90019400503115</c:v>
                </c:pt>
                <c:pt idx="265">
                  <c:v>18.758661057809249</c:v>
                </c:pt>
                <c:pt idx="266">
                  <c:v>18.619220825082753</c:v>
                </c:pt>
                <c:pt idx="267">
                  <c:v>18.481822556342948</c:v>
                </c:pt>
                <c:pt idx="268">
                  <c:v>18.346416441613961</c:v>
                </c:pt>
                <c:pt idx="269">
                  <c:v>18.212953700919211</c:v>
                </c:pt>
                <c:pt idx="270">
                  <c:v>18.081386650246912</c:v>
                </c:pt>
                <c:pt idx="271">
                  <c:v>17.95166874818996</c:v>
                </c:pt>
                <c:pt idx="272">
                  <c:v>17.823754626730338</c:v>
                </c:pt>
                <c:pt idx="273">
                  <c:v>17.697600109053138</c:v>
                </c:pt>
                <c:pt idx="274">
                  <c:v>17.573162216789935</c:v>
                </c:pt>
                <c:pt idx="275">
                  <c:v>17.450399168688048</c:v>
                </c:pt>
                <c:pt idx="276">
                  <c:v>17.329270372366658</c:v>
                </c:pt>
                <c:pt idx="277">
                  <c:v>17.209736410541126</c:v>
                </c:pt>
                <c:pt idx="278">
                  <c:v>17.091759022864416</c:v>
                </c:pt>
                <c:pt idx="279">
                  <c:v>16.975301084339588</c:v>
                </c:pt>
                <c:pt idx="280">
                  <c:v>16.860326581095656</c:v>
                </c:pt>
                <c:pt idx="281">
                  <c:v>16.746800584183163</c:v>
                </c:pt>
                <c:pt idx="282">
                  <c:v>16.634689221932483</c:v>
                </c:pt>
                <c:pt idx="283">
                  <c:v>16.523959651323299</c:v>
                </c:pt>
                <c:pt idx="284">
                  <c:v>16.414580028734058</c:v>
                </c:pt>
                <c:pt idx="285">
                  <c:v>16.30651948037395</c:v>
                </c:pt>
                <c:pt idx="286">
                  <c:v>16.199748072644478</c:v>
                </c:pt>
                <c:pt idx="287">
                  <c:v>16.094236782630919</c:v>
                </c:pt>
                <c:pt idx="288">
                  <c:v>15.989957468885379</c:v>
                </c:pt>
                <c:pt idx="289">
                  <c:v>15.886882842630394</c:v>
                </c:pt>
                <c:pt idx="290">
                  <c:v>15.784986439485039</c:v>
                </c:pt>
                <c:pt idx="291">
                  <c:v>15.68424259179265</c:v>
                </c:pt>
                <c:pt idx="292">
                  <c:v>15.584626401610599</c:v>
                </c:pt>
                <c:pt idx="293">
                  <c:v>15.486113714406697</c:v>
                </c:pt>
                <c:pt idx="294">
                  <c:v>15.388681093493886</c:v>
                </c:pt>
                <c:pt idx="295">
                  <c:v>15.292305795223935</c:v>
                </c:pt>
                <c:pt idx="296">
                  <c:v>15.196965744952294</c:v>
                </c:pt>
                <c:pt idx="297">
                  <c:v>15.102639513778557</c:v>
                </c:pt>
                <c:pt idx="298">
                  <c:v>15.009306296061373</c:v>
                </c:pt>
                <c:pt idx="299">
                  <c:v>14.916945887701694</c:v>
                </c:pt>
                <c:pt idx="300">
                  <c:v>14.825538665184261</c:v>
                </c:pt>
                <c:pt idx="301">
                  <c:v>14.73506556536443</c:v>
                </c:pt>
                <c:pt idx="302">
                  <c:v>14.645508065984638</c:v>
                </c:pt>
                <c:pt idx="303">
                  <c:v>14.556848166903325</c:v>
                </c:pt>
                <c:pt idx="304">
                  <c:v>14.469068372017425</c:v>
                </c:pt>
                <c:pt idx="305">
                  <c:v>14.382151671858697</c:v>
                </c:pt>
                <c:pt idx="306">
                  <c:v>14.296081526843459</c:v>
                </c:pt>
                <c:pt idx="307">
                  <c:v>14.210841851154738</c:v>
                </c:pt>
                <c:pt idx="308">
                  <c:v>14.126416997235847</c:v>
                </c:pt>
                <c:pt idx="309">
                  <c:v>14.042791740874176</c:v>
                </c:pt>
                <c:pt idx="310">
                  <c:v>13.959951266854233</c:v>
                </c:pt>
                <c:pt idx="311">
                  <c:v>13.877881155159136</c:v>
                </c:pt>
                <c:pt idx="312">
                  <c:v>13.796567367700177</c:v>
                </c:pt>
                <c:pt idx="313">
                  <c:v>13.715996235554357</c:v>
                </c:pt>
                <c:pt idx="314">
                  <c:v>13.636154446690419</c:v>
                </c:pt>
                <c:pt idx="315">
                  <c:v>13.557029034164241</c:v>
                </c:pt>
                <c:pt idx="316">
                  <c:v>13.478607364765194</c:v>
                </c:pt>
                <c:pt idx="317">
                  <c:v>13.400877128095436</c:v>
                </c:pt>
                <c:pt idx="318">
                  <c:v>13.32382632606484</c:v>
                </c:pt>
                <c:pt idx="319">
                  <c:v>13.247443262784831</c:v>
                </c:pt>
                <c:pt idx="320">
                  <c:v>13.171716534844848</c:v>
                </c:pt>
                <c:pt idx="321">
                  <c:v>13.096635021956011</c:v>
                </c:pt>
                <c:pt idx="322">
                  <c:v>13.022187877946864</c:v>
                </c:pt>
                <c:pt idx="323">
                  <c:v>12.948364522096883</c:v>
                </c:pt>
                <c:pt idx="324">
                  <c:v>12.875154630793805</c:v>
                </c:pt>
                <c:pt idx="325">
                  <c:v>12.802548129501613</c:v>
                </c:pt>
                <c:pt idx="326">
                  <c:v>12.730535185026266</c:v>
                </c:pt>
                <c:pt idx="327">
                  <c:v>12.659106198067064</c:v>
                </c:pt>
                <c:pt idx="328">
                  <c:v>12.588251796041884</c:v>
                </c:pt>
                <c:pt idx="329">
                  <c:v>12.517962826175005</c:v>
                </c:pt>
                <c:pt idx="330">
                  <c:v>12.448230348836836</c:v>
                </c:pt>
                <c:pt idx="331">
                  <c:v>12.379045631125205</c:v>
                </c:pt>
                <c:pt idx="332">
                  <c:v>12.31040014067835</c:v>
                </c:pt>
                <c:pt idx="333">
                  <c:v>12.242285539710151</c:v>
                </c:pt>
                <c:pt idx="334">
                  <c:v>12.174693679258596</c:v>
                </c:pt>
                <c:pt idx="335">
                  <c:v>12.107616593638845</c:v>
                </c:pt>
                <c:pt idx="336">
                  <c:v>12.04104649509258</c:v>
                </c:pt>
                <c:pt idx="337">
                  <c:v>11.974975768625749</c:v>
                </c:pt>
                <c:pt idx="338">
                  <c:v>11.909396967027138</c:v>
                </c:pt>
                <c:pt idx="339">
                  <c:v>11.844302806060565</c:v>
                </c:pt>
                <c:pt idx="340">
                  <c:v>11.779686159823656</c:v>
                </c:pt>
                <c:pt idx="341">
                  <c:v>11.715540056266725</c:v>
                </c:pt>
                <c:pt idx="342">
                  <c:v>11.651857672865319</c:v>
                </c:pt>
                <c:pt idx="343">
                  <c:v>11.58863233244036</c:v>
                </c:pt>
                <c:pt idx="344">
                  <c:v>11.525857499120189</c:v>
                </c:pt>
                <c:pt idx="345">
                  <c:v>11.463526774438824</c:v>
                </c:pt>
                <c:pt idx="346">
                  <c:v>11.40163389356519</c:v>
                </c:pt>
                <c:pt idx="347">
                  <c:v>11.340172721658288</c:v>
                </c:pt>
                <c:pt idx="348">
                  <c:v>11.279137250343291</c:v>
                </c:pt>
                <c:pt idx="349">
                  <c:v>11.218521594304097</c:v>
                </c:pt>
                <c:pt idx="350">
                  <c:v>11.158319987987701</c:v>
                </c:pt>
                <c:pt idx="351">
                  <c:v>11.098526782416291</c:v>
                </c:pt>
                <c:pt idx="352">
                  <c:v>11.039136442102841</c:v>
                </c:pt>
                <c:pt idx="353">
                  <c:v>10.980143542066346</c:v>
                </c:pt>
                <c:pt idx="354">
                  <c:v>10.921542764942984</c:v>
                </c:pt>
                <c:pt idx="355">
                  <c:v>10.863328898189568</c:v>
                </c:pt>
                <c:pt idx="356">
                  <c:v>10.80549683137585</c:v>
                </c:pt>
                <c:pt idx="357">
                  <c:v>10.748041553562411</c:v>
                </c:pt>
                <c:pt idx="358">
                  <c:v>10.690958150760991</c:v>
                </c:pt>
                <c:pt idx="359">
                  <c:v>10.634241803474145</c:v>
                </c:pt>
                <c:pt idx="360">
                  <c:v>10.577887784311429</c:v>
                </c:pt>
                <c:pt idx="361">
                  <c:v>10.521891455679299</c:v>
                </c:pt>
                <c:pt idx="362">
                  <c:v>10.466248267542021</c:v>
                </c:pt>
                <c:pt idx="363">
                  <c:v>10.410953755251066</c:v>
                </c:pt>
                <c:pt idx="364">
                  <c:v>10.356003537440539</c:v>
                </c:pt>
                <c:pt idx="365">
                  <c:v>10.301393313986278</c:v>
                </c:pt>
                <c:pt idx="366">
                  <c:v>10.247118864026339</c:v>
                </c:pt>
                <c:pt idx="367">
                  <c:v>10.193176044040761</c:v>
                </c:pt>
                <c:pt idx="368">
                  <c:v>10.139560785988465</c:v>
                </c:pt>
                <c:pt idx="369">
                  <c:v>10.086269095499302</c:v>
                </c:pt>
                <c:pt idx="370">
                  <c:v>10.033297050119401</c:v>
                </c:pt>
                <c:pt idx="371">
                  <c:v>9.9806407976078155</c:v>
                </c:pt>
                <c:pt idx="372">
                  <c:v>9.9282965542829018</c:v>
                </c:pt>
                <c:pt idx="373">
                  <c:v>9.8762606034165508</c:v>
                </c:pt>
                <c:pt idx="374">
                  <c:v>9.8245292936747433</c:v>
                </c:pt>
                <c:pt idx="375">
                  <c:v>9.7730990376028082</c:v>
                </c:pt>
                <c:pt idx="376">
                  <c:v>9.7219663101539027</c:v>
                </c:pt>
                <c:pt idx="377">
                  <c:v>9.67112764725921</c:v>
                </c:pt>
                <c:pt idx="378">
                  <c:v>9.6205796444385676</c:v>
                </c:pt>
                <c:pt idx="379">
                  <c:v>9.5703189554500483</c:v>
                </c:pt>
                <c:pt idx="380">
                  <c:v>9.520342290977263</c:v>
                </c:pt>
                <c:pt idx="381">
                  <c:v>9.4706464173531941</c:v>
                </c:pt>
                <c:pt idx="382">
                  <c:v>9.4212281553192589</c:v>
                </c:pt>
                <c:pt idx="383">
                  <c:v>9.3720843788185331</c:v>
                </c:pt>
                <c:pt idx="384">
                  <c:v>9.3232120138219816</c:v>
                </c:pt>
                <c:pt idx="385">
                  <c:v>9.2746080371866544</c:v>
                </c:pt>
                <c:pt idx="386">
                  <c:v>9.2262694755447932</c:v>
                </c:pt>
                <c:pt idx="387">
                  <c:v>9.1781934042228936</c:v>
                </c:pt>
                <c:pt idx="388">
                  <c:v>9.1303769461897506</c:v>
                </c:pt>
                <c:pt idx="389">
                  <c:v>9.0828172710325248</c:v>
                </c:pt>
                <c:pt idx="390">
                  <c:v>9.0355115939600577</c:v>
                </c:pt>
                <c:pt idx="391">
                  <c:v>8.9884571748324493</c:v>
                </c:pt>
                <c:pt idx="392">
                  <c:v>8.9416513172161665</c:v>
                </c:pt>
                <c:pt idx="393">
                  <c:v>8.8950913674638485</c:v>
                </c:pt>
                <c:pt idx="394">
                  <c:v>8.8487747138180737</c:v>
                </c:pt>
                <c:pt idx="395">
                  <c:v>8.8026987855383148</c:v>
                </c:pt>
                <c:pt idx="396">
                  <c:v>8.7568610520503842</c:v>
                </c:pt>
                <c:pt idx="397">
                  <c:v>8.7112590221177015</c:v>
                </c:pt>
                <c:pt idx="398">
                  <c:v>8.6658902430337044</c:v>
                </c:pt>
                <c:pt idx="399">
                  <c:v>8.6207522998347521</c:v>
                </c:pt>
                <c:pt idx="400">
                  <c:v>8.5758428145329333</c:v>
                </c:pt>
                <c:pt idx="401">
                  <c:v>8.5311594453681501</c:v>
                </c:pt>
                <c:pt idx="402">
                  <c:v>8.4866998860789415</c:v>
                </c:pt>
                <c:pt idx="403">
                  <c:v>8.4424618651914329</c:v>
                </c:pt>
                <c:pt idx="404">
                  <c:v>8.3984431453259525</c:v>
                </c:pt>
                <c:pt idx="405">
                  <c:v>8.3546415225207369</c:v>
                </c:pt>
                <c:pt idx="406">
                  <c:v>8.3110548255722296</c:v>
                </c:pt>
                <c:pt idx="407">
                  <c:v>8.2676809153915229</c:v>
                </c:pt>
                <c:pt idx="408">
                  <c:v>8.2245176843764369</c:v>
                </c:pt>
                <c:pt idx="409">
                  <c:v>8.1815630557988133</c:v>
                </c:pt>
                <c:pt idx="410">
                  <c:v>8.1388149832065899</c:v>
                </c:pt>
                <c:pt idx="411">
                  <c:v>8.0962714498401702</c:v>
                </c:pt>
                <c:pt idx="412">
                  <c:v>8.0539304680627737</c:v>
                </c:pt>
                <c:pt idx="413">
                  <c:v>8.0117900788043173</c:v>
                </c:pt>
                <c:pt idx="414">
                  <c:v>7.9698483510184239</c:v>
                </c:pt>
                <c:pt idx="415">
                  <c:v>7.9281033811522628</c:v>
                </c:pt>
                <c:pt idx="416">
                  <c:v>7.8865532926287916</c:v>
                </c:pt>
                <c:pt idx="417">
                  <c:v>7.8451962353410831</c:v>
                </c:pt>
                <c:pt idx="418">
                  <c:v>7.8040303851584101</c:v>
                </c:pt>
                <c:pt idx="419">
                  <c:v>7.7630539434437438</c:v>
                </c:pt>
                <c:pt idx="420">
                  <c:v>7.7222651365823829</c:v>
                </c:pt>
                <c:pt idx="421">
                  <c:v>7.6816622155213556</c:v>
                </c:pt>
                <c:pt idx="422">
                  <c:v>7.6412434553193584</c:v>
                </c:pt>
                <c:pt idx="423">
                  <c:v>7.6010071547069158</c:v>
                </c:pt>
                <c:pt idx="424">
                  <c:v>7.5609516356564832</c:v>
                </c:pt>
                <c:pt idx="425">
                  <c:v>7.5210752429622394</c:v>
                </c:pt>
                <c:pt idx="426">
                  <c:v>7.4813763438292824</c:v>
                </c:pt>
                <c:pt idx="427">
                  <c:v>7.4418533274720469</c:v>
                </c:pt>
                <c:pt idx="428">
                  <c:v>7.4025046047215781</c:v>
                </c:pt>
                <c:pt idx="429">
                  <c:v>7.3633286076415541</c:v>
                </c:pt>
                <c:pt idx="430">
                  <c:v>7.3243237891527526</c:v>
                </c:pt>
                <c:pt idx="431">
                  <c:v>7.2854886226657323</c:v>
                </c:pt>
                <c:pt idx="432">
                  <c:v>7.2468216017216029</c:v>
                </c:pt>
                <c:pt idx="433">
                  <c:v>7.2083212396405489</c:v>
                </c:pt>
                <c:pt idx="434">
                  <c:v>7.1699860691779929</c:v>
                </c:pt>
                <c:pt idx="435">
                  <c:v>7.1318146421881847</c:v>
                </c:pt>
                <c:pt idx="436">
                  <c:v>7.0938055292949977</c:v>
                </c:pt>
                <c:pt idx="437">
                  <c:v>7.0559573195698047</c:v>
                </c:pt>
                <c:pt idx="438">
                  <c:v>7.0182686202161655</c:v>
                </c:pt>
                <c:pt idx="439">
                  <c:v>6.9807380562612469</c:v>
                </c:pt>
                <c:pt idx="440">
                  <c:v>6.9433642702537419</c:v>
                </c:pt>
                <c:pt idx="441">
                  <c:v>6.9061459219681485</c:v>
                </c:pt>
                <c:pt idx="442">
                  <c:v>6.8690816881152532</c:v>
                </c:pt>
                <c:pt idx="443">
                  <c:v>6.8321702620586464</c:v>
                </c:pt>
                <c:pt idx="444">
                  <c:v>6.7954103535371191</c:v>
                </c:pt>
                <c:pt idx="445">
                  <c:v>6.7588006883928644</c:v>
                </c:pt>
                <c:pt idx="446">
                  <c:v>6.7223400083051814</c:v>
                </c:pt>
                <c:pt idx="447">
                  <c:v>6.6860270705297467</c:v>
                </c:pt>
                <c:pt idx="448">
                  <c:v>6.6498606476431537</c:v>
                </c:pt>
                <c:pt idx="449">
                  <c:v>6.6138395272927033</c:v>
                </c:pt>
                <c:pt idx="450">
                  <c:v>6.5779625119512044</c:v>
                </c:pt>
                <c:pt idx="451">
                  <c:v>6.5422284186768076</c:v>
                </c:pt>
                <c:pt idx="452">
                  <c:v>6.5066360788776203</c:v>
                </c:pt>
                <c:pt idx="453">
                  <c:v>6.471184338081053</c:v>
                </c:pt>
                <c:pt idx="454">
                  <c:v>6.4358720557077733</c:v>
                </c:pt>
                <c:pt idx="455">
                  <c:v>6.4006981048501732</c:v>
                </c:pt>
                <c:pt idx="456">
                  <c:v>6.3656613720551931</c:v>
                </c:pt>
                <c:pt idx="457">
                  <c:v>6.3307607571114497</c:v>
                </c:pt>
                <c:pt idx="458">
                  <c:v>6.295995172840561</c:v>
                </c:pt>
                <c:pt idx="459">
                  <c:v>6.2613635448925322</c:v>
                </c:pt>
                <c:pt idx="460">
                  <c:v>6.2268648115451644</c:v>
                </c:pt>
                <c:pt idx="461">
                  <c:v>6.1924979235073145</c:v>
                </c:pt>
                <c:pt idx="462">
                  <c:v>6.1582618437260352</c:v>
                </c:pt>
                <c:pt idx="463">
                  <c:v>6.1241555471973452</c:v>
                </c:pt>
                <c:pt idx="464">
                  <c:v>6.0901780207807379</c:v>
                </c:pt>
                <c:pt idx="465">
                  <c:v>6.0563282630171331</c:v>
                </c:pt>
                <c:pt idx="466">
                  <c:v>6.0226052839503916</c:v>
                </c:pt>
                <c:pt idx="467">
                  <c:v>5.9890081049521626</c:v>
                </c:pt>
                <c:pt idx="468">
                  <c:v>5.955535758550087</c:v>
                </c:pt>
                <c:pt idx="469">
                  <c:v>5.9221872882591908</c:v>
                </c:pt>
                <c:pt idx="470">
                  <c:v>5.8889617484164916</c:v>
                </c:pt>
                <c:pt idx="471">
                  <c:v>5.8558582040186957</c:v>
                </c:pt>
                <c:pt idx="472">
                  <c:v>5.8228757305628847</c:v>
                </c:pt>
                <c:pt idx="473">
                  <c:v>5.7900134138902093</c:v>
                </c:pt>
                <c:pt idx="474">
                  <c:v>5.7572703500324423</c:v>
                </c:pt>
                <c:pt idx="475">
                  <c:v>5.7246456450613792</c:v>
                </c:pt>
                <c:pt idx="476">
                  <c:v>5.6921384149410104</c:v>
                </c:pt>
                <c:pt idx="477">
                  <c:v>5.6597477853823772</c:v>
                </c:pt>
                <c:pt idx="478">
                  <c:v>5.6274728917011041</c:v>
                </c:pt>
                <c:pt idx="479">
                  <c:v>5.595312878677495</c:v>
                </c:pt>
                <c:pt idx="480">
                  <c:v>5.5632669004191948</c:v>
                </c:pt>
                <c:pt idx="481">
                  <c:v>5.5313341202262958</c:v>
                </c:pt>
                <c:pt idx="482">
                  <c:v>5.4995137104588938</c:v>
                </c:pt>
                <c:pt idx="483">
                  <c:v>5.4678048524070091</c:v>
                </c:pt>
                <c:pt idx="484">
                  <c:v>5.4362067361628359</c:v>
                </c:pt>
                <c:pt idx="485">
                  <c:v>5.4047185604952608</c:v>
                </c:pt>
                <c:pt idx="486">
                  <c:v>5.373339532726594</c:v>
                </c:pt>
                <c:pt idx="487">
                  <c:v>5.3420688686115039</c:v>
                </c:pt>
                <c:pt idx="488">
                  <c:v>5.3109057922180849</c:v>
                </c:pt>
                <c:pt idx="489">
                  <c:v>5.2798495358109694</c:v>
                </c:pt>
                <c:pt idx="490">
                  <c:v>5.2488993397365338</c:v>
                </c:pt>
                <c:pt idx="491">
                  <c:v>5.2180544523100796</c:v>
                </c:pt>
                <c:pt idx="492">
                  <c:v>5.1873141297049798</c:v>
                </c:pt>
                <c:pt idx="493">
                  <c:v>5.1566776358437494</c:v>
                </c:pt>
                <c:pt idx="494">
                  <c:v>5.1261442422909802</c:v>
                </c:pt>
                <c:pt idx="495">
                  <c:v>5.0957132281481163</c:v>
                </c:pt>
                <c:pt idx="496">
                  <c:v>5.0653838799500708</c:v>
                </c:pt>
                <c:pt idx="497">
                  <c:v>5.0351554915635486</c:v>
                </c:pt>
                <c:pt idx="498">
                  <c:v>5.0050273640871428</c:v>
                </c:pt>
                <c:pt idx="499">
                  <c:v>4.9749988057531063</c:v>
                </c:pt>
                <c:pt idx="500">
                  <c:v>4.9450691318307891</c:v>
                </c:pt>
                <c:pt idx="501">
                  <c:v>4.9152376645317108</c:v>
                </c:pt>
                <c:pt idx="502">
                  <c:v>4.8855037329161979</c:v>
                </c:pt>
                <c:pt idx="503">
                  <c:v>4.8558666728016249</c:v>
                </c:pt>
                <c:pt idx="504">
                  <c:v>4.8263258266721536</c:v>
                </c:pt>
                <c:pt idx="505">
                  <c:v>4.7968805435899773</c:v>
                </c:pt>
                <c:pt idx="506">
                  <c:v>4.7675301791080624</c:v>
                </c:pt>
                <c:pt idx="507">
                  <c:v>4.7382740951842948</c:v>
                </c:pt>
                <c:pt idx="508">
                  <c:v>4.7091116600970491</c:v>
                </c:pt>
                <c:pt idx="509">
                  <c:v>4.6800422483621693</c:v>
                </c:pt>
                <c:pt idx="510">
                  <c:v>4.6510652406512785</c:v>
                </c:pt>
                <c:pt idx="511">
                  <c:v>4.6221800237114143</c:v>
                </c:pt>
                <c:pt idx="512">
                  <c:v>4.5933859902860252</c:v>
                </c:pt>
                <c:pt idx="513">
                  <c:v>4.5646825390371548</c:v>
                </c:pt>
                <c:pt idx="514">
                  <c:v>4.5360690744689682</c:v>
                </c:pt>
                <c:pt idx="515">
                  <c:v>4.5075450068524683</c:v>
                </c:pt>
                <c:pt idx="516">
                  <c:v>4.4791097521514187</c:v>
                </c:pt>
                <c:pt idx="517">
                  <c:v>4.4507627319494691</c:v>
                </c:pt>
                <c:pt idx="518">
                  <c:v>4.422503373378416</c:v>
                </c:pt>
                <c:pt idx="519">
                  <c:v>4.3943311090476458</c:v>
                </c:pt>
                <c:pt idx="520">
                  <c:v>4.3662453769746339</c:v>
                </c:pt>
                <c:pt idx="521">
                  <c:v>4.3382456205166111</c:v>
                </c:pt>
                <c:pt idx="522">
                  <c:v>4.310331288303245</c:v>
                </c:pt>
                <c:pt idx="523">
                  <c:v>4.2825018341704171</c:v>
                </c:pt>
                <c:pt idx="524">
                  <c:v>4.2547567170950167</c:v>
                </c:pt>
                <c:pt idx="525">
                  <c:v>4.2270954011307662</c:v>
                </c:pt>
                <c:pt idx="526">
                  <c:v>4.1995173553450211</c:v>
                </c:pt>
                <c:pt idx="527">
                  <c:v>4.1720220537565771</c:v>
                </c:pt>
                <c:pt idx="528">
                  <c:v>4.1446089752744095</c:v>
                </c:pt>
                <c:pt idx="529">
                  <c:v>4.1172776036373921</c:v>
                </c:pt>
                <c:pt idx="530">
                  <c:v>4.0900274273549009</c:v>
                </c:pt>
                <c:pt idx="531">
                  <c:v>4.0628579396483655</c:v>
                </c:pt>
                <c:pt idx="532">
                  <c:v>4.0357686383936739</c:v>
                </c:pt>
                <c:pt idx="533">
                  <c:v>4.0087590260644914</c:v>
                </c:pt>
                <c:pt idx="534">
                  <c:v>3.981828609676421</c:v>
                </c:pt>
                <c:pt idx="535">
                  <c:v>3.9549769007320017</c:v>
                </c:pt>
                <c:pt idx="536">
                  <c:v>3.9282034151665495</c:v>
                </c:pt>
                <c:pt idx="537">
                  <c:v>3.9015076732948102</c:v>
                </c:pt>
                <c:pt idx="538">
                  <c:v>3.8748891997583943</c:v>
                </c:pt>
                <c:pt idx="539">
                  <c:v>3.8483475234740361</c:v>
                </c:pt>
                <c:pt idx="540">
                  <c:v>3.8218821775825838</c:v>
                </c:pt>
                <c:pt idx="541">
                  <c:v>3.7954926993987725</c:v>
                </c:pt>
                <c:pt idx="542">
                  <c:v>3.7691786303617225</c:v>
                </c:pt>
                <c:pt idx="543">
                  <c:v>3.7429395159861851</c:v>
                </c:pt>
                <c:pt idx="544">
                  <c:v>3.716774905814511</c:v>
                </c:pt>
                <c:pt idx="545">
                  <c:v>3.6906843533692975</c:v>
                </c:pt>
                <c:pt idx="546">
                  <c:v>3.6646674161067452</c:v>
                </c:pt>
                <c:pt idx="547">
                  <c:v>3.6387236553707036</c:v>
                </c:pt>
                <c:pt idx="548">
                  <c:v>3.6128526363473776</c:v>
                </c:pt>
                <c:pt idx="549">
                  <c:v>3.5870539280206821</c:v>
                </c:pt>
                <c:pt idx="550">
                  <c:v>3.5613271031282636</c:v>
                </c:pt>
                <c:pt idx="551">
                  <c:v>3.5356717381181317</c:v>
                </c:pt>
                <c:pt idx="552">
                  <c:v>3.5100874131059427</c:v>
                </c:pt>
                <c:pt idx="553">
                  <c:v>3.4845737118328661</c:v>
                </c:pt>
                <c:pt idx="554">
                  <c:v>3.4591302216240756</c:v>
                </c:pt>
                <c:pt idx="555">
                  <c:v>3.4337565333478293</c:v>
                </c:pt>
                <c:pt idx="556">
                  <c:v>3.4084522413751186</c:v>
                </c:pt>
                <c:pt idx="557">
                  <c:v>3.3832169435399093</c:v>
                </c:pt>
                <c:pt idx="558">
                  <c:v>3.3580502410999418</c:v>
                </c:pt>
                <c:pt idx="559">
                  <c:v>3.3329517386980392</c:v>
                </c:pt>
                <c:pt idx="560">
                  <c:v>3.3079210443240505</c:v>
                </c:pt>
                <c:pt idx="561">
                  <c:v>3.2829577692772367</c:v>
                </c:pt>
                <c:pt idx="562">
                  <c:v>3.2580615281292387</c:v>
                </c:pt>
                <c:pt idx="563">
                  <c:v>3.2332319386875557</c:v>
                </c:pt>
                <c:pt idx="564">
                  <c:v>3.2084686219594798</c:v>
                </c:pt>
                <c:pt idx="565">
                  <c:v>3.1837712021166178</c:v>
                </c:pt>
                <c:pt idx="566">
                  <c:v>3.1591393064598332</c:v>
                </c:pt>
                <c:pt idx="567">
                  <c:v>3.1345725653847003</c:v>
                </c:pt>
                <c:pt idx="568">
                  <c:v>3.1100706123474398</c:v>
                </c:pt>
                <c:pt idx="569">
                  <c:v>3.0856330838312855</c:v>
                </c:pt>
                <c:pt idx="570">
                  <c:v>3.0612596193133816</c:v>
                </c:pt>
                <c:pt idx="571">
                  <c:v>3.0369498612320349</c:v>
                </c:pt>
                <c:pt idx="572">
                  <c:v>3.0127034549545191</c:v>
                </c:pt>
                <c:pt idx="573">
                  <c:v>2.9885200487452099</c:v>
                </c:pt>
                <c:pt idx="574">
                  <c:v>2.96439929373425</c:v>
                </c:pt>
                <c:pt idx="575">
                  <c:v>2.940340843886565</c:v>
                </c:pt>
                <c:pt idx="576">
                  <c:v>2.9163443559713329</c:v>
                </c:pt>
                <c:pt idx="577">
                  <c:v>2.8924094895318415</c:v>
                </c:pt>
                <c:pt idx="578">
                  <c:v>2.8685359068557785</c:v>
                </c:pt>
                <c:pt idx="579">
                  <c:v>2.844723272945886</c:v>
                </c:pt>
                <c:pt idx="580">
                  <c:v>2.8209712554910293</c:v>
                </c:pt>
                <c:pt idx="581">
                  <c:v>2.7972795248376467</c:v>
                </c:pt>
                <c:pt idx="582">
                  <c:v>2.7736477539615514</c:v>
                </c:pt>
                <c:pt idx="583">
                  <c:v>2.7500756184401576</c:v>
                </c:pt>
                <c:pt idx="584">
                  <c:v>2.7265627964250245</c:v>
                </c:pt>
                <c:pt idx="585">
                  <c:v>2.7031089686147669</c:v>
                </c:pt>
                <c:pt idx="586">
                  <c:v>2.6797138182283682</c:v>
                </c:pt>
                <c:pt idx="587">
                  <c:v>2.6563770309787778</c:v>
                </c:pt>
                <c:pt idx="588">
                  <c:v>2.6330982950468922</c:v>
                </c:pt>
                <c:pt idx="589">
                  <c:v>2.6098773010558709</c:v>
                </c:pt>
                <c:pt idx="590">
                  <c:v>2.5867137420457667</c:v>
                </c:pt>
                <c:pt idx="591">
                  <c:v>2.5636073134485162</c:v>
                </c:pt>
                <c:pt idx="592">
                  <c:v>2.5405577130632029</c:v>
                </c:pt>
                <c:pt idx="593">
                  <c:v>2.5175646410317185</c:v>
                </c:pt>
                <c:pt idx="594">
                  <c:v>2.4946277998146362</c:v>
                </c:pt>
                <c:pt idx="595">
                  <c:v>2.4717468941674867</c:v>
                </c:pt>
                <c:pt idx="596">
                  <c:v>2.4489216311172655</c:v>
                </c:pt>
                <c:pt idx="597">
                  <c:v>2.4261517199392939</c:v>
                </c:pt>
                <c:pt idx="598">
                  <c:v>2.4034368721343369</c:v>
                </c:pt>
                <c:pt idx="599">
                  <c:v>2.3807768014060278</c:v>
                </c:pt>
                <c:pt idx="600">
                  <c:v>2.3581712236385766</c:v>
                </c:pt>
                <c:pt idx="601">
                  <c:v>2.335619856874755</c:v>
                </c:pt>
                <c:pt idx="602">
                  <c:v>2.3131224212941732</c:v>
                </c:pt>
                <c:pt idx="603">
                  <c:v>2.290678639191797</c:v>
                </c:pt>
                <c:pt idx="604">
                  <c:v>2.2682882349567794</c:v>
                </c:pt>
                <c:pt idx="605">
                  <c:v>2.2459509350515097</c:v>
                </c:pt>
                <c:pt idx="606">
                  <c:v>1.1912965371440905</c:v>
                </c:pt>
                <c:pt idx="607">
                  <c:v>0.24101986329022304</c:v>
                </c:pt>
                <c:pt idx="608">
                  <c:v>-0.62537814622511978</c:v>
                </c:pt>
                <c:pt idx="609">
                  <c:v>-1.423007368425067</c:v>
                </c:pt>
                <c:pt idx="610">
                  <c:v>-2.1633161838681607</c:v>
                </c:pt>
                <c:pt idx="611">
                  <c:v>-2.8551777851281352</c:v>
                </c:pt>
                <c:pt idx="612">
                  <c:v>-3.5056012571255812</c:v>
                </c:pt>
                <c:pt idx="613">
                  <c:v>-4.1202130307725096</c:v>
                </c:pt>
                <c:pt idx="614">
                  <c:v>-4.7035923816138521</c:v>
                </c:pt>
                <c:pt idx="615">
                  <c:v>-5.2595110993351879</c:v>
                </c:pt>
                <c:pt idx="616">
                  <c:v>-5.791108448009691</c:v>
                </c:pt>
                <c:pt idx="617">
                  <c:v>-6.3010213445856644</c:v>
                </c:pt>
                <c:pt idx="618">
                  <c:v>-6.4986234017116642</c:v>
                </c:pt>
                <c:pt idx="619">
                  <c:v>-6.6932483805707967</c:v>
                </c:pt>
                <c:pt idx="620">
                  <c:v>-6.8850166195705356</c:v>
                </c:pt>
                <c:pt idx="621">
                  <c:v>-7.0740412700485367</c:v>
                </c:pt>
                <c:pt idx="622">
                  <c:v>-7.260428831676168</c:v>
                </c:pt>
                <c:pt idx="623">
                  <c:v>-7.4442796396639306</c:v>
                </c:pt>
                <c:pt idx="624">
                  <c:v>-7.6256883088989369</c:v>
                </c:pt>
                <c:pt idx="625">
                  <c:v>-7.8047441395157202</c:v>
                </c:pt>
                <c:pt idx="626">
                  <c:v>-7.9815314878598489</c:v>
                </c:pt>
                <c:pt idx="627">
                  <c:v>-8.1561301063349756</c:v>
                </c:pt>
                <c:pt idx="628">
                  <c:v>-8.3286154552181078</c:v>
                </c:pt>
                <c:pt idx="629">
                  <c:v>-8.4990589891747739</c:v>
                </c:pt>
                <c:pt idx="630">
                  <c:v>-8.6675284208985985</c:v>
                </c:pt>
                <c:pt idx="631">
                  <c:v>-8.834087964031232</c:v>
                </c:pt>
                <c:pt idx="632">
                  <c:v>-8.9987985572839015</c:v>
                </c:pt>
                <c:pt idx="633">
                  <c:v>-9.1617180714758302</c:v>
                </c:pt>
                <c:pt idx="634">
                  <c:v>-9.3229015010236935</c:v>
                </c:pt>
                <c:pt idx="635">
                  <c:v>-9.4824011412570179</c:v>
                </c:pt>
                <c:pt idx="636">
                  <c:v>-9.6402667527935133</c:v>
                </c:pt>
                <c:pt idx="637">
                  <c:v>-9.7965457140841821</c:v>
                </c:pt>
                <c:pt idx="638">
                  <c:v>-9.9512831631276448</c:v>
                </c:pt>
                <c:pt idx="639">
                  <c:v>-10.104522129255463</c:v>
                </c:pt>
                <c:pt idx="640">
                  <c:v>-10.256303655803167</c:v>
                </c:pt>
                <c:pt idx="641">
                  <c:v>-10.406666914404443</c:v>
                </c:pt>
                <c:pt idx="642">
                  <c:v>-10.555649311576566</c:v>
                </c:pt>
                <c:pt idx="643">
                  <c:v>-10.703286588203733</c:v>
                </c:pt>
                <c:pt idx="644">
                  <c:v>-10.849612912469478</c:v>
                </c:pt>
                <c:pt idx="645">
                  <c:v>-10.994660966739895</c:v>
                </c:pt>
                <c:pt idx="646">
                  <c:v>-11.138462028855011</c:v>
                </c:pt>
                <c:pt idx="647">
                  <c:v>-11.281046048245431</c:v>
                </c:pt>
                <c:pt idx="648">
                  <c:v>-11.422441717255694</c:v>
                </c:pt>
                <c:pt idx="649">
                  <c:v>-11.562676538023059</c:v>
                </c:pt>
                <c:pt idx="650">
                  <c:v>-11.701776885231192</c:v>
                </c:pt>
                <c:pt idx="651">
                  <c:v>-11.839768065031862</c:v>
                </c:pt>
                <c:pt idx="652">
                  <c:v>-11.976674370403504</c:v>
                </c:pt>
                <c:pt idx="653">
                  <c:v>-12.112519133193997</c:v>
                </c:pt>
                <c:pt idx="654">
                  <c:v>-12.247324773075118</c:v>
                </c:pt>
                <c:pt idx="655">
                  <c:v>-12.381112843618158</c:v>
                </c:pt>
                <c:pt idx="656">
                  <c:v>-12.513904075684055</c:v>
                </c:pt>
                <c:pt idx="657">
                  <c:v>-12.645718418306245</c:v>
                </c:pt>
                <c:pt idx="658">
                  <c:v>-12.776575077231074</c:v>
                </c:pt>
                <c:pt idx="659">
                  <c:v>-12.906492551268116</c:v>
                </c:pt>
                <c:pt idx="660">
                  <c:v>-13.035488666591526</c:v>
                </c:pt>
                <c:pt idx="661">
                  <c:v>-13.163580609122956</c:v>
                </c:pt>
                <c:pt idx="662">
                  <c:v>-13.29078495511739</c:v>
                </c:pt>
                <c:pt idx="663">
                  <c:v>-13.417117700064265</c:v>
                </c:pt>
                <c:pt idx="664">
                  <c:v>-13.542594286008359</c:v>
                </c:pt>
                <c:pt idx="665">
                  <c:v>-13.667229627387673</c:v>
                </c:pt>
                <c:pt idx="666">
                  <c:v>-13.791038135478548</c:v>
                </c:pt>
                <c:pt idx="667">
                  <c:v>-13.914033741532208</c:v>
                </c:pt>
              </c:numCache>
            </c:numRef>
          </c:yVal>
          <c:smooth val="1"/>
          <c:extLst>
            <c:ext xmlns:c16="http://schemas.microsoft.com/office/drawing/2014/chart" uri="{C3380CC4-5D6E-409C-BE32-E72D297353CC}">
              <c16:uniqueId val="{00000000-2A10-41EA-A3AE-967165122F16}"/>
            </c:ext>
          </c:extLst>
        </c:ser>
        <c:ser>
          <c:idx val="0"/>
          <c:order val="2"/>
          <c:tx>
            <c:v>Measured Gain</c:v>
          </c:tx>
          <c:spPr>
            <a:ln w="12700">
              <a:solidFill>
                <a:srgbClr val="000080"/>
              </a:solidFill>
              <a:prstDash val="solid"/>
            </a:ln>
          </c:spPr>
          <c:marker>
            <c:symbol val="diamond"/>
            <c:size val="5"/>
            <c:spPr>
              <a:solidFill>
                <a:srgbClr val="000080"/>
              </a:solidFill>
              <a:ln>
                <a:solidFill>
                  <a:srgbClr val="000080"/>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Calculations'!$BU$10:$BU$409</c:f>
              <c:numCache>
                <c:formatCode>#0.0#</c:formatCode>
                <c:ptCount val="400"/>
                <c:pt idx="0">
                  <c:v>35.359299999999998</c:v>
                </c:pt>
                <c:pt idx="1">
                  <c:v>34.936799999999998</c:v>
                </c:pt>
                <c:pt idx="2">
                  <c:v>34.190800000000003</c:v>
                </c:pt>
                <c:pt idx="3">
                  <c:v>34.477699999999999</c:v>
                </c:pt>
                <c:pt idx="4">
                  <c:v>34.114400000000003</c:v>
                </c:pt>
                <c:pt idx="5">
                  <c:v>34.297699999999999</c:v>
                </c:pt>
                <c:pt idx="6">
                  <c:v>33.346499999999999</c:v>
                </c:pt>
                <c:pt idx="7">
                  <c:v>33.0246</c:v>
                </c:pt>
                <c:pt idx="8">
                  <c:v>33.735999999999997</c:v>
                </c:pt>
                <c:pt idx="9">
                  <c:v>32.764899999999997</c:v>
                </c:pt>
                <c:pt idx="10">
                  <c:v>32.247199999999999</c:v>
                </c:pt>
                <c:pt idx="11">
                  <c:v>32.3142</c:v>
                </c:pt>
                <c:pt idx="12">
                  <c:v>32.155799999999999</c:v>
                </c:pt>
                <c:pt idx="13">
                  <c:v>32.875300000000003</c:v>
                </c:pt>
                <c:pt idx="14">
                  <c:v>32.538699999999999</c:v>
                </c:pt>
                <c:pt idx="15">
                  <c:v>32.377000000000002</c:v>
                </c:pt>
                <c:pt idx="16">
                  <c:v>31.499099999999999</c:v>
                </c:pt>
                <c:pt idx="17">
                  <c:v>31.4819</c:v>
                </c:pt>
                <c:pt idx="18">
                  <c:v>31.0519</c:v>
                </c:pt>
                <c:pt idx="19">
                  <c:v>31.248699999999999</c:v>
                </c:pt>
                <c:pt idx="20">
                  <c:v>31.003699999999998</c:v>
                </c:pt>
                <c:pt idx="21">
                  <c:v>30.429300000000001</c:v>
                </c:pt>
                <c:pt idx="22">
                  <c:v>29.9194</c:v>
                </c:pt>
                <c:pt idx="23">
                  <c:v>29.808900000000001</c:v>
                </c:pt>
                <c:pt idx="24">
                  <c:v>30.070900000000002</c:v>
                </c:pt>
                <c:pt idx="25">
                  <c:v>29.720099999999999</c:v>
                </c:pt>
                <c:pt idx="26">
                  <c:v>30.042100000000001</c:v>
                </c:pt>
                <c:pt idx="27">
                  <c:v>29.901800000000001</c:v>
                </c:pt>
                <c:pt idx="28">
                  <c:v>29.566700000000001</c:v>
                </c:pt>
                <c:pt idx="29">
                  <c:v>29.685600000000001</c:v>
                </c:pt>
                <c:pt idx="30">
                  <c:v>29.050999999999998</c:v>
                </c:pt>
                <c:pt idx="31">
                  <c:v>28.424299999999999</c:v>
                </c:pt>
                <c:pt idx="32">
                  <c:v>28.510899999999999</c:v>
                </c:pt>
                <c:pt idx="33">
                  <c:v>28.178999999999998</c:v>
                </c:pt>
                <c:pt idx="34">
                  <c:v>27.706399999999999</c:v>
                </c:pt>
                <c:pt idx="35">
                  <c:v>27.937100000000001</c:v>
                </c:pt>
                <c:pt idx="36">
                  <c:v>27.676300000000001</c:v>
                </c:pt>
                <c:pt idx="37">
                  <c:v>27.670300000000001</c:v>
                </c:pt>
                <c:pt idx="38">
                  <c:v>27.2761</c:v>
                </c:pt>
                <c:pt idx="39">
                  <c:v>27.075500000000002</c:v>
                </c:pt>
                <c:pt idx="40">
                  <c:v>27.043399999999998</c:v>
                </c:pt>
                <c:pt idx="41">
                  <c:v>26.677600000000002</c:v>
                </c:pt>
                <c:pt idx="42">
                  <c:v>26.270299999999999</c:v>
                </c:pt>
                <c:pt idx="43">
                  <c:v>26.235900000000001</c:v>
                </c:pt>
                <c:pt idx="44">
                  <c:v>25.845600000000001</c:v>
                </c:pt>
                <c:pt idx="45">
                  <c:v>26.1068</c:v>
                </c:pt>
                <c:pt idx="46">
                  <c:v>25.784400000000002</c:v>
                </c:pt>
                <c:pt idx="47">
                  <c:v>25.581099999999999</c:v>
                </c:pt>
                <c:pt idx="48">
                  <c:v>24.917000000000002</c:v>
                </c:pt>
                <c:pt idx="49">
                  <c:v>24.825199999999999</c:v>
                </c:pt>
                <c:pt idx="50">
                  <c:v>24.722000000000001</c:v>
                </c:pt>
                <c:pt idx="51">
                  <c:v>24.5962</c:v>
                </c:pt>
                <c:pt idx="52">
                  <c:v>24.386800000000001</c:v>
                </c:pt>
                <c:pt idx="53">
                  <c:v>24.136900000000001</c:v>
                </c:pt>
                <c:pt idx="54">
                  <c:v>24.040400000000002</c:v>
                </c:pt>
                <c:pt idx="55">
                  <c:v>23.629000000000001</c:v>
                </c:pt>
                <c:pt idx="56">
                  <c:v>23.6126</c:v>
                </c:pt>
                <c:pt idx="57">
                  <c:v>23.315999999999999</c:v>
                </c:pt>
                <c:pt idx="58">
                  <c:v>23.2133</c:v>
                </c:pt>
                <c:pt idx="59">
                  <c:v>22.955200000000001</c:v>
                </c:pt>
                <c:pt idx="60">
                  <c:v>22.738499999999998</c:v>
                </c:pt>
                <c:pt idx="61">
                  <c:v>22.7593</c:v>
                </c:pt>
                <c:pt idx="62">
                  <c:v>22.4206</c:v>
                </c:pt>
                <c:pt idx="63">
                  <c:v>22.373699999999999</c:v>
                </c:pt>
                <c:pt idx="64">
                  <c:v>22.074100000000001</c:v>
                </c:pt>
                <c:pt idx="65">
                  <c:v>21.761099999999999</c:v>
                </c:pt>
                <c:pt idx="66">
                  <c:v>21.6126</c:v>
                </c:pt>
                <c:pt idx="67">
                  <c:v>21.3672</c:v>
                </c:pt>
                <c:pt idx="68">
                  <c:v>21.195799999999998</c:v>
                </c:pt>
                <c:pt idx="69">
                  <c:v>20.944800000000001</c:v>
                </c:pt>
                <c:pt idx="70">
                  <c:v>20.7819</c:v>
                </c:pt>
                <c:pt idx="71">
                  <c:v>20.634799999999998</c:v>
                </c:pt>
                <c:pt idx="72">
                  <c:v>20.243600000000001</c:v>
                </c:pt>
                <c:pt idx="73">
                  <c:v>20.2926</c:v>
                </c:pt>
                <c:pt idx="74">
                  <c:v>19.992000000000001</c:v>
                </c:pt>
                <c:pt idx="75">
                  <c:v>19.682300000000001</c:v>
                </c:pt>
                <c:pt idx="76">
                  <c:v>19.596</c:v>
                </c:pt>
                <c:pt idx="77">
                  <c:v>19.373200000000001</c:v>
                </c:pt>
                <c:pt idx="78">
                  <c:v>19.198</c:v>
                </c:pt>
                <c:pt idx="79">
                  <c:v>18.983699999999999</c:v>
                </c:pt>
                <c:pt idx="80">
                  <c:v>18.802900000000001</c:v>
                </c:pt>
                <c:pt idx="81">
                  <c:v>18.598600000000001</c:v>
                </c:pt>
                <c:pt idx="82">
                  <c:v>18.468</c:v>
                </c:pt>
                <c:pt idx="83">
                  <c:v>18.2744</c:v>
                </c:pt>
                <c:pt idx="84">
                  <c:v>18.092600000000001</c:v>
                </c:pt>
                <c:pt idx="85">
                  <c:v>17.887</c:v>
                </c:pt>
                <c:pt idx="86">
                  <c:v>17.753599999999999</c:v>
                </c:pt>
                <c:pt idx="87">
                  <c:v>17.416399999999999</c:v>
                </c:pt>
                <c:pt idx="88">
                  <c:v>17.283200000000001</c:v>
                </c:pt>
                <c:pt idx="89">
                  <c:v>17.007100000000001</c:v>
                </c:pt>
                <c:pt idx="90">
                  <c:v>16.8354</c:v>
                </c:pt>
                <c:pt idx="91">
                  <c:v>16.6614</c:v>
                </c:pt>
                <c:pt idx="92">
                  <c:v>16.509799999999998</c:v>
                </c:pt>
                <c:pt idx="93">
                  <c:v>16.276800000000001</c:v>
                </c:pt>
                <c:pt idx="94">
                  <c:v>16.106100000000001</c:v>
                </c:pt>
                <c:pt idx="95">
                  <c:v>15.882400000000001</c:v>
                </c:pt>
                <c:pt idx="96">
                  <c:v>15.6715</c:v>
                </c:pt>
                <c:pt idx="97">
                  <c:v>15.471399999999999</c:v>
                </c:pt>
                <c:pt idx="98">
                  <c:v>15.352499999999999</c:v>
                </c:pt>
                <c:pt idx="99">
                  <c:v>15.0807</c:v>
                </c:pt>
                <c:pt idx="100">
                  <c:v>14.883800000000001</c:v>
                </c:pt>
                <c:pt idx="101">
                  <c:v>14.7437</c:v>
                </c:pt>
                <c:pt idx="102">
                  <c:v>14.586600000000001</c:v>
                </c:pt>
                <c:pt idx="103">
                  <c:v>14.3581</c:v>
                </c:pt>
                <c:pt idx="104">
                  <c:v>14.1501</c:v>
                </c:pt>
                <c:pt idx="105">
                  <c:v>13.9679</c:v>
                </c:pt>
                <c:pt idx="106">
                  <c:v>13.7508</c:v>
                </c:pt>
                <c:pt idx="107">
                  <c:v>13.6038</c:v>
                </c:pt>
                <c:pt idx="108">
                  <c:v>13.412800000000001</c:v>
                </c:pt>
                <c:pt idx="109">
                  <c:v>13.1837</c:v>
                </c:pt>
                <c:pt idx="110">
                  <c:v>13.0792</c:v>
                </c:pt>
                <c:pt idx="111">
                  <c:v>12.807</c:v>
                </c:pt>
                <c:pt idx="112">
                  <c:v>12.682600000000001</c:v>
                </c:pt>
                <c:pt idx="113">
                  <c:v>12.475899999999999</c:v>
                </c:pt>
                <c:pt idx="114">
                  <c:v>12.2584</c:v>
                </c:pt>
                <c:pt idx="115">
                  <c:v>12.0929</c:v>
                </c:pt>
                <c:pt idx="116">
                  <c:v>11.918900000000001</c:v>
                </c:pt>
                <c:pt idx="117">
                  <c:v>11.714700000000001</c:v>
                </c:pt>
                <c:pt idx="118">
                  <c:v>11.5252</c:v>
                </c:pt>
                <c:pt idx="119">
                  <c:v>11.3354</c:v>
                </c:pt>
                <c:pt idx="120">
                  <c:v>11.160399999999999</c:v>
                </c:pt>
                <c:pt idx="121">
                  <c:v>10.9787</c:v>
                </c:pt>
                <c:pt idx="122">
                  <c:v>10.7578</c:v>
                </c:pt>
                <c:pt idx="123">
                  <c:v>10.580500000000001</c:v>
                </c:pt>
                <c:pt idx="124">
                  <c:v>10.4643</c:v>
                </c:pt>
                <c:pt idx="125">
                  <c:v>10.213699999999999</c:v>
                </c:pt>
                <c:pt idx="126">
                  <c:v>10.045199999999999</c:v>
                </c:pt>
                <c:pt idx="127">
                  <c:v>9.8767200000000006</c:v>
                </c:pt>
                <c:pt idx="128">
                  <c:v>9.7134199999999993</c:v>
                </c:pt>
                <c:pt idx="129">
                  <c:v>9.5268499999999996</c:v>
                </c:pt>
                <c:pt idx="130">
                  <c:v>9.3349399999999996</c:v>
                </c:pt>
                <c:pt idx="131">
                  <c:v>9.0884699999999992</c:v>
                </c:pt>
                <c:pt idx="132">
                  <c:v>8.9698600000000006</c:v>
                </c:pt>
                <c:pt idx="133">
                  <c:v>8.68736</c:v>
                </c:pt>
                <c:pt idx="134">
                  <c:v>8.5308799999999998</c:v>
                </c:pt>
                <c:pt idx="135">
                  <c:v>8.3496900000000007</c:v>
                </c:pt>
                <c:pt idx="136">
                  <c:v>8.2818299999999994</c:v>
                </c:pt>
                <c:pt idx="137">
                  <c:v>8.0662299999999991</c:v>
                </c:pt>
                <c:pt idx="138">
                  <c:v>7.8140200000000002</c:v>
                </c:pt>
                <c:pt idx="139">
                  <c:v>7.6423899999999998</c:v>
                </c:pt>
                <c:pt idx="140">
                  <c:v>7.45716</c:v>
                </c:pt>
                <c:pt idx="141">
                  <c:v>7.31271</c:v>
                </c:pt>
                <c:pt idx="142">
                  <c:v>7.13504</c:v>
                </c:pt>
                <c:pt idx="143">
                  <c:v>6.8809300000000002</c:v>
                </c:pt>
                <c:pt idx="144">
                  <c:v>6.7009400000000001</c:v>
                </c:pt>
                <c:pt idx="145">
                  <c:v>6.5356199999999998</c:v>
                </c:pt>
                <c:pt idx="146">
                  <c:v>6.3265200000000004</c:v>
                </c:pt>
                <c:pt idx="147">
                  <c:v>6.1830800000000004</c:v>
                </c:pt>
                <c:pt idx="148">
                  <c:v>6.0130600000000003</c:v>
                </c:pt>
                <c:pt idx="149">
                  <c:v>5.8544900000000002</c:v>
                </c:pt>
                <c:pt idx="150">
                  <c:v>5.6099300000000003</c:v>
                </c:pt>
                <c:pt idx="151">
                  <c:v>5.4320899999999996</c:v>
                </c:pt>
                <c:pt idx="152">
                  <c:v>5.2356100000000003</c:v>
                </c:pt>
                <c:pt idx="153">
                  <c:v>5.0528199999999996</c:v>
                </c:pt>
                <c:pt idx="154">
                  <c:v>4.9028999999999998</c:v>
                </c:pt>
                <c:pt idx="155">
                  <c:v>4.6522600000000001</c:v>
                </c:pt>
                <c:pt idx="156">
                  <c:v>4.4950999999999999</c:v>
                </c:pt>
                <c:pt idx="157">
                  <c:v>4.3437000000000001</c:v>
                </c:pt>
                <c:pt idx="158">
                  <c:v>4.1437400000000002</c:v>
                </c:pt>
                <c:pt idx="159">
                  <c:v>3.9573</c:v>
                </c:pt>
                <c:pt idx="160">
                  <c:v>3.8980899999999998</c:v>
                </c:pt>
                <c:pt idx="161">
                  <c:v>3.5600999999999998</c:v>
                </c:pt>
                <c:pt idx="162">
                  <c:v>3.4098799999999998</c:v>
                </c:pt>
                <c:pt idx="163">
                  <c:v>3.2244999999999999</c:v>
                </c:pt>
                <c:pt idx="164">
                  <c:v>3.07782</c:v>
                </c:pt>
                <c:pt idx="165">
                  <c:v>2.9233199999999999</c:v>
                </c:pt>
                <c:pt idx="166">
                  <c:v>2.7266900000000001</c:v>
                </c:pt>
                <c:pt idx="167">
                  <c:v>2.54392</c:v>
                </c:pt>
                <c:pt idx="168">
                  <c:v>2.5307499999999998</c:v>
                </c:pt>
                <c:pt idx="169">
                  <c:v>2.1795599999999999</c:v>
                </c:pt>
                <c:pt idx="170">
                  <c:v>2.08934</c:v>
                </c:pt>
                <c:pt idx="171">
                  <c:v>1.7954699999999999</c:v>
                </c:pt>
                <c:pt idx="172">
                  <c:v>1.6024099999999999</c:v>
                </c:pt>
                <c:pt idx="173">
                  <c:v>1.48515</c:v>
                </c:pt>
                <c:pt idx="174">
                  <c:v>1.35836</c:v>
                </c:pt>
                <c:pt idx="175">
                  <c:v>1.07298</c:v>
                </c:pt>
                <c:pt idx="176">
                  <c:v>0.86915299999999995</c:v>
                </c:pt>
                <c:pt idx="177">
                  <c:v>0.80323599999999995</c:v>
                </c:pt>
                <c:pt idx="178">
                  <c:v>0.76992799999999995</c:v>
                </c:pt>
                <c:pt idx="179">
                  <c:v>0.46947800000000001</c:v>
                </c:pt>
                <c:pt idx="180">
                  <c:v>0.36985299999999999</c:v>
                </c:pt>
                <c:pt idx="181">
                  <c:v>0.12767600000000001</c:v>
                </c:pt>
                <c:pt idx="182">
                  <c:v>3.6938100000000001E-2</c:v>
                </c:pt>
                <c:pt idx="183">
                  <c:v>-4.9019100000000003E-2</c:v>
                </c:pt>
                <c:pt idx="184">
                  <c:v>-0.21798300000000001</c:v>
                </c:pt>
                <c:pt idx="185">
                  <c:v>-0.38401400000000002</c:v>
                </c:pt>
                <c:pt idx="186">
                  <c:v>-0.57486000000000004</c:v>
                </c:pt>
                <c:pt idx="187">
                  <c:v>-0.73329999999999995</c:v>
                </c:pt>
                <c:pt idx="188">
                  <c:v>-0.87090199999999995</c:v>
                </c:pt>
                <c:pt idx="189">
                  <c:v>-1.0348599999999999</c:v>
                </c:pt>
                <c:pt idx="190">
                  <c:v>-1.2307999999999999</c:v>
                </c:pt>
                <c:pt idx="191">
                  <c:v>-1.3526100000000001</c:v>
                </c:pt>
                <c:pt idx="192">
                  <c:v>-1.29555</c:v>
                </c:pt>
                <c:pt idx="193">
                  <c:v>-1.5137499999999999</c:v>
                </c:pt>
                <c:pt idx="194">
                  <c:v>-1.62094</c:v>
                </c:pt>
                <c:pt idx="195">
                  <c:v>-1.6954</c:v>
                </c:pt>
                <c:pt idx="196">
                  <c:v>-1.76502</c:v>
                </c:pt>
                <c:pt idx="197">
                  <c:v>-1.99203</c:v>
                </c:pt>
                <c:pt idx="198">
                  <c:v>-2.1278299999999999</c:v>
                </c:pt>
                <c:pt idx="199">
                  <c:v>-1.9944299999999999</c:v>
                </c:pt>
                <c:pt idx="200">
                  <c:v>-2.2209699999999999</c:v>
                </c:pt>
                <c:pt idx="201">
                  <c:v>-2.4867400000000002</c:v>
                </c:pt>
                <c:pt idx="202">
                  <c:v>-2.3517399999999999</c:v>
                </c:pt>
                <c:pt idx="203">
                  <c:v>-2.5136799999999999</c:v>
                </c:pt>
                <c:pt idx="204">
                  <c:v>-2.5043700000000002</c:v>
                </c:pt>
                <c:pt idx="205">
                  <c:v>-2.7486899999999999</c:v>
                </c:pt>
                <c:pt idx="206">
                  <c:v>-2.86917</c:v>
                </c:pt>
                <c:pt idx="207">
                  <c:v>-3.0396299999999998</c:v>
                </c:pt>
                <c:pt idx="208">
                  <c:v>-3.2097500000000001</c:v>
                </c:pt>
                <c:pt idx="209">
                  <c:v>-3.2360000000000002</c:v>
                </c:pt>
                <c:pt idx="210">
                  <c:v>-3.6465100000000001</c:v>
                </c:pt>
                <c:pt idx="211">
                  <c:v>-3.6234700000000002</c:v>
                </c:pt>
                <c:pt idx="212">
                  <c:v>-4.1132799999999996</c:v>
                </c:pt>
                <c:pt idx="213">
                  <c:v>-3.8779599999999999</c:v>
                </c:pt>
                <c:pt idx="214">
                  <c:v>-4.0306600000000001</c:v>
                </c:pt>
                <c:pt idx="215">
                  <c:v>-4.0179099999999996</c:v>
                </c:pt>
                <c:pt idx="216">
                  <c:v>-3.9652699999999999</c:v>
                </c:pt>
                <c:pt idx="217">
                  <c:v>-3.9583900000000001</c:v>
                </c:pt>
                <c:pt idx="218">
                  <c:v>-3.8792200000000001</c:v>
                </c:pt>
                <c:pt idx="219">
                  <c:v>-3.9822899999999999</c:v>
                </c:pt>
                <c:pt idx="220">
                  <c:v>-3.9450400000000001</c:v>
                </c:pt>
                <c:pt idx="221">
                  <c:v>-3.9639700000000002</c:v>
                </c:pt>
                <c:pt idx="222">
                  <c:v>-3.91065</c:v>
                </c:pt>
                <c:pt idx="223">
                  <c:v>-3.9488799999999999</c:v>
                </c:pt>
                <c:pt idx="224">
                  <c:v>-3.8028900000000001</c:v>
                </c:pt>
                <c:pt idx="225">
                  <c:v>-3.8474200000000001</c:v>
                </c:pt>
                <c:pt idx="226">
                  <c:v>-3.8303199999999999</c:v>
                </c:pt>
                <c:pt idx="227">
                  <c:v>-3.77474</c:v>
                </c:pt>
                <c:pt idx="228">
                  <c:v>-3.7312500000000002</c:v>
                </c:pt>
                <c:pt idx="229">
                  <c:v>-3.7243200000000001</c:v>
                </c:pt>
                <c:pt idx="230">
                  <c:v>-3.67421</c:v>
                </c:pt>
                <c:pt idx="231">
                  <c:v>-3.6440899999999998</c:v>
                </c:pt>
                <c:pt idx="232">
                  <c:v>-3.5620099999999999</c:v>
                </c:pt>
                <c:pt idx="233">
                  <c:v>-3.5589</c:v>
                </c:pt>
                <c:pt idx="234">
                  <c:v>-3.49654</c:v>
                </c:pt>
                <c:pt idx="235">
                  <c:v>-3.4356</c:v>
                </c:pt>
                <c:pt idx="236">
                  <c:v>-3.37297</c:v>
                </c:pt>
                <c:pt idx="237">
                  <c:v>-3.29522</c:v>
                </c:pt>
                <c:pt idx="238">
                  <c:v>-3.2437399999999998</c:v>
                </c:pt>
                <c:pt idx="239">
                  <c:v>-3.1709299999999998</c:v>
                </c:pt>
                <c:pt idx="240">
                  <c:v>-3.1069800000000001</c:v>
                </c:pt>
                <c:pt idx="241">
                  <c:v>-3.0172699999999999</c:v>
                </c:pt>
                <c:pt idx="242">
                  <c:v>-2.9494799999999999</c:v>
                </c:pt>
                <c:pt idx="243">
                  <c:v>-2.8411300000000002</c:v>
                </c:pt>
                <c:pt idx="244">
                  <c:v>-2.7366600000000001</c:v>
                </c:pt>
                <c:pt idx="245">
                  <c:v>-2.6523400000000001</c:v>
                </c:pt>
                <c:pt idx="246">
                  <c:v>-2.5506799999999998</c:v>
                </c:pt>
                <c:pt idx="247">
                  <c:v>-2.44991</c:v>
                </c:pt>
                <c:pt idx="248">
                  <c:v>-2.3553299999999999</c:v>
                </c:pt>
                <c:pt idx="249">
                  <c:v>-2.2543500000000001</c:v>
                </c:pt>
                <c:pt idx="250">
                  <c:v>-2.1282199999999998</c:v>
                </c:pt>
                <c:pt idx="251">
                  <c:v>-2.03586</c:v>
                </c:pt>
                <c:pt idx="252">
                  <c:v>-1.91717</c:v>
                </c:pt>
                <c:pt idx="253">
                  <c:v>-1.81593</c:v>
                </c:pt>
                <c:pt idx="254">
                  <c:v>-1.6807799999999999</c:v>
                </c:pt>
                <c:pt idx="255">
                  <c:v>-1.5620799999999999</c:v>
                </c:pt>
                <c:pt idx="256">
                  <c:v>-1.4274800000000001</c:v>
                </c:pt>
                <c:pt idx="257">
                  <c:v>-1.30297</c:v>
                </c:pt>
                <c:pt idx="258">
                  <c:v>-1.18652</c:v>
                </c:pt>
                <c:pt idx="259">
                  <c:v>-1.0515600000000001</c:v>
                </c:pt>
                <c:pt idx="260">
                  <c:v>-0.92721699999999996</c:v>
                </c:pt>
                <c:pt idx="261">
                  <c:v>-0.80365399999999998</c:v>
                </c:pt>
                <c:pt idx="262">
                  <c:v>-0.666377</c:v>
                </c:pt>
                <c:pt idx="263">
                  <c:v>-0.55182299999999995</c:v>
                </c:pt>
                <c:pt idx="264">
                  <c:v>-0.43071199999999998</c:v>
                </c:pt>
                <c:pt idx="265">
                  <c:v>-0.21105299999999999</c:v>
                </c:pt>
                <c:pt idx="266">
                  <c:v>0.52166999999999997</c:v>
                </c:pt>
                <c:pt idx="267">
                  <c:v>0.78233600000000003</c:v>
                </c:pt>
                <c:pt idx="268">
                  <c:v>0.81724300000000005</c:v>
                </c:pt>
                <c:pt idx="269">
                  <c:v>0.86195100000000002</c:v>
                </c:pt>
                <c:pt idx="270">
                  <c:v>0.950021</c:v>
                </c:pt>
                <c:pt idx="271">
                  <c:v>1.0492999999999999</c:v>
                </c:pt>
                <c:pt idx="272">
                  <c:v>1.1752400000000001</c:v>
                </c:pt>
                <c:pt idx="273">
                  <c:v>1.3152900000000001</c:v>
                </c:pt>
                <c:pt idx="274">
                  <c:v>1.4637500000000001</c:v>
                </c:pt>
                <c:pt idx="275">
                  <c:v>1.62296</c:v>
                </c:pt>
                <c:pt idx="276">
                  <c:v>1.78169</c:v>
                </c:pt>
                <c:pt idx="277">
                  <c:v>1.9421999999999999</c:v>
                </c:pt>
                <c:pt idx="278">
                  <c:v>2.1075200000000001</c:v>
                </c:pt>
                <c:pt idx="279">
                  <c:v>2.2781099999999999</c:v>
                </c:pt>
                <c:pt idx="280">
                  <c:v>2.4499300000000002</c:v>
                </c:pt>
                <c:pt idx="281">
                  <c:v>2.6258699999999999</c:v>
                </c:pt>
                <c:pt idx="282">
                  <c:v>2.7940900000000002</c:v>
                </c:pt>
                <c:pt idx="283">
                  <c:v>2.9581400000000002</c:v>
                </c:pt>
                <c:pt idx="284">
                  <c:v>3.15646</c:v>
                </c:pt>
                <c:pt idx="285">
                  <c:v>3.32565</c:v>
                </c:pt>
                <c:pt idx="286">
                  <c:v>3.4992100000000002</c:v>
                </c:pt>
                <c:pt idx="287">
                  <c:v>3.6540400000000002</c:v>
                </c:pt>
                <c:pt idx="288">
                  <c:v>3.8307899999999999</c:v>
                </c:pt>
                <c:pt idx="289">
                  <c:v>4.0309799999999996</c:v>
                </c:pt>
                <c:pt idx="290">
                  <c:v>4.23407</c:v>
                </c:pt>
                <c:pt idx="291">
                  <c:v>4.4202000000000004</c:v>
                </c:pt>
                <c:pt idx="292">
                  <c:v>4.5639399999999997</c:v>
                </c:pt>
                <c:pt idx="293">
                  <c:v>4.7605300000000002</c:v>
                </c:pt>
                <c:pt idx="294">
                  <c:v>4.9475499999999997</c:v>
                </c:pt>
                <c:pt idx="295">
                  <c:v>5.2143100000000002</c:v>
                </c:pt>
                <c:pt idx="296">
                  <c:v>5.4050900000000004</c:v>
                </c:pt>
                <c:pt idx="297">
                  <c:v>5.6014999999999997</c:v>
                </c:pt>
                <c:pt idx="298">
                  <c:v>5.7946099999999996</c:v>
                </c:pt>
                <c:pt idx="299">
                  <c:v>5.9855799999999997</c:v>
                </c:pt>
                <c:pt idx="300">
                  <c:v>6.1811499999999997</c:v>
                </c:pt>
                <c:pt idx="301">
                  <c:v>6.3762999999999996</c:v>
                </c:pt>
                <c:pt idx="302">
                  <c:v>6.5692300000000001</c:v>
                </c:pt>
                <c:pt idx="303">
                  <c:v>6.77081</c:v>
                </c:pt>
                <c:pt idx="304">
                  <c:v>6.9849899999999998</c:v>
                </c:pt>
                <c:pt idx="305">
                  <c:v>7.2120699999999998</c:v>
                </c:pt>
                <c:pt idx="306">
                  <c:v>7.47248</c:v>
                </c:pt>
                <c:pt idx="307">
                  <c:v>7.6753600000000004</c:v>
                </c:pt>
                <c:pt idx="308">
                  <c:v>7.9446199999999996</c:v>
                </c:pt>
                <c:pt idx="309">
                  <c:v>8.1865900000000007</c:v>
                </c:pt>
                <c:pt idx="310">
                  <c:v>8.4445800000000002</c:v>
                </c:pt>
                <c:pt idx="311">
                  <c:v>8.6780500000000007</c:v>
                </c:pt>
                <c:pt idx="312">
                  <c:v>8.8889499999999995</c:v>
                </c:pt>
                <c:pt idx="313">
                  <c:v>9.0986999999999991</c:v>
                </c:pt>
                <c:pt idx="314">
                  <c:v>9.3196600000000007</c:v>
                </c:pt>
                <c:pt idx="315">
                  <c:v>9.5290400000000002</c:v>
                </c:pt>
                <c:pt idx="316">
                  <c:v>9.7312899999999996</c:v>
                </c:pt>
                <c:pt idx="317">
                  <c:v>9.9010099999999994</c:v>
                </c:pt>
                <c:pt idx="318">
                  <c:v>10.0764</c:v>
                </c:pt>
                <c:pt idx="319">
                  <c:v>10.266</c:v>
                </c:pt>
                <c:pt idx="320">
                  <c:v>10.4788</c:v>
                </c:pt>
                <c:pt idx="321">
                  <c:v>10.741899999999999</c:v>
                </c:pt>
                <c:pt idx="322">
                  <c:v>11.0235</c:v>
                </c:pt>
                <c:pt idx="323">
                  <c:v>11.234299999999999</c:v>
                </c:pt>
                <c:pt idx="324">
                  <c:v>11.3918</c:v>
                </c:pt>
                <c:pt idx="325">
                  <c:v>11.612500000000001</c:v>
                </c:pt>
                <c:pt idx="326">
                  <c:v>11.8933</c:v>
                </c:pt>
                <c:pt idx="327">
                  <c:v>12.027799999999999</c:v>
                </c:pt>
                <c:pt idx="328">
                  <c:v>12.182600000000001</c:v>
                </c:pt>
                <c:pt idx="329">
                  <c:v>12.458399999999999</c:v>
                </c:pt>
                <c:pt idx="330">
                  <c:v>12.6511</c:v>
                </c:pt>
                <c:pt idx="331">
                  <c:v>12.903600000000001</c:v>
                </c:pt>
                <c:pt idx="332">
                  <c:v>13.1541</c:v>
                </c:pt>
                <c:pt idx="333">
                  <c:v>13.368399999999999</c:v>
                </c:pt>
                <c:pt idx="334">
                  <c:v>13.6015</c:v>
                </c:pt>
                <c:pt idx="335">
                  <c:v>13.8704</c:v>
                </c:pt>
                <c:pt idx="336">
                  <c:v>14.1297</c:v>
                </c:pt>
                <c:pt idx="337">
                  <c:v>14.451599999999999</c:v>
                </c:pt>
                <c:pt idx="338">
                  <c:v>14.4628</c:v>
                </c:pt>
                <c:pt idx="339">
                  <c:v>14.575900000000001</c:v>
                </c:pt>
                <c:pt idx="340">
                  <c:v>14.7446</c:v>
                </c:pt>
                <c:pt idx="341">
                  <c:v>14.891</c:v>
                </c:pt>
                <c:pt idx="342">
                  <c:v>14.9779</c:v>
                </c:pt>
                <c:pt idx="343">
                  <c:v>15.0854</c:v>
                </c:pt>
                <c:pt idx="344">
                  <c:v>15.1145</c:v>
                </c:pt>
                <c:pt idx="345">
                  <c:v>15.1486</c:v>
                </c:pt>
                <c:pt idx="346">
                  <c:v>14.961</c:v>
                </c:pt>
                <c:pt idx="347">
                  <c:v>14.946199999999999</c:v>
                </c:pt>
                <c:pt idx="348">
                  <c:v>15.1762</c:v>
                </c:pt>
                <c:pt idx="349">
                  <c:v>15.284700000000001</c:v>
                </c:pt>
                <c:pt idx="350">
                  <c:v>15.331799999999999</c:v>
                </c:pt>
                <c:pt idx="351">
                  <c:v>15.3347</c:v>
                </c:pt>
                <c:pt idx="352">
                  <c:v>15.331</c:v>
                </c:pt>
                <c:pt idx="353">
                  <c:v>15.2844</c:v>
                </c:pt>
                <c:pt idx="354">
                  <c:v>15.295400000000001</c:v>
                </c:pt>
                <c:pt idx="355">
                  <c:v>15.3028</c:v>
                </c:pt>
                <c:pt idx="356">
                  <c:v>15.049200000000001</c:v>
                </c:pt>
                <c:pt idx="357">
                  <c:v>14.9002</c:v>
                </c:pt>
                <c:pt idx="358">
                  <c:v>14.938000000000001</c:v>
                </c:pt>
                <c:pt idx="359">
                  <c:v>14.7561</c:v>
                </c:pt>
                <c:pt idx="360">
                  <c:v>14.525499999999999</c:v>
                </c:pt>
                <c:pt idx="361">
                  <c:v>14.4298</c:v>
                </c:pt>
                <c:pt idx="362">
                  <c:v>14.126799999999999</c:v>
                </c:pt>
                <c:pt idx="363">
                  <c:v>14.106299999999999</c:v>
                </c:pt>
                <c:pt idx="364">
                  <c:v>13.8226</c:v>
                </c:pt>
                <c:pt idx="365">
                  <c:v>13.599500000000001</c:v>
                </c:pt>
                <c:pt idx="366">
                  <c:v>13.3674</c:v>
                </c:pt>
                <c:pt idx="367">
                  <c:v>13.1959</c:v>
                </c:pt>
                <c:pt idx="368">
                  <c:v>13.0069</c:v>
                </c:pt>
                <c:pt idx="369">
                  <c:v>12.7394</c:v>
                </c:pt>
                <c:pt idx="370">
                  <c:v>12.4757</c:v>
                </c:pt>
                <c:pt idx="371">
                  <c:v>12.1639</c:v>
                </c:pt>
                <c:pt idx="372">
                  <c:v>11.9579</c:v>
                </c:pt>
                <c:pt idx="373">
                  <c:v>11.690200000000001</c:v>
                </c:pt>
                <c:pt idx="374">
                  <c:v>11.575799999999999</c:v>
                </c:pt>
                <c:pt idx="375">
                  <c:v>11.314</c:v>
                </c:pt>
                <c:pt idx="376">
                  <c:v>11.0791</c:v>
                </c:pt>
                <c:pt idx="377">
                  <c:v>10.8666</c:v>
                </c:pt>
                <c:pt idx="378">
                  <c:v>10.6013</c:v>
                </c:pt>
                <c:pt idx="379">
                  <c:v>10.4749</c:v>
                </c:pt>
                <c:pt idx="380">
                  <c:v>10.283799999999999</c:v>
                </c:pt>
                <c:pt idx="381">
                  <c:v>9.9821899999999992</c:v>
                </c:pt>
                <c:pt idx="382">
                  <c:v>9.7520900000000008</c:v>
                </c:pt>
                <c:pt idx="383">
                  <c:v>9.5117999999999991</c:v>
                </c:pt>
                <c:pt idx="384">
                  <c:v>9.28308</c:v>
                </c:pt>
                <c:pt idx="385">
                  <c:v>9.1002899999999993</c:v>
                </c:pt>
                <c:pt idx="386">
                  <c:v>8.7908299999999997</c:v>
                </c:pt>
                <c:pt idx="387">
                  <c:v>8.6150300000000009</c:v>
                </c:pt>
                <c:pt idx="388">
                  <c:v>8.3056699999999992</c:v>
                </c:pt>
                <c:pt idx="389">
                  <c:v>7.9999099999999999</c:v>
                </c:pt>
                <c:pt idx="390">
                  <c:v>7.7399399999999998</c:v>
                </c:pt>
                <c:pt idx="391">
                  <c:v>7.5259600000000004</c:v>
                </c:pt>
                <c:pt idx="392">
                  <c:v>7.3913599999999997</c:v>
                </c:pt>
                <c:pt idx="393">
                  <c:v>7.3125499999999999</c:v>
                </c:pt>
                <c:pt idx="394">
                  <c:v>7.1463099999999997</c:v>
                </c:pt>
                <c:pt idx="395">
                  <c:v>6.8612700000000002</c:v>
                </c:pt>
                <c:pt idx="396">
                  <c:v>6.4708399999999999</c:v>
                </c:pt>
                <c:pt idx="397">
                  <c:v>6.2453099999999999</c:v>
                </c:pt>
                <c:pt idx="398">
                  <c:v>6.1328699999999996</c:v>
                </c:pt>
                <c:pt idx="399">
                  <c:v>5.7547600000000001</c:v>
                </c:pt>
              </c:numCache>
            </c:numRef>
          </c:yVal>
          <c:smooth val="1"/>
          <c:extLst>
            <c:ext xmlns:c16="http://schemas.microsoft.com/office/drawing/2014/chart" uri="{C3380CC4-5D6E-409C-BE32-E72D297353CC}">
              <c16:uniqueId val="{00000001-2A10-41EA-A3AE-967165122F16}"/>
            </c:ext>
          </c:extLst>
        </c:ser>
        <c:dLbls>
          <c:showLegendKey val="0"/>
          <c:showVal val="0"/>
          <c:showCatName val="0"/>
          <c:showSerName val="0"/>
          <c:showPercent val="0"/>
          <c:showBubbleSize val="0"/>
        </c:dLbls>
        <c:axId val="176934912"/>
        <c:axId val="176937216"/>
      </c:scatterChart>
      <c:scatterChart>
        <c:scatterStyle val="lineMarker"/>
        <c:varyColors val="0"/>
        <c:ser>
          <c:idx val="3"/>
          <c:order val="1"/>
          <c:tx>
            <c:v>Theoretical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-226.75612803846326</c:v>
                </c:pt>
                <c:pt idx="1">
                  <c:v>-244.75461535145405</c:v>
                </c:pt>
                <c:pt idx="2">
                  <c:v>-252.47508720331379</c:v>
                </c:pt>
                <c:pt idx="3">
                  <c:v>-256.59499592653617</c:v>
                </c:pt>
                <c:pt idx="4">
                  <c:v>-259.12061002847872</c:v>
                </c:pt>
                <c:pt idx="5">
                  <c:v>-260.81320224830966</c:v>
                </c:pt>
                <c:pt idx="6">
                  <c:v>-262.01865414777353</c:v>
                </c:pt>
                <c:pt idx="7">
                  <c:v>-262.91545577122116</c:v>
                </c:pt>
                <c:pt idx="8">
                  <c:v>-263.60468090225061</c:v>
                </c:pt>
                <c:pt idx="9">
                  <c:v>-264.14773489108973</c:v>
                </c:pt>
                <c:pt idx="10">
                  <c:v>-266.33525685923985</c:v>
                </c:pt>
                <c:pt idx="11">
                  <c:v>-266.74201560587267</c:v>
                </c:pt>
                <c:pt idx="12">
                  <c:v>-266.7015917288312</c:v>
                </c:pt>
                <c:pt idx="13">
                  <c:v>-266.48214725539009</c:v>
                </c:pt>
                <c:pt idx="14">
                  <c:v>-266.17320943407287</c:v>
                </c:pt>
                <c:pt idx="15">
                  <c:v>-265.81318166929253</c:v>
                </c:pt>
                <c:pt idx="16">
                  <c:v>-265.42128161087487</c:v>
                </c:pt>
                <c:pt idx="17">
                  <c:v>-265.00819642086708</c:v>
                </c:pt>
                <c:pt idx="18">
                  <c:v>-264.58034693586637</c:v>
                </c:pt>
                <c:pt idx="19">
                  <c:v>-259.98702606650227</c:v>
                </c:pt>
                <c:pt idx="20">
                  <c:v>-255.25279975380914</c:v>
                </c:pt>
                <c:pt idx="21">
                  <c:v>-250.53018162804972</c:v>
                </c:pt>
                <c:pt idx="22">
                  <c:v>-245.86279254484651</c:v>
                </c:pt>
                <c:pt idx="23">
                  <c:v>-241.27469540276181</c:v>
                </c:pt>
                <c:pt idx="24">
                  <c:v>-236.7829776650297</c:v>
                </c:pt>
                <c:pt idx="25">
                  <c:v>-232.40081972767459</c:v>
                </c:pt>
                <c:pt idx="26">
                  <c:v>-228.13851582548551</c:v>
                </c:pt>
                <c:pt idx="27">
                  <c:v>-224.00393141600014</c:v>
                </c:pt>
                <c:pt idx="28">
                  <c:v>-205.38517544508861</c:v>
                </c:pt>
                <c:pt idx="29">
                  <c:v>-190.17073334886172</c:v>
                </c:pt>
                <c:pt idx="30">
                  <c:v>-177.9513478927461</c:v>
                </c:pt>
                <c:pt idx="31">
                  <c:v>-168.16469252196225</c:v>
                </c:pt>
                <c:pt idx="32">
                  <c:v>-160.28850923852571</c:v>
                </c:pt>
                <c:pt idx="33">
                  <c:v>-153.89723871162735</c:v>
                </c:pt>
                <c:pt idx="34">
                  <c:v>-148.66188062442379</c:v>
                </c:pt>
                <c:pt idx="35">
                  <c:v>-144.33299094329851</c:v>
                </c:pt>
                <c:pt idx="36">
                  <c:v>-140.72213531221527</c:v>
                </c:pt>
                <c:pt idx="37">
                  <c:v>-137.68636389446473</c:v>
                </c:pt>
                <c:pt idx="38">
                  <c:v>-135.11634627526618</c:v>
                </c:pt>
                <c:pt idx="39">
                  <c:v>-132.92762928938265</c:v>
                </c:pt>
                <c:pt idx="40">
                  <c:v>-131.05428078160975</c:v>
                </c:pt>
                <c:pt idx="41">
                  <c:v>-129.44427676214104</c:v>
                </c:pt>
                <c:pt idx="42">
                  <c:v>-128.05614013166485</c:v>
                </c:pt>
                <c:pt idx="43">
                  <c:v>-126.85647368657598</c:v>
                </c:pt>
                <c:pt idx="44">
                  <c:v>-125.81813345591576</c:v>
                </c:pt>
                <c:pt idx="45">
                  <c:v>-124.91886319798675</c:v>
                </c:pt>
                <c:pt idx="46">
                  <c:v>-124.14026361400937</c:v>
                </c:pt>
                <c:pt idx="47">
                  <c:v>-123.46700665291567</c:v>
                </c:pt>
                <c:pt idx="48">
                  <c:v>-122.88623094759717</c:v>
                </c:pt>
                <c:pt idx="49">
                  <c:v>-122.38707237107403</c:v>
                </c:pt>
                <c:pt idx="50">
                  <c:v>-121.96029632429578</c:v>
                </c:pt>
                <c:pt idx="51">
                  <c:v>-121.59800731004441</c:v>
                </c:pt>
                <c:pt idx="52">
                  <c:v>-121.2934177341387</c:v>
                </c:pt>
                <c:pt idx="53">
                  <c:v>-121.040662475216</c:v>
                </c:pt>
                <c:pt idx="54">
                  <c:v>-120.83464910621242</c:v>
                </c:pt>
                <c:pt idx="55">
                  <c:v>-120.67093609930801</c:v>
                </c:pt>
                <c:pt idx="56">
                  <c:v>-120.5456331554341</c:v>
                </c:pt>
                <c:pt idx="57">
                  <c:v>-120.45531914737775</c:v>
                </c:pt>
                <c:pt idx="58">
                  <c:v>-120.39697417772204</c:v>
                </c:pt>
                <c:pt idx="59">
                  <c:v>-120.36792301880502</c:v>
                </c:pt>
                <c:pt idx="60">
                  <c:v>-120.36578778575819</c:v>
                </c:pt>
                <c:pt idx="61">
                  <c:v>-120.38844814194448</c:v>
                </c:pt>
                <c:pt idx="62">
                  <c:v>-120.43400768259744</c:v>
                </c:pt>
                <c:pt idx="63">
                  <c:v>-120.50076541203057</c:v>
                </c:pt>
                <c:pt idx="64">
                  <c:v>-120.58719144082204</c:v>
                </c:pt>
                <c:pt idx="65">
                  <c:v>-120.69190619558796</c:v>
                </c:pt>
                <c:pt idx="66">
                  <c:v>-120.81366256560921</c:v>
                </c:pt>
                <c:pt idx="67">
                  <c:v>-120.95133051543378</c:v>
                </c:pt>
                <c:pt idx="68">
                  <c:v>-121.10388377653049</c:v>
                </c:pt>
                <c:pt idx="69">
                  <c:v>-121.27038829862929</c:v>
                </c:pt>
                <c:pt idx="70">
                  <c:v>-121.44999219601392</c:v>
                </c:pt>
                <c:pt idx="71">
                  <c:v>-121.64191696841256</c:v>
                </c:pt>
                <c:pt idx="72">
                  <c:v>-121.84544981234826</c:v>
                </c:pt>
                <c:pt idx="73">
                  <c:v>-122.05993686849025</c:v>
                </c:pt>
                <c:pt idx="74">
                  <c:v>-122.28477727497057</c:v>
                </c:pt>
                <c:pt idx="75">
                  <c:v>-122.5194179168096</c:v>
                </c:pt>
                <c:pt idx="76">
                  <c:v>-122.76334877832718</c:v>
                </c:pt>
                <c:pt idx="77">
                  <c:v>-123.01609881934729</c:v>
                </c:pt>
                <c:pt idx="78">
                  <c:v>-123.27723230763816</c:v>
                </c:pt>
                <c:pt idx="79">
                  <c:v>-123.54634554978531</c:v>
                </c:pt>
                <c:pt idx="80">
                  <c:v>-123.82306397089354</c:v>
                </c:pt>
                <c:pt idx="81">
                  <c:v>-124.10703950043674</c:v>
                </c:pt>
                <c:pt idx="82">
                  <c:v>-124.39794822742641</c:v>
                </c:pt>
                <c:pt idx="83">
                  <c:v>-124.69548829304135</c:v>
                </c:pt>
                <c:pt idx="84">
                  <c:v>-124.99937799308925</c:v>
                </c:pt>
                <c:pt idx="85">
                  <c:v>-125.30935406628225</c:v>
                </c:pt>
                <c:pt idx="86">
                  <c:v>-125.62517014739629</c:v>
                </c:pt>
                <c:pt idx="87">
                  <c:v>-125.94659536703688</c:v>
                </c:pt>
                <c:pt idx="88">
                  <c:v>-126.27341308201223</c:v>
                </c:pt>
                <c:pt idx="89">
                  <c:v>-126.60541972228202</c:v>
                </c:pt>
                <c:pt idx="90">
                  <c:v>-126.94242374214875</c:v>
                </c:pt>
                <c:pt idx="91">
                  <c:v>-127.28424466483031</c:v>
                </c:pt>
                <c:pt idx="92">
                  <c:v>-127.63071221083111</c:v>
                </c:pt>
                <c:pt idx="93">
                  <c:v>-127.98166550164049</c:v>
                </c:pt>
                <c:pt idx="94">
                  <c:v>-128.33695233125644</c:v>
                </c:pt>
                <c:pt idx="95">
                  <c:v>-128.69642849887992</c:v>
                </c:pt>
                <c:pt idx="96">
                  <c:v>-129.05995719686604</c:v>
                </c:pt>
                <c:pt idx="97">
                  <c:v>-129.42740844866842</c:v>
                </c:pt>
                <c:pt idx="98">
                  <c:v>-129.79865859208513</c:v>
                </c:pt>
                <c:pt idx="99">
                  <c:v>-130.17358980361595</c:v>
                </c:pt>
                <c:pt idx="100">
                  <c:v>-130.55208966018549</c:v>
                </c:pt>
                <c:pt idx="101">
                  <c:v>-130.93405073487696</c:v>
                </c:pt>
                <c:pt idx="102">
                  <c:v>-131.3193702236693</c:v>
                </c:pt>
                <c:pt idx="103">
                  <c:v>-131.70794960047573</c:v>
                </c:pt>
                <c:pt idx="104">
                  <c:v>-132.09969429805517</c:v>
                </c:pt>
                <c:pt idx="105">
                  <c:v>-132.49451341261047</c:v>
                </c:pt>
                <c:pt idx="106">
                  <c:v>-132.89231943010131</c:v>
                </c:pt>
                <c:pt idx="107">
                  <c:v>-133.29302797249335</c:v>
                </c:pt>
                <c:pt idx="108">
                  <c:v>-133.69655756233618</c:v>
                </c:pt>
                <c:pt idx="109">
                  <c:v>-134.10282940421507</c:v>
                </c:pt>
                <c:pt idx="110">
                  <c:v>-134.51176718175958</c:v>
                </c:pt>
                <c:pt idx="111">
                  <c:v>-134.92329686901456</c:v>
                </c:pt>
                <c:pt idx="112">
                  <c:v>-135.33734655508906</c:v>
                </c:pt>
                <c:pt idx="113">
                  <c:v>-135.75384628109751</c:v>
                </c:pt>
                <c:pt idx="114">
                  <c:v>-136.17272788849726</c:v>
                </c:pt>
                <c:pt idx="115">
                  <c:v>-136.59392487800534</c:v>
                </c:pt>
                <c:pt idx="116">
                  <c:v>-137.01737227835</c:v>
                </c:pt>
                <c:pt idx="117">
                  <c:v>-137.44300652417772</c:v>
                </c:pt>
                <c:pt idx="118">
                  <c:v>-137.87076534249448</c:v>
                </c:pt>
                <c:pt idx="119">
                  <c:v>-138.30058764707286</c:v>
                </c:pt>
                <c:pt idx="120">
                  <c:v>-138.73241344030544</c:v>
                </c:pt>
                <c:pt idx="121">
                  <c:v>-139.16618372202601</c:v>
                </c:pt>
                <c:pt idx="122">
                  <c:v>-139.60184040486158</c:v>
                </c:pt>
                <c:pt idx="123">
                  <c:v>-140.03932623571174</c:v>
                </c:pt>
                <c:pt idx="124">
                  <c:v>-140.47858472298481</c:v>
                </c:pt>
                <c:pt idx="125">
                  <c:v>-140.91956006924869</c:v>
                </c:pt>
                <c:pt idx="126">
                  <c:v>-141.36219710898109</c:v>
                </c:pt>
                <c:pt idx="127">
                  <c:v>-141.80644125112721</c:v>
                </c:pt>
                <c:pt idx="128">
                  <c:v>-142.25223842619437</c:v>
                </c:pt>
                <c:pt idx="129">
                  <c:v>-142.69953503763344</c:v>
                </c:pt>
                <c:pt idx="130">
                  <c:v>-143.14827791727356</c:v>
                </c:pt>
                <c:pt idx="131">
                  <c:v>-143.59841428459322</c:v>
                </c:pt>
                <c:pt idx="132">
                  <c:v>-144.04989170962574</c:v>
                </c:pt>
                <c:pt idx="133">
                  <c:v>-144.50265807930938</c:v>
                </c:pt>
                <c:pt idx="134">
                  <c:v>-144.95666156710524</c:v>
                </c:pt>
                <c:pt idx="135">
                  <c:v>-145.41185060571618</c:v>
                </c:pt>
                <c:pt idx="136">
                  <c:v>-145.86817386275004</c:v>
                </c:pt>
                <c:pt idx="137">
                  <c:v>-146.32558021918004</c:v>
                </c:pt>
                <c:pt idx="138">
                  <c:v>-146.78401875046148</c:v>
                </c:pt>
                <c:pt idx="139">
                  <c:v>-147.24343871017371</c:v>
                </c:pt>
                <c:pt idx="140">
                  <c:v>-147.70378951605946</c:v>
                </c:pt>
                <c:pt idx="141">
                  <c:v>-148.16502073834397</c:v>
                </c:pt>
                <c:pt idx="142">
                  <c:v>-148.6270820902173</c:v>
                </c:pt>
                <c:pt idx="143">
                  <c:v>-149.08992342037143</c:v>
                </c:pt>
                <c:pt idx="144">
                  <c:v>-149.5534947074861</c:v>
                </c:pt>
                <c:pt idx="145">
                  <c:v>-150.01774605656274</c:v>
                </c:pt>
                <c:pt idx="146">
                  <c:v>-150.48262769700838</c:v>
                </c:pt>
                <c:pt idx="147">
                  <c:v>-150.94808998237573</c:v>
                </c:pt>
                <c:pt idx="148">
                  <c:v>-151.41408339166756</c:v>
                </c:pt>
                <c:pt idx="149">
                  <c:v>-151.88055853211756</c:v>
                </c:pt>
                <c:pt idx="150">
                  <c:v>-152.347466143361</c:v>
                </c:pt>
                <c:pt idx="151">
                  <c:v>-152.8147571029121</c:v>
                </c:pt>
                <c:pt idx="152">
                  <c:v>-153.28238243286626</c:v>
                </c:pt>
                <c:pt idx="153">
                  <c:v>-153.75029330774774</c:v>
                </c:pt>
                <c:pt idx="154">
                  <c:v>-154.21844106342544</c:v>
                </c:pt>
                <c:pt idx="155">
                  <c:v>-154.68677720702064</c:v>
                </c:pt>
                <c:pt idx="156">
                  <c:v>-155.15525342773262</c:v>
                </c:pt>
                <c:pt idx="157">
                  <c:v>-155.6238216085101</c:v>
                </c:pt>
                <c:pt idx="158">
                  <c:v>-156.09243383849659</c:v>
                </c:pt>
                <c:pt idx="159">
                  <c:v>-156.56104242618181</c:v>
                </c:pt>
                <c:pt idx="160">
                  <c:v>-157.02959991318937</c:v>
                </c:pt>
                <c:pt idx="161">
                  <c:v>-157.49805908863596</c:v>
                </c:pt>
                <c:pt idx="162">
                  <c:v>-157.96637300399618</c:v>
                </c:pt>
                <c:pt idx="163">
                  <c:v>-158.43449498840999</c:v>
                </c:pt>
                <c:pt idx="164">
                  <c:v>-158.90237866437025</c:v>
                </c:pt>
                <c:pt idx="165">
                  <c:v>-159.369977963731</c:v>
                </c:pt>
                <c:pt idx="166">
                  <c:v>-159.83724714397613</c:v>
                </c:pt>
                <c:pt idx="167">
                  <c:v>-160.30414080469254</c:v>
                </c:pt>
                <c:pt idx="168">
                  <c:v>-160.7706139041909</c:v>
                </c:pt>
                <c:pt idx="169">
                  <c:v>-161.23662177622055</c:v>
                </c:pt>
                <c:pt idx="170">
                  <c:v>-161.70212014672589</c:v>
                </c:pt>
                <c:pt idx="171">
                  <c:v>-162.16706515059346</c:v>
                </c:pt>
                <c:pt idx="172">
                  <c:v>-162.63141334834094</c:v>
                </c:pt>
                <c:pt idx="173">
                  <c:v>-163.09512174270029</c:v>
                </c:pt>
                <c:pt idx="174">
                  <c:v>-163.5581477950505</c:v>
                </c:pt>
                <c:pt idx="175">
                  <c:v>-164.02044944165556</c:v>
                </c:pt>
                <c:pt idx="176">
                  <c:v>-164.48198510966637</c:v>
                </c:pt>
                <c:pt idx="177">
                  <c:v>-164.94271373284715</c:v>
                </c:pt>
                <c:pt idx="178">
                  <c:v>-165.40259476698753</c:v>
                </c:pt>
                <c:pt idx="179">
                  <c:v>-165.86158820496613</c:v>
                </c:pt>
                <c:pt idx="180">
                  <c:v>-166.3196545914297</c:v>
                </c:pt>
                <c:pt idx="181">
                  <c:v>-166.77675503705836</c:v>
                </c:pt>
                <c:pt idx="182">
                  <c:v>-167.23285123238483</c:v>
                </c:pt>
                <c:pt idx="183">
                  <c:v>-167.68790546114175</c:v>
                </c:pt>
                <c:pt idx="184">
                  <c:v>-168.1418806131102</c:v>
                </c:pt>
                <c:pt idx="185">
                  <c:v>-168.5947401964462</c:v>
                </c:pt>
                <c:pt idx="186">
                  <c:v>-169.04644834946328</c:v>
                </c:pt>
                <c:pt idx="187">
                  <c:v>-169.49696985185207</c:v>
                </c:pt>
                <c:pt idx="188">
                  <c:v>-169.94627013531831</c:v>
                </c:pt>
                <c:pt idx="189">
                  <c:v>-170.3943152936244</c:v>
                </c:pt>
                <c:pt idx="190">
                  <c:v>-170.84107209202031</c:v>
                </c:pt>
                <c:pt idx="191">
                  <c:v>-171.28650797605258</c:v>
                </c:pt>
                <c:pt idx="192">
                  <c:v>-171.73059107974089</c:v>
                </c:pt>
                <c:pt idx="193">
                  <c:v>-172.17329023311484</c:v>
                </c:pt>
                <c:pt idx="194">
                  <c:v>-172.61457496910418</c:v>
                </c:pt>
                <c:pt idx="195">
                  <c:v>-173.05441552977842</c:v>
                </c:pt>
                <c:pt idx="196">
                  <c:v>-173.49278287193277</c:v>
                </c:pt>
                <c:pt idx="197">
                  <c:v>-173.92964867201997</c:v>
                </c:pt>
                <c:pt idx="198">
                  <c:v>-174.36498533042763</c:v>
                </c:pt>
                <c:pt idx="199">
                  <c:v>-174.79876597510435</c:v>
                </c:pt>
                <c:pt idx="200">
                  <c:v>-175.2309644645369</c:v>
                </c:pt>
                <c:pt idx="201">
                  <c:v>-175.66155539008471</c:v>
                </c:pt>
                <c:pt idx="202">
                  <c:v>-176.0905140776772</c:v>
                </c:pt>
                <c:pt idx="203">
                  <c:v>-176.51781658888225</c:v>
                </c:pt>
                <c:pt idx="204">
                  <c:v>-176.94343972135405</c:v>
                </c:pt>
                <c:pt idx="205">
                  <c:v>-177.36736100867085</c:v>
                </c:pt>
                <c:pt idx="206">
                  <c:v>-177.78955871957368</c:v>
                </c:pt>
                <c:pt idx="207">
                  <c:v>-178.210011856618</c:v>
                </c:pt>
                <c:pt idx="208">
                  <c:v>-178.62870015425165</c:v>
                </c:pt>
                <c:pt idx="209">
                  <c:v>-179.0456040763323</c:v>
                </c:pt>
                <c:pt idx="210">
                  <c:v>-179.46070481310034</c:v>
                </c:pt>
                <c:pt idx="211">
                  <c:v>-179.87398427762139</c:v>
                </c:pt>
                <c:pt idx="212">
                  <c:v>-180.2854251017157</c:v>
                </c:pt>
                <c:pt idx="213">
                  <c:v>-180.69501063138983</c:v>
                </c:pt>
                <c:pt idx="214">
                  <c:v>-181.1027249217893</c:v>
                </c:pt>
                <c:pt idx="215">
                  <c:v>-181.50855273168838</c:v>
                </c:pt>
                <c:pt idx="216">
                  <c:v>-181.91247951753635</c:v>
                </c:pt>
                <c:pt idx="217">
                  <c:v>-182.31449142707757</c:v>
                </c:pt>
                <c:pt idx="218">
                  <c:v>-182.71457529256449</c:v>
                </c:pt>
                <c:pt idx="219">
                  <c:v>-183.11271862358251</c:v>
                </c:pt>
                <c:pt idx="220">
                  <c:v>-183.50890959950527</c:v>
                </c:pt>
                <c:pt idx="221">
                  <c:v>-183.90313706159944</c:v>
                </c:pt>
                <c:pt idx="222">
                  <c:v>-184.29539050479858</c:v>
                </c:pt>
                <c:pt idx="223">
                  <c:v>-184.68566006916461</c:v>
                </c:pt>
                <c:pt idx="224">
                  <c:v>-185.07393653105592</c:v>
                </c:pt>
                <c:pt idx="225">
                  <c:v>-185.46021129402143</c:v>
                </c:pt>
                <c:pt idx="226">
                  <c:v>-189.21140331286767</c:v>
                </c:pt>
                <c:pt idx="227">
                  <c:v>-192.75724131607959</c:v>
                </c:pt>
                <c:pt idx="228">
                  <c:v>-196.09785914366026</c:v>
                </c:pt>
                <c:pt idx="229">
                  <c:v>-199.23732175335999</c:v>
                </c:pt>
                <c:pt idx="230">
                  <c:v>-202.18258707585912</c:v>
                </c:pt>
                <c:pt idx="231">
                  <c:v>-204.94259167345055</c:v>
                </c:pt>
                <c:pt idx="232">
                  <c:v>-207.52749266238936</c:v>
                </c:pt>
                <c:pt idx="233">
                  <c:v>-209.94807014099823</c:v>
                </c:pt>
                <c:pt idx="234">
                  <c:v>-212.21527716533134</c:v>
                </c:pt>
                <c:pt idx="235">
                  <c:v>-214.33991588565911</c:v>
                </c:pt>
                <c:pt idx="236">
                  <c:v>-216.33241602306956</c:v>
                </c:pt>
                <c:pt idx="237">
                  <c:v>-218.2026929893004</c:v>
                </c:pt>
                <c:pt idx="238">
                  <c:v>-219.96006584017169</c:v>
                </c:pt>
                <c:pt idx="239">
                  <c:v>-221.61321874086417</c:v>
                </c:pt>
                <c:pt idx="240">
                  <c:v>-223.17019304268953</c:v>
                </c:pt>
                <c:pt idx="241">
                  <c:v>-224.63840009881537</c:v>
                </c:pt>
                <c:pt idx="242">
                  <c:v>-226.02464746336148</c:v>
                </c:pt>
                <c:pt idx="243">
                  <c:v>-227.33517312345467</c:v>
                </c:pt>
                <c:pt idx="244">
                  <c:v>-228.57568396230101</c:v>
                </c:pt>
                <c:pt idx="245">
                  <c:v>-229.75139581845511</c:v>
                </c:pt>
                <c:pt idx="246">
                  <c:v>-230.86707336865345</c:v>
                </c:pt>
                <c:pt idx="247">
                  <c:v>-231.9270686872664</c:v>
                </c:pt>
                <c:pt idx="248">
                  <c:v>-232.93535778182192</c:v>
                </c:pt>
                <c:pt idx="249">
                  <c:v>-233.89557471696637</c:v>
                </c:pt>
                <c:pt idx="250">
                  <c:v>-234.81104315422039</c:v>
                </c:pt>
                <c:pt idx="251">
                  <c:v>-235.68480527900937</c:v>
                </c:pt>
                <c:pt idx="252">
                  <c:v>-236.51964817990336</c:v>
                </c:pt>
                <c:pt idx="253">
                  <c:v>-237.31812780270872</c:v>
                </c:pt>
                <c:pt idx="254">
                  <c:v>-238.0825906348872</c:v>
                </c:pt>
                <c:pt idx="255">
                  <c:v>-238.81519329159678</c:v>
                </c:pt>
                <c:pt idx="256">
                  <c:v>-239.51792017907644</c:v>
                </c:pt>
                <c:pt idx="257">
                  <c:v>-240.19259940811864</c:v>
                </c:pt>
                <c:pt idx="258">
                  <c:v>-240.84091712278678</c:v>
                </c:pt>
                <c:pt idx="259">
                  <c:v>-241.46443039927544</c:v>
                </c:pt>
                <c:pt idx="260">
                  <c:v>-242.06457885820515</c:v>
                </c:pt>
                <c:pt idx="261">
                  <c:v>-242.64269512157534</c:v>
                </c:pt>
                <c:pt idx="262">
                  <c:v>-243.2000142336459</c:v>
                </c:pt>
                <c:pt idx="263">
                  <c:v>-243.73768215354372</c:v>
                </c:pt>
                <c:pt idx="264">
                  <c:v>-244.25676341660539</c:v>
                </c:pt>
                <c:pt idx="265">
                  <c:v>-244.75824805148429</c:v>
                </c:pt>
                <c:pt idx="266">
                  <c:v>-245.24305783090853</c:v>
                </c:pt>
                <c:pt idx="267">
                  <c:v>-245.71205192567746</c:v>
                </c:pt>
                <c:pt idx="268">
                  <c:v>-246.16603202399352</c:v>
                </c:pt>
                <c:pt idx="269">
                  <c:v>-246.60574697150059</c:v>
                </c:pt>
                <c:pt idx="270">
                  <c:v>-247.03189698137942</c:v>
                </c:pt>
                <c:pt idx="271">
                  <c:v>-247.44513745847669</c:v>
                </c:pt>
                <c:pt idx="272">
                  <c:v>-247.84608247666193</c:v>
                </c:pt>
                <c:pt idx="273">
                  <c:v>-248.23530794434589</c:v>
                </c:pt>
                <c:pt idx="274">
                  <c:v>-248.61335448931536</c:v>
                </c:pt>
                <c:pt idx="275">
                  <c:v>-248.98073009067912</c:v>
                </c:pt>
                <c:pt idx="276">
                  <c:v>-249.33791248274076</c:v>
                </c:pt>
                <c:pt idx="277">
                  <c:v>-249.68535135296713</c:v>
                </c:pt>
                <c:pt idx="278">
                  <c:v>-250.02347035387379</c:v>
                </c:pt>
                <c:pt idx="279">
                  <c:v>-250.35266894656502</c:v>
                </c:pt>
                <c:pt idx="280">
                  <c:v>-250.67332409181282</c:v>
                </c:pt>
                <c:pt idx="281">
                  <c:v>-250.98579180291614</c:v>
                </c:pt>
                <c:pt idx="282">
                  <c:v>-251.29040857311702</c:v>
                </c:pt>
                <c:pt idx="283">
                  <c:v>-251.58749268905092</c:v>
                </c:pt>
                <c:pt idx="284">
                  <c:v>-251.87734544054808</c:v>
                </c:pt>
                <c:pt idx="285">
                  <c:v>-252.16025223607141</c:v>
                </c:pt>
                <c:pt idx="286">
                  <c:v>-252.4364836321555</c:v>
                </c:pt>
                <c:pt idx="287">
                  <c:v>-252.70629628438957</c:v>
                </c:pt>
                <c:pt idx="288">
                  <c:v>-252.96993382675251</c:v>
                </c:pt>
                <c:pt idx="289">
                  <c:v>-253.22762768545226</c:v>
                </c:pt>
                <c:pt idx="290">
                  <c:v>-253.4795978328346</c:v>
                </c:pt>
                <c:pt idx="291">
                  <c:v>-253.72605348639883</c:v>
                </c:pt>
                <c:pt idx="292">
                  <c:v>-253.96719375748643</c:v>
                </c:pt>
                <c:pt idx="293">
                  <c:v>-254.20320825378616</c:v>
                </c:pt>
                <c:pt idx="294">
                  <c:v>-254.434277639416</c:v>
                </c:pt>
                <c:pt idx="295">
                  <c:v>-254.66057415600238</c:v>
                </c:pt>
                <c:pt idx="296">
                  <c:v>-254.88226210786769</c:v>
                </c:pt>
                <c:pt idx="297">
                  <c:v>-255.09949831415918</c:v>
                </c:pt>
                <c:pt idx="298">
                  <c:v>-255.31243253050306</c:v>
                </c:pt>
                <c:pt idx="299">
                  <c:v>-255.52120784253987</c:v>
                </c:pt>
                <c:pt idx="300">
                  <c:v>-255.72596103349429</c:v>
                </c:pt>
                <c:pt idx="301">
                  <c:v>-255.92682292774688</c:v>
                </c:pt>
                <c:pt idx="302">
                  <c:v>-256.12391871220791</c:v>
                </c:pt>
                <c:pt idx="303">
                  <c:v>-256.31736823714209</c:v>
                </c:pt>
                <c:pt idx="304">
                  <c:v>-256.50728629795526</c:v>
                </c:pt>
                <c:pt idx="305">
                  <c:v>-256.69378289932888</c:v>
                </c:pt>
                <c:pt idx="306">
                  <c:v>-256.87696350297585</c:v>
                </c:pt>
                <c:pt idx="307">
                  <c:v>-257.05692926018571</c:v>
                </c:pt>
                <c:pt idx="308">
                  <c:v>-257.23377723023583</c:v>
                </c:pt>
                <c:pt idx="309">
                  <c:v>-257.40760058565803</c:v>
                </c:pt>
                <c:pt idx="310">
                  <c:v>-257.57848880527177</c:v>
                </c:pt>
                <c:pt idx="311">
                  <c:v>-257.74652785582555</c:v>
                </c:pt>
                <c:pt idx="312">
                  <c:v>-257.91180036302057</c:v>
                </c:pt>
                <c:pt idx="313">
                  <c:v>-258.07438577263349</c:v>
                </c:pt>
                <c:pt idx="314">
                  <c:v>-258.2343605023994</c:v>
                </c:pt>
                <c:pt idx="315">
                  <c:v>-258.39179808526609</c:v>
                </c:pt>
                <c:pt idx="316">
                  <c:v>-258.54676930458629</c:v>
                </c:pt>
                <c:pt idx="317">
                  <c:v>-258.69934232177093</c:v>
                </c:pt>
                <c:pt idx="318">
                  <c:v>-258.84958279689016</c:v>
                </c:pt>
                <c:pt idx="319">
                  <c:v>-258.99755400267054</c:v>
                </c:pt>
                <c:pt idx="320">
                  <c:v>-259.14331693230815</c:v>
                </c:pt>
                <c:pt idx="321">
                  <c:v>-259.28693040148352</c:v>
                </c:pt>
                <c:pt idx="322">
                  <c:v>-259.42845114494014</c:v>
                </c:pt>
                <c:pt idx="323">
                  <c:v>-259.56793390796122</c:v>
                </c:pt>
                <c:pt idx="324">
                  <c:v>-259.70543153305539</c:v>
                </c:pt>
                <c:pt idx="325">
                  <c:v>-259.84099504214316</c:v>
                </c:pt>
                <c:pt idx="326">
                  <c:v>-259.97467371451307</c:v>
                </c:pt>
                <c:pt idx="327">
                  <c:v>-260.10651516079986</c:v>
                </c:pt>
                <c:pt idx="328">
                  <c:v>-260.23656539321951</c:v>
                </c:pt>
                <c:pt idx="329">
                  <c:v>-260.36486889228036</c:v>
                </c:pt>
                <c:pt idx="330">
                  <c:v>-260.49146867017515</c:v>
                </c:pt>
                <c:pt idx="331">
                  <c:v>-260.61640633104486</c:v>
                </c:pt>
                <c:pt idx="332">
                  <c:v>-260.73972212829295</c:v>
                </c:pt>
                <c:pt idx="333">
                  <c:v>-260.86145501911795</c:v>
                </c:pt>
                <c:pt idx="334">
                  <c:v>-260.98164271641986</c:v>
                </c:pt>
                <c:pt idx="335">
                  <c:v>-261.10032173822719</c:v>
                </c:pt>
                <c:pt idx="336">
                  <c:v>-261.21752745478221</c:v>
                </c:pt>
                <c:pt idx="337">
                  <c:v>-261.33329413341227</c:v>
                </c:pt>
                <c:pt idx="338">
                  <c:v>-261.4476549813084</c:v>
                </c:pt>
                <c:pt idx="339">
                  <c:v>-261.56064218632389</c:v>
                </c:pt>
                <c:pt idx="340">
                  <c:v>-261.67228695589921</c:v>
                </c:pt>
                <c:pt idx="341">
                  <c:v>-261.7826195542134</c:v>
                </c:pt>
                <c:pt idx="342">
                  <c:v>-261.8916693376546</c:v>
                </c:pt>
                <c:pt idx="343">
                  <c:v>-261.99946478869919</c:v>
                </c:pt>
                <c:pt idx="344">
                  <c:v>-262.10603354828095</c:v>
                </c:pt>
                <c:pt idx="345">
                  <c:v>-262.21140244672955</c:v>
                </c:pt>
                <c:pt idx="346">
                  <c:v>-262.31559753335085</c:v>
                </c:pt>
                <c:pt idx="347">
                  <c:v>-262.41864410471845</c:v>
                </c:pt>
                <c:pt idx="348">
                  <c:v>-262.52056673174167</c:v>
                </c:pt>
                <c:pt idx="349">
                  <c:v>-262.62138928557101</c:v>
                </c:pt>
                <c:pt idx="350">
                  <c:v>-262.72113496239979</c:v>
                </c:pt>
                <c:pt idx="351">
                  <c:v>-262.81982630721507</c:v>
                </c:pt>
                <c:pt idx="352">
                  <c:v>-262.91748523655178</c:v>
                </c:pt>
                <c:pt idx="353">
                  <c:v>-263.01413306029576</c:v>
                </c:pt>
                <c:pt idx="354">
                  <c:v>-263.10979050258464</c:v>
                </c:pt>
                <c:pt idx="355">
                  <c:v>-263.20447772184741</c:v>
                </c:pt>
                <c:pt idx="356">
                  <c:v>-263.29821433002604</c:v>
                </c:pt>
                <c:pt idx="357">
                  <c:v>-263.39101941101615</c:v>
                </c:pt>
                <c:pt idx="358">
                  <c:v>-263.48291153836465</c:v>
                </c:pt>
                <c:pt idx="359">
                  <c:v>-263.57390879225875</c:v>
                </c:pt>
                <c:pt idx="360">
                  <c:v>-263.66402877583891</c:v>
                </c:pt>
                <c:pt idx="361">
                  <c:v>-263.75328863086793</c:v>
                </c:pt>
                <c:pt idx="362">
                  <c:v>-263.84170505278439</c:v>
                </c:pt>
                <c:pt idx="363">
                  <c:v>-263.92929430516983</c:v>
                </c:pt>
                <c:pt idx="364">
                  <c:v>-264.01607223365505</c:v>
                </c:pt>
                <c:pt idx="365">
                  <c:v>-264.10205427929156</c:v>
                </c:pt>
                <c:pt idx="366">
                  <c:v>-264.18725549141175</c:v>
                </c:pt>
                <c:pt idx="367">
                  <c:v>-264.27169054000069</c:v>
                </c:pt>
                <c:pt idx="368">
                  <c:v>-264.35537372760024</c:v>
                </c:pt>
                <c:pt idx="369">
                  <c:v>-264.43831900076776</c:v>
                </c:pt>
                <c:pt idx="370">
                  <c:v>-264.52053996110692</c:v>
                </c:pt>
                <c:pt idx="371">
                  <c:v>-264.60204987588992</c:v>
                </c:pt>
                <c:pt idx="372">
                  <c:v>-264.68286168828945</c:v>
                </c:pt>
                <c:pt idx="373">
                  <c:v>-264.76298802723574</c:v>
                </c:pt>
                <c:pt idx="374">
                  <c:v>-264.84244121691506</c:v>
                </c:pt>
                <c:pt idx="375">
                  <c:v>-264.92123328592584</c:v>
                </c:pt>
                <c:pt idx="376">
                  <c:v>-264.99937597610506</c:v>
                </c:pt>
                <c:pt idx="377">
                  <c:v>-265.07688075103994</c:v>
                </c:pt>
                <c:pt idx="378">
                  <c:v>-265.1537588042778</c:v>
                </c:pt>
                <c:pt idx="379">
                  <c:v>-265.23002106724584</c:v>
                </c:pt>
                <c:pt idx="380">
                  <c:v>-265.3056782168934</c:v>
                </c:pt>
                <c:pt idx="381">
                  <c:v>-265.38074068306804</c:v>
                </c:pt>
                <c:pt idx="382">
                  <c:v>-265.45521865563575</c:v>
                </c:pt>
                <c:pt idx="383">
                  <c:v>-265.52912209135593</c:v>
                </c:pt>
                <c:pt idx="384">
                  <c:v>-265.6024607205207</c:v>
                </c:pt>
                <c:pt idx="385">
                  <c:v>-265.67524405336849</c:v>
                </c:pt>
                <c:pt idx="386">
                  <c:v>-265.74748138628001</c:v>
                </c:pt>
                <c:pt idx="387">
                  <c:v>-265.81918180776586</c:v>
                </c:pt>
                <c:pt idx="388">
                  <c:v>-265.89035420425358</c:v>
                </c:pt>
                <c:pt idx="389">
                  <c:v>-265.9610072656821</c:v>
                </c:pt>
                <c:pt idx="390">
                  <c:v>-266.03114949091082</c:v>
                </c:pt>
                <c:pt idx="391">
                  <c:v>-266.10078919295097</c:v>
                </c:pt>
                <c:pt idx="392">
                  <c:v>-266.16993450402504</c:v>
                </c:pt>
                <c:pt idx="393">
                  <c:v>-266.23859338046236</c:v>
                </c:pt>
                <c:pt idx="394">
                  <c:v>-266.30677360743528</c:v>
                </c:pt>
                <c:pt idx="395">
                  <c:v>-266.37448280354357</c:v>
                </c:pt>
                <c:pt idx="396">
                  <c:v>-266.44172842525114</c:v>
                </c:pt>
                <c:pt idx="397">
                  <c:v>-266.50851777118243</c:v>
                </c:pt>
                <c:pt idx="398">
                  <c:v>-266.57485798628159</c:v>
                </c:pt>
                <c:pt idx="399">
                  <c:v>-266.6407560658414</c:v>
                </c:pt>
                <c:pt idx="400">
                  <c:v>-266.70621885940534</c:v>
                </c:pt>
                <c:pt idx="401">
                  <c:v>-266.77125307454833</c:v>
                </c:pt>
                <c:pt idx="402">
                  <c:v>-266.83586528053962</c:v>
                </c:pt>
                <c:pt idx="403">
                  <c:v>-266.90006191189354</c:v>
                </c:pt>
                <c:pt idx="404">
                  <c:v>-266.96384927181009</c:v>
                </c:pt>
                <c:pt idx="405">
                  <c:v>-267.02723353551141</c:v>
                </c:pt>
                <c:pt idx="406">
                  <c:v>-267.09022075347639</c:v>
                </c:pt>
                <c:pt idx="407">
                  <c:v>-267.15281685457734</c:v>
                </c:pt>
                <c:pt idx="408">
                  <c:v>-267.2150276491227</c:v>
                </c:pt>
                <c:pt idx="409">
                  <c:v>-267.27685883180868</c:v>
                </c:pt>
                <c:pt idx="410">
                  <c:v>-267.33831598458232</c:v>
                </c:pt>
                <c:pt idx="411">
                  <c:v>-267.39940457942066</c:v>
                </c:pt>
                <c:pt idx="412">
                  <c:v>-267.46012998102731</c:v>
                </c:pt>
                <c:pt idx="413">
                  <c:v>-267.5204974494502</c:v>
                </c:pt>
                <c:pt idx="414">
                  <c:v>-267.58051214262292</c:v>
                </c:pt>
                <c:pt idx="415">
                  <c:v>-267.64017911883195</c:v>
                </c:pt>
                <c:pt idx="416">
                  <c:v>-267.69950333911294</c:v>
                </c:pt>
                <c:pt idx="417">
                  <c:v>-267.75848966957767</c:v>
                </c:pt>
                <c:pt idx="418">
                  <c:v>-267.81714288367499</c:v>
                </c:pt>
                <c:pt idx="419">
                  <c:v>-267.87546766438658</c:v>
                </c:pt>
                <c:pt idx="420">
                  <c:v>-267.93346860636092</c:v>
                </c:pt>
                <c:pt idx="421">
                  <c:v>-267.99115021798707</c:v>
                </c:pt>
                <c:pt idx="422">
                  <c:v>-268.04851692341003</c:v>
                </c:pt>
                <c:pt idx="423">
                  <c:v>-268.10557306448959</c:v>
                </c:pt>
                <c:pt idx="424">
                  <c:v>-268.16232290270523</c:v>
                </c:pt>
                <c:pt idx="425">
                  <c:v>-268.21877062100776</c:v>
                </c:pt>
                <c:pt idx="426">
                  <c:v>-268.27492032561997</c:v>
                </c:pt>
                <c:pt idx="427">
                  <c:v>-268.33077604778828</c:v>
                </c:pt>
                <c:pt idx="428">
                  <c:v>-268.38634174548611</c:v>
                </c:pt>
                <c:pt idx="429">
                  <c:v>-268.44162130507084</c:v>
                </c:pt>
                <c:pt idx="430">
                  <c:v>-268.49661854289684</c:v>
                </c:pt>
                <c:pt idx="431">
                  <c:v>-268.55133720688377</c:v>
                </c:pt>
                <c:pt idx="432">
                  <c:v>-268.6057809780437</c:v>
                </c:pt>
                <c:pt idx="433">
                  <c:v>-268.65995347196713</c:v>
                </c:pt>
                <c:pt idx="434">
                  <c:v>-268.71385824026981</c:v>
                </c:pt>
                <c:pt idx="435">
                  <c:v>-268.76749877200069</c:v>
                </c:pt>
                <c:pt idx="436">
                  <c:v>-268.82087849501346</c:v>
                </c:pt>
                <c:pt idx="437">
                  <c:v>-268.87400077730172</c:v>
                </c:pt>
                <c:pt idx="438">
                  <c:v>-268.92686892829931</c:v>
                </c:pt>
                <c:pt idx="439">
                  <c:v>-268.97948620014694</c:v>
                </c:pt>
                <c:pt idx="440">
                  <c:v>-269.03185578892607</c:v>
                </c:pt>
                <c:pt idx="441">
                  <c:v>-269.08398083586093</c:v>
                </c:pt>
                <c:pt idx="442">
                  <c:v>-269.13586442848964</c:v>
                </c:pt>
                <c:pt idx="443">
                  <c:v>-269.18750960180535</c:v>
                </c:pt>
                <c:pt idx="444">
                  <c:v>-269.23891933936881</c:v>
                </c:pt>
                <c:pt idx="445">
                  <c:v>-269.29009657439201</c:v>
                </c:pt>
                <c:pt idx="446">
                  <c:v>-269.34104419079517</c:v>
                </c:pt>
                <c:pt idx="447">
                  <c:v>-269.39176502423686</c:v>
                </c:pt>
                <c:pt idx="448">
                  <c:v>-269.44226186311835</c:v>
                </c:pt>
                <c:pt idx="449">
                  <c:v>-269.49253744956286</c:v>
                </c:pt>
                <c:pt idx="450">
                  <c:v>-269.54259448037112</c:v>
                </c:pt>
                <c:pt idx="451">
                  <c:v>-269.59243560795227</c:v>
                </c:pt>
                <c:pt idx="452">
                  <c:v>-269.64206344123295</c:v>
                </c:pt>
                <c:pt idx="453">
                  <c:v>-269.6914805465434</c:v>
                </c:pt>
                <c:pt idx="454">
                  <c:v>-269.74068944848216</c:v>
                </c:pt>
                <c:pt idx="455">
                  <c:v>-269.78969263075999</c:v>
                </c:pt>
                <c:pt idx="456">
                  <c:v>-269.83849253702294</c:v>
                </c:pt>
                <c:pt idx="457">
                  <c:v>-269.8870915716559</c:v>
                </c:pt>
                <c:pt idx="458">
                  <c:v>-269.93549210056688</c:v>
                </c:pt>
                <c:pt idx="459">
                  <c:v>-269.98369645195226</c:v>
                </c:pt>
                <c:pt idx="460">
                  <c:v>-270.03170691704395</c:v>
                </c:pt>
                <c:pt idx="461">
                  <c:v>-270.07952575083931</c:v>
                </c:pt>
                <c:pt idx="462">
                  <c:v>-270.12715517281293</c:v>
                </c:pt>
                <c:pt idx="463">
                  <c:v>-270.17459736761231</c:v>
                </c:pt>
                <c:pt idx="464">
                  <c:v>-270.22185448573714</c:v>
                </c:pt>
                <c:pt idx="465">
                  <c:v>-270.2689286442025</c:v>
                </c:pt>
                <c:pt idx="466">
                  <c:v>-270.31582192718702</c:v>
                </c:pt>
                <c:pt idx="467">
                  <c:v>-270.36253638666557</c:v>
                </c:pt>
                <c:pt idx="468">
                  <c:v>-270.40907404302777</c:v>
                </c:pt>
                <c:pt idx="469">
                  <c:v>-270.45543688568188</c:v>
                </c:pt>
                <c:pt idx="470">
                  <c:v>-270.50162687364542</c:v>
                </c:pt>
                <c:pt idx="471">
                  <c:v>-270.54764593612168</c:v>
                </c:pt>
                <c:pt idx="472">
                  <c:v>-270.59349597306368</c:v>
                </c:pt>
                <c:pt idx="473">
                  <c:v>-270.63917885572499</c:v>
                </c:pt>
                <c:pt idx="474">
                  <c:v>-270.68469642719833</c:v>
                </c:pt>
                <c:pt idx="475">
                  <c:v>-270.73005050294199</c:v>
                </c:pt>
                <c:pt idx="476">
                  <c:v>-270.77524287129461</c:v>
                </c:pt>
                <c:pt idx="477">
                  <c:v>-270.82027529397828</c:v>
                </c:pt>
                <c:pt idx="478">
                  <c:v>-270.86514950659057</c:v>
                </c:pt>
                <c:pt idx="479">
                  <c:v>-270.90986721908575</c:v>
                </c:pt>
                <c:pt idx="480">
                  <c:v>-270.95443011624531</c:v>
                </c:pt>
                <c:pt idx="481">
                  <c:v>-270.99883985813796</c:v>
                </c:pt>
                <c:pt idx="482">
                  <c:v>-271.04309808057008</c:v>
                </c:pt>
                <c:pt idx="483">
                  <c:v>-271.08720639552581</c:v>
                </c:pt>
                <c:pt idx="484">
                  <c:v>-271.13116639159801</c:v>
                </c:pt>
                <c:pt idx="485">
                  <c:v>-271.1749796344094</c:v>
                </c:pt>
                <c:pt idx="486">
                  <c:v>-271.21864766702527</c:v>
                </c:pt>
                <c:pt idx="487">
                  <c:v>-271.26217201035649</c:v>
                </c:pt>
                <c:pt idx="488">
                  <c:v>-271.30555416355503</c:v>
                </c:pt>
                <c:pt idx="489">
                  <c:v>-271.34879560439964</c:v>
                </c:pt>
                <c:pt idx="490">
                  <c:v>-271.39189778967472</c:v>
                </c:pt>
                <c:pt idx="491">
                  <c:v>-271.43486215553992</c:v>
                </c:pt>
                <c:pt idx="492">
                  <c:v>-271.47769011789319</c:v>
                </c:pt>
                <c:pt idx="493">
                  <c:v>-271.52038307272494</c:v>
                </c:pt>
                <c:pt idx="494">
                  <c:v>-271.5629423964657</c:v>
                </c:pt>
                <c:pt idx="495">
                  <c:v>-271.60536944632616</c:v>
                </c:pt>
                <c:pt idx="496">
                  <c:v>-271.64766556063012</c:v>
                </c:pt>
                <c:pt idx="497">
                  <c:v>-271.68983205914077</c:v>
                </c:pt>
                <c:pt idx="498">
                  <c:v>-271.7318702433796</c:v>
                </c:pt>
                <c:pt idx="499">
                  <c:v>-271.77378139693974</c:v>
                </c:pt>
                <c:pt idx="500">
                  <c:v>-271.81556678579199</c:v>
                </c:pt>
                <c:pt idx="501">
                  <c:v>-271.85722765858497</c:v>
                </c:pt>
                <c:pt idx="502">
                  <c:v>-271.89876524693926</c:v>
                </c:pt>
                <c:pt idx="503">
                  <c:v>-271.94018076573514</c:v>
                </c:pt>
                <c:pt idx="504">
                  <c:v>-271.981475413395</c:v>
                </c:pt>
                <c:pt idx="505">
                  <c:v>-272.02265037215977</c:v>
                </c:pt>
                <c:pt idx="506">
                  <c:v>-272.0637068083596</c:v>
                </c:pt>
                <c:pt idx="507">
                  <c:v>-272.10464587268001</c:v>
                </c:pt>
                <c:pt idx="508">
                  <c:v>-272.14546870042125</c:v>
                </c:pt>
                <c:pt idx="509">
                  <c:v>-272.18617641175405</c:v>
                </c:pt>
                <c:pt idx="510">
                  <c:v>-272.22677011196907</c:v>
                </c:pt>
                <c:pt idx="511">
                  <c:v>-272.2672508917222</c:v>
                </c:pt>
                <c:pt idx="512">
                  <c:v>-272.30761982727466</c:v>
                </c:pt>
                <c:pt idx="513">
                  <c:v>-272.34787798072841</c:v>
                </c:pt>
                <c:pt idx="514">
                  <c:v>-272.38802640025727</c:v>
                </c:pt>
                <c:pt idx="515">
                  <c:v>-272.42806612033274</c:v>
                </c:pt>
                <c:pt idx="516">
                  <c:v>-272.46799816194664</c:v>
                </c:pt>
                <c:pt idx="517">
                  <c:v>-272.5078235328283</c:v>
                </c:pt>
                <c:pt idx="518">
                  <c:v>-272.54754322765808</c:v>
                </c:pt>
                <c:pt idx="519">
                  <c:v>-272.58715822827673</c:v>
                </c:pt>
                <c:pt idx="520">
                  <c:v>-272.62666950389087</c:v>
                </c:pt>
                <c:pt idx="521">
                  <c:v>-272.66607801127407</c:v>
                </c:pt>
                <c:pt idx="522">
                  <c:v>-272.70538469496466</c:v>
                </c:pt>
                <c:pt idx="523">
                  <c:v>-272.74459048745939</c:v>
                </c:pt>
                <c:pt idx="524">
                  <c:v>-272.78369630940358</c:v>
                </c:pt>
                <c:pt idx="525">
                  <c:v>-272.82270306977762</c:v>
                </c:pt>
                <c:pt idx="526">
                  <c:v>-272.86161166607991</c:v>
                </c:pt>
                <c:pt idx="527">
                  <c:v>-272.90042298450675</c:v>
                </c:pt>
                <c:pt idx="528">
                  <c:v>-272.93913790012812</c:v>
                </c:pt>
                <c:pt idx="529">
                  <c:v>-272.97775727706085</c:v>
                </c:pt>
                <c:pt idx="530">
                  <c:v>-273.01628196863828</c:v>
                </c:pt>
                <c:pt idx="531">
                  <c:v>-273.05471281757696</c:v>
                </c:pt>
                <c:pt idx="532">
                  <c:v>-273.09305065613978</c:v>
                </c:pt>
                <c:pt idx="533">
                  <c:v>-273.13129630629692</c:v>
                </c:pt>
                <c:pt idx="534">
                  <c:v>-273.16945057988295</c:v>
                </c:pt>
                <c:pt idx="535">
                  <c:v>-273.2075142787516</c:v>
                </c:pt>
                <c:pt idx="536">
                  <c:v>-273.24548819492782</c:v>
                </c:pt>
                <c:pt idx="537">
                  <c:v>-273.28337311075637</c:v>
                </c:pt>
                <c:pt idx="538">
                  <c:v>-273.32116979904868</c:v>
                </c:pt>
                <c:pt idx="539">
                  <c:v>-273.35887902322611</c:v>
                </c:pt>
                <c:pt idx="540">
                  <c:v>-273.39650153746123</c:v>
                </c:pt>
                <c:pt idx="541">
                  <c:v>-273.4340380868166</c:v>
                </c:pt>
                <c:pt idx="542">
                  <c:v>-273.47148940738049</c:v>
                </c:pt>
                <c:pt idx="543">
                  <c:v>-273.50885622640067</c:v>
                </c:pt>
                <c:pt idx="544">
                  <c:v>-273.54613926241592</c:v>
                </c:pt>
                <c:pt idx="545">
                  <c:v>-273.58333922538452</c:v>
                </c:pt>
                <c:pt idx="546">
                  <c:v>-273.62045681681133</c:v>
                </c:pt>
                <c:pt idx="547">
                  <c:v>-273.65749272987199</c:v>
                </c:pt>
                <c:pt idx="548">
                  <c:v>-273.69444764953505</c:v>
                </c:pt>
                <c:pt idx="549">
                  <c:v>-273.7313222526825</c:v>
                </c:pt>
                <c:pt idx="550">
                  <c:v>-273.76811720822707</c:v>
                </c:pt>
                <c:pt idx="551">
                  <c:v>-273.80483317722872</c:v>
                </c:pt>
                <c:pt idx="552">
                  <c:v>-273.84147081300841</c:v>
                </c:pt>
                <c:pt idx="553">
                  <c:v>-273.87803076125977</c:v>
                </c:pt>
                <c:pt idx="554">
                  <c:v>-273.9145136601594</c:v>
                </c:pt>
                <c:pt idx="555">
                  <c:v>-273.95092014047481</c:v>
                </c:pt>
                <c:pt idx="556">
                  <c:v>-273.98725082567063</c:v>
                </c:pt>
                <c:pt idx="557">
                  <c:v>-274.02350633201314</c:v>
                </c:pt>
                <c:pt idx="558">
                  <c:v>-274.05968726867286</c:v>
                </c:pt>
                <c:pt idx="559">
                  <c:v>-274.09579423782526</c:v>
                </c:pt>
                <c:pt idx="560">
                  <c:v>-274.13182783475014</c:v>
                </c:pt>
                <c:pt idx="561">
                  <c:v>-274.16778864792894</c:v>
                </c:pt>
                <c:pt idx="562">
                  <c:v>-274.2036772591407</c:v>
                </c:pt>
                <c:pt idx="563">
                  <c:v>-274.23949424355618</c:v>
                </c:pt>
                <c:pt idx="564">
                  <c:v>-274.27524016983057</c:v>
                </c:pt>
                <c:pt idx="565">
                  <c:v>-274.31091560019445</c:v>
                </c:pt>
                <c:pt idx="566">
                  <c:v>-274.34652109054343</c:v>
                </c:pt>
                <c:pt idx="567">
                  <c:v>-274.38205719052615</c:v>
                </c:pt>
                <c:pt idx="568">
                  <c:v>-274.41752444363101</c:v>
                </c:pt>
                <c:pt idx="569">
                  <c:v>-274.45292338727108</c:v>
                </c:pt>
                <c:pt idx="570">
                  <c:v>-274.48825455286823</c:v>
                </c:pt>
                <c:pt idx="571">
                  <c:v>-274.5235184659349</c:v>
                </c:pt>
                <c:pt idx="572">
                  <c:v>-274.55871564615586</c:v>
                </c:pt>
                <c:pt idx="573">
                  <c:v>-274.59384660746724</c:v>
                </c:pt>
                <c:pt idx="574">
                  <c:v>-274.62891185813538</c:v>
                </c:pt>
                <c:pt idx="575">
                  <c:v>-274.66391190083363</c:v>
                </c:pt>
                <c:pt idx="576">
                  <c:v>-274.69884723271838</c:v>
                </c:pt>
                <c:pt idx="577">
                  <c:v>-274.73371834550352</c:v>
                </c:pt>
                <c:pt idx="578">
                  <c:v>-274.76852572553412</c:v>
                </c:pt>
                <c:pt idx="579">
                  <c:v>-274.80326985385835</c:v>
                </c:pt>
                <c:pt idx="580">
                  <c:v>-274.83795120629873</c:v>
                </c:pt>
                <c:pt idx="581">
                  <c:v>-274.87257025352193</c:v>
                </c:pt>
                <c:pt idx="582">
                  <c:v>-274.90712746110785</c:v>
                </c:pt>
                <c:pt idx="583">
                  <c:v>-274.94162328961693</c:v>
                </c:pt>
                <c:pt idx="584">
                  <c:v>-274.97605819465713</c:v>
                </c:pt>
                <c:pt idx="585">
                  <c:v>-275.01043262694935</c:v>
                </c:pt>
                <c:pt idx="586">
                  <c:v>-275.0447470323918</c:v>
                </c:pt>
                <c:pt idx="587">
                  <c:v>-275.07900185212401</c:v>
                </c:pt>
                <c:pt idx="588">
                  <c:v>-275.11319752258873</c:v>
                </c:pt>
                <c:pt idx="589">
                  <c:v>-275.14733447559399</c:v>
                </c:pt>
                <c:pt idx="590">
                  <c:v>-275.18141313837327</c:v>
                </c:pt>
                <c:pt idx="591">
                  <c:v>-275.21543393364533</c:v>
                </c:pt>
                <c:pt idx="592">
                  <c:v>-275.24939727967302</c:v>
                </c:pt>
                <c:pt idx="593">
                  <c:v>-275.28330359032083</c:v>
                </c:pt>
                <c:pt idx="594">
                  <c:v>-275.31715327511171</c:v>
                </c:pt>
                <c:pt idx="595">
                  <c:v>-275.35094673928342</c:v>
                </c:pt>
                <c:pt idx="596">
                  <c:v>-275.38468438384342</c:v>
                </c:pt>
                <c:pt idx="597">
                  <c:v>-275.41836660562319</c:v>
                </c:pt>
                <c:pt idx="598">
                  <c:v>-275.4519937973318</c:v>
                </c:pt>
                <c:pt idx="599">
                  <c:v>-275.48556634760837</c:v>
                </c:pt>
                <c:pt idx="600">
                  <c:v>-275.51908464107407</c:v>
                </c:pt>
                <c:pt idx="601">
                  <c:v>-275.55254905838314</c:v>
                </c:pt>
                <c:pt idx="602">
                  <c:v>-275.5859599762731</c:v>
                </c:pt>
                <c:pt idx="603">
                  <c:v>-275.61931776761435</c:v>
                </c:pt>
                <c:pt idx="604">
                  <c:v>-275.65262280145885</c:v>
                </c:pt>
                <c:pt idx="605">
                  <c:v>-275.68587544308821</c:v>
                </c:pt>
                <c:pt idx="606">
                  <c:v>-277.28880936540423</c:v>
                </c:pt>
                <c:pt idx="607">
                  <c:v>-278.79609382502713</c:v>
                </c:pt>
                <c:pt idx="608">
                  <c:v>-280.23056396544848</c:v>
                </c:pt>
                <c:pt idx="609">
                  <c:v>-281.60719362942206</c:v>
                </c:pt>
                <c:pt idx="610">
                  <c:v>-282.93614537976305</c:v>
                </c:pt>
                <c:pt idx="611">
                  <c:v>-284.22451100911996</c:v>
                </c:pt>
                <c:pt idx="612">
                  <c:v>-285.47735478600794</c:v>
                </c:pt>
                <c:pt idx="613">
                  <c:v>-286.69836487472918</c:v>
                </c:pt>
                <c:pt idx="614">
                  <c:v>-287.89027436151696</c:v>
                </c:pt>
                <c:pt idx="615">
                  <c:v>-289.05514146298572</c:v>
                </c:pt>
                <c:pt idx="616">
                  <c:v>-290.19454073547706</c:v>
                </c:pt>
                <c:pt idx="617">
                  <c:v>-291.30969636483292</c:v>
                </c:pt>
                <c:pt idx="618">
                  <c:v>-291.76548984789889</c:v>
                </c:pt>
                <c:pt idx="619">
                  <c:v>-292.21714434554133</c:v>
                </c:pt>
                <c:pt idx="620">
                  <c:v>-292.66473680581169</c:v>
                </c:pt>
                <c:pt idx="621">
                  <c:v>-293.10833822902714</c:v>
                </c:pt>
                <c:pt idx="622">
                  <c:v>-293.54801430372629</c:v>
                </c:pt>
                <c:pt idx="623">
                  <c:v>-293.98382597181705</c:v>
                </c:pt>
                <c:pt idx="624">
                  <c:v>-294.41582993156413</c:v>
                </c:pt>
                <c:pt idx="625">
                  <c:v>-294.8440790858765</c:v>
                </c:pt>
                <c:pt idx="626">
                  <c:v>-295.26862294235451</c:v>
                </c:pt>
                <c:pt idx="627">
                  <c:v>-295.68950797069971</c:v>
                </c:pt>
                <c:pt idx="628">
                  <c:v>-296.10677792236271</c:v>
                </c:pt>
                <c:pt idx="629">
                  <c:v>-296.5204741166832</c:v>
                </c:pt>
                <c:pt idx="630">
                  <c:v>-296.93063569724086</c:v>
                </c:pt>
                <c:pt idx="631">
                  <c:v>-297.33729986167612</c:v>
                </c:pt>
                <c:pt idx="632">
                  <c:v>-297.7405020678458</c:v>
                </c:pt>
                <c:pt idx="633">
                  <c:v>-298.14027621883508</c:v>
                </c:pt>
                <c:pt idx="634">
                  <c:v>-298.53665482904995</c:v>
                </c:pt>
                <c:pt idx="635">
                  <c:v>-298.92966917335934</c:v>
                </c:pt>
                <c:pt idx="636">
                  <c:v>-299.31934942102851</c:v>
                </c:pt>
                <c:pt idx="637">
                  <c:v>-299.70572475599283</c:v>
                </c:pt>
                <c:pt idx="638">
                  <c:v>-300.08882348484758</c:v>
                </c:pt>
                <c:pt idx="639">
                  <c:v>-300.46867313378027</c:v>
                </c:pt>
                <c:pt idx="640">
                  <c:v>-300.84530053554056</c:v>
                </c:pt>
                <c:pt idx="641">
                  <c:v>-301.21873190742645</c:v>
                </c:pt>
                <c:pt idx="642">
                  <c:v>-301.58899292116257</c:v>
                </c:pt>
                <c:pt idx="643">
                  <c:v>-301.95610876545788</c:v>
                </c:pt>
                <c:pt idx="644">
                  <c:v>-302.32010420194717</c:v>
                </c:pt>
                <c:pt idx="645">
                  <c:v>-302.68100361515275</c:v>
                </c:pt>
                <c:pt idx="646">
                  <c:v>-303.03883105703767</c:v>
                </c:pt>
                <c:pt idx="647">
                  <c:v>-303.3936102866661</c:v>
                </c:pt>
                <c:pt idx="648">
                  <c:v>-303.74536480543657</c:v>
                </c:pt>
                <c:pt idx="649">
                  <c:v>-304.09411788830903</c:v>
                </c:pt>
                <c:pt idx="650">
                  <c:v>-304.43989261140644</c:v>
                </c:pt>
                <c:pt idx="651">
                  <c:v>-304.78271187633578</c:v>
                </c:pt>
                <c:pt idx="652">
                  <c:v>-305.12259843154089</c:v>
                </c:pt>
                <c:pt idx="653">
                  <c:v>-305.45957489097145</c:v>
                </c:pt>
                <c:pt idx="654">
                  <c:v>-305.79366375032453</c:v>
                </c:pt>
                <c:pt idx="655">
                  <c:v>-306.12488740109416</c:v>
                </c:pt>
                <c:pt idx="656">
                  <c:v>-306.45326814264064</c:v>
                </c:pt>
                <c:pt idx="657">
                  <c:v>-306.77882819247338</c:v>
                </c:pt>
                <c:pt idx="658">
                  <c:v>-307.1015896949242</c:v>
                </c:pt>
                <c:pt idx="659">
                  <c:v>-307.42157472837016</c:v>
                </c:pt>
                <c:pt idx="660">
                  <c:v>-307.7388053111539</c:v>
                </c:pt>
                <c:pt idx="661">
                  <c:v>-308.05330340633276</c:v>
                </c:pt>
                <c:pt idx="662">
                  <c:v>-308.36509092537983</c:v>
                </c:pt>
                <c:pt idx="663">
                  <c:v>-308.67418973094607</c:v>
                </c:pt>
                <c:pt idx="664">
                  <c:v>-308.98062163878569</c:v>
                </c:pt>
                <c:pt idx="665">
                  <c:v>-309.28440841893536</c:v>
                </c:pt>
                <c:pt idx="666">
                  <c:v>-309.58557179623244</c:v>
                </c:pt>
                <c:pt idx="667">
                  <c:v>-309.88413345024765</c:v>
                </c:pt>
              </c:numCache>
            </c:numRef>
          </c:yVal>
          <c:smooth val="0"/>
          <c:extLst>
            <c:ext xmlns:c16="http://schemas.microsoft.com/office/drawing/2014/chart" uri="{C3380CC4-5D6E-409C-BE32-E72D297353CC}">
              <c16:uniqueId val="{00000002-2A10-41EA-A3AE-967165122F16}"/>
            </c:ext>
          </c:extLst>
        </c:ser>
        <c:ser>
          <c:idx val="1"/>
          <c:order val="3"/>
          <c:tx>
            <c:v>Measured Phase</c:v>
          </c:tx>
          <c:spPr>
            <a:ln w="12700">
              <a:solidFill>
                <a:srgbClr val="FF00FF"/>
              </a:solidFill>
              <a:prstDash val="solid"/>
            </a:ln>
          </c:spPr>
          <c:marker>
            <c:symbol val="square"/>
            <c:size val="5"/>
            <c:spPr>
              <a:solidFill>
                <a:srgbClr val="FF00FF"/>
              </a:solidFill>
              <a:ln>
                <a:solidFill>
                  <a:srgbClr val="FF00FF"/>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Calculations'!$BV$10:$BV$409</c:f>
              <c:numCache>
                <c:formatCode>#0.0#</c:formatCode>
                <c:ptCount val="400"/>
                <c:pt idx="0">
                  <c:v>-267.66769999999997</c:v>
                </c:pt>
                <c:pt idx="1">
                  <c:v>-265.91489999999999</c:v>
                </c:pt>
                <c:pt idx="2">
                  <c:v>-264.93219999999997</c:v>
                </c:pt>
                <c:pt idx="3">
                  <c:v>-262.3057</c:v>
                </c:pt>
                <c:pt idx="4">
                  <c:v>-262.76620000000003</c:v>
                </c:pt>
                <c:pt idx="5">
                  <c:v>-267.01279999999997</c:v>
                </c:pt>
                <c:pt idx="6">
                  <c:v>-266.20479999999998</c:v>
                </c:pt>
                <c:pt idx="7">
                  <c:v>-264.9049</c:v>
                </c:pt>
                <c:pt idx="8">
                  <c:v>-269.98079999999999</c:v>
                </c:pt>
                <c:pt idx="9">
                  <c:v>-265.73410000000001</c:v>
                </c:pt>
                <c:pt idx="10">
                  <c:v>-266.37110000000001</c:v>
                </c:pt>
                <c:pt idx="11">
                  <c:v>-268.05959999999999</c:v>
                </c:pt>
                <c:pt idx="12">
                  <c:v>-263.3605</c:v>
                </c:pt>
                <c:pt idx="13">
                  <c:v>-269.46539999999999</c:v>
                </c:pt>
                <c:pt idx="14">
                  <c:v>-267.95069999999998</c:v>
                </c:pt>
                <c:pt idx="15">
                  <c:v>-263.11430000000001</c:v>
                </c:pt>
                <c:pt idx="16">
                  <c:v>-266.2885</c:v>
                </c:pt>
                <c:pt idx="17">
                  <c:v>-266.34629999999999</c:v>
                </c:pt>
                <c:pt idx="18">
                  <c:v>-267.0283</c:v>
                </c:pt>
                <c:pt idx="19">
                  <c:v>-260.69729999999998</c:v>
                </c:pt>
                <c:pt idx="20">
                  <c:v>-259.86900000000003</c:v>
                </c:pt>
                <c:pt idx="21">
                  <c:v>-262.39859999999999</c:v>
                </c:pt>
                <c:pt idx="22">
                  <c:v>-264.8295</c:v>
                </c:pt>
                <c:pt idx="23">
                  <c:v>-267.72770000000003</c:v>
                </c:pt>
                <c:pt idx="24">
                  <c:v>-269.952</c:v>
                </c:pt>
                <c:pt idx="25">
                  <c:v>-271.56010000000003</c:v>
                </c:pt>
                <c:pt idx="26">
                  <c:v>-268.84590000000003</c:v>
                </c:pt>
                <c:pt idx="27">
                  <c:v>-265.37959999999998</c:v>
                </c:pt>
                <c:pt idx="28">
                  <c:v>-265.89449999999999</c:v>
                </c:pt>
                <c:pt idx="29">
                  <c:v>-265.6327</c:v>
                </c:pt>
                <c:pt idx="30">
                  <c:v>-267.80150000000003</c:v>
                </c:pt>
                <c:pt idx="31">
                  <c:v>-264.16840000000002</c:v>
                </c:pt>
                <c:pt idx="32">
                  <c:v>-267.69110000000001</c:v>
                </c:pt>
                <c:pt idx="33">
                  <c:v>-266.9667</c:v>
                </c:pt>
                <c:pt idx="34">
                  <c:v>-263.5369</c:v>
                </c:pt>
                <c:pt idx="35">
                  <c:v>-265.19450000000001</c:v>
                </c:pt>
                <c:pt idx="36">
                  <c:v>-266.75440000000003</c:v>
                </c:pt>
                <c:pt idx="37">
                  <c:v>-266.76120000000003</c:v>
                </c:pt>
                <c:pt idx="38">
                  <c:v>-267.59569999999997</c:v>
                </c:pt>
                <c:pt idx="39">
                  <c:v>-266.80959999999999</c:v>
                </c:pt>
                <c:pt idx="40">
                  <c:v>-265.9205</c:v>
                </c:pt>
                <c:pt idx="41">
                  <c:v>-267.60309999999998</c:v>
                </c:pt>
                <c:pt idx="42">
                  <c:v>-267.3229</c:v>
                </c:pt>
                <c:pt idx="43">
                  <c:v>-265.67700000000002</c:v>
                </c:pt>
                <c:pt idx="44">
                  <c:v>-266.46569999999997</c:v>
                </c:pt>
                <c:pt idx="45">
                  <c:v>-266.67570000000001</c:v>
                </c:pt>
                <c:pt idx="46">
                  <c:v>-268.05989999999997</c:v>
                </c:pt>
                <c:pt idx="47">
                  <c:v>-265.88</c:v>
                </c:pt>
                <c:pt idx="48">
                  <c:v>-267.13580000000002</c:v>
                </c:pt>
                <c:pt idx="49">
                  <c:v>-265.03610000000003</c:v>
                </c:pt>
                <c:pt idx="50">
                  <c:v>-265.21839999999997</c:v>
                </c:pt>
                <c:pt idx="51">
                  <c:v>-266.99490000000003</c:v>
                </c:pt>
                <c:pt idx="52">
                  <c:v>-265.09339999999997</c:v>
                </c:pt>
                <c:pt idx="53">
                  <c:v>-266.42009999999999</c:v>
                </c:pt>
                <c:pt idx="54">
                  <c:v>-265.87940000000003</c:v>
                </c:pt>
                <c:pt idx="55">
                  <c:v>-265.95490000000001</c:v>
                </c:pt>
                <c:pt idx="56">
                  <c:v>-265.39159999999998</c:v>
                </c:pt>
                <c:pt idx="57">
                  <c:v>-265.2439</c:v>
                </c:pt>
                <c:pt idx="58">
                  <c:v>-265.49869999999999</c:v>
                </c:pt>
                <c:pt idx="59">
                  <c:v>-266.06720000000001</c:v>
                </c:pt>
                <c:pt idx="60">
                  <c:v>-265.2319</c:v>
                </c:pt>
                <c:pt idx="61">
                  <c:v>-265.7319</c:v>
                </c:pt>
                <c:pt idx="62">
                  <c:v>-265.24939999999998</c:v>
                </c:pt>
                <c:pt idx="63">
                  <c:v>-265.14060000000001</c:v>
                </c:pt>
                <c:pt idx="64">
                  <c:v>-264.9151</c:v>
                </c:pt>
                <c:pt idx="65">
                  <c:v>-265.3082</c:v>
                </c:pt>
                <c:pt idx="66">
                  <c:v>-265.65139999999997</c:v>
                </c:pt>
                <c:pt idx="67">
                  <c:v>-265.05009999999999</c:v>
                </c:pt>
                <c:pt idx="68">
                  <c:v>-264.35129999999998</c:v>
                </c:pt>
                <c:pt idx="69">
                  <c:v>-263.91079999999999</c:v>
                </c:pt>
                <c:pt idx="70">
                  <c:v>-264.7826</c:v>
                </c:pt>
                <c:pt idx="71">
                  <c:v>-265.04300000000001</c:v>
                </c:pt>
                <c:pt idx="72">
                  <c:v>-263.95569999999998</c:v>
                </c:pt>
                <c:pt idx="73">
                  <c:v>-264.56819999999999</c:v>
                </c:pt>
                <c:pt idx="74">
                  <c:v>-264.47620000000001</c:v>
                </c:pt>
                <c:pt idx="75">
                  <c:v>-264.60399999999998</c:v>
                </c:pt>
                <c:pt idx="76">
                  <c:v>-264.9076</c:v>
                </c:pt>
                <c:pt idx="77">
                  <c:v>-263.88170000000002</c:v>
                </c:pt>
                <c:pt idx="78">
                  <c:v>-264.00260000000003</c:v>
                </c:pt>
                <c:pt idx="79">
                  <c:v>-264.13310000000001</c:v>
                </c:pt>
                <c:pt idx="80">
                  <c:v>-263.74850000000004</c:v>
                </c:pt>
                <c:pt idx="81">
                  <c:v>-263.7636</c:v>
                </c:pt>
                <c:pt idx="82">
                  <c:v>-263.60980000000001</c:v>
                </c:pt>
                <c:pt idx="83">
                  <c:v>-263.3252</c:v>
                </c:pt>
                <c:pt idx="84">
                  <c:v>-263.57819999999998</c:v>
                </c:pt>
                <c:pt idx="85">
                  <c:v>-262.84989999999999</c:v>
                </c:pt>
                <c:pt idx="86">
                  <c:v>-262.81690000000003</c:v>
                </c:pt>
                <c:pt idx="87">
                  <c:v>-262.19720000000001</c:v>
                </c:pt>
                <c:pt idx="88">
                  <c:v>-262.56690000000003</c:v>
                </c:pt>
                <c:pt idx="89">
                  <c:v>-262.71769999999998</c:v>
                </c:pt>
                <c:pt idx="90">
                  <c:v>-262.79380000000003</c:v>
                </c:pt>
                <c:pt idx="91">
                  <c:v>-262.23689999999999</c:v>
                </c:pt>
                <c:pt idx="92">
                  <c:v>-262.34320000000002</c:v>
                </c:pt>
                <c:pt idx="93">
                  <c:v>-262.197</c:v>
                </c:pt>
                <c:pt idx="94">
                  <c:v>-261.76800000000003</c:v>
                </c:pt>
                <c:pt idx="95">
                  <c:v>-261.38310000000001</c:v>
                </c:pt>
                <c:pt idx="96">
                  <c:v>-261.74869999999999</c:v>
                </c:pt>
                <c:pt idx="97">
                  <c:v>-261.20730000000003</c:v>
                </c:pt>
                <c:pt idx="98">
                  <c:v>-261.26609999999999</c:v>
                </c:pt>
                <c:pt idx="99">
                  <c:v>-260.93240000000003</c:v>
                </c:pt>
                <c:pt idx="100">
                  <c:v>-260.5154</c:v>
                </c:pt>
                <c:pt idx="101">
                  <c:v>-261.12389999999999</c:v>
                </c:pt>
                <c:pt idx="102">
                  <c:v>-260.40769999999998</c:v>
                </c:pt>
                <c:pt idx="103">
                  <c:v>-260.5301</c:v>
                </c:pt>
                <c:pt idx="104">
                  <c:v>-260.5471</c:v>
                </c:pt>
                <c:pt idx="105">
                  <c:v>-259.93099999999998</c:v>
                </c:pt>
                <c:pt idx="106">
                  <c:v>-259.94799999999998</c:v>
                </c:pt>
                <c:pt idx="107">
                  <c:v>-260.19870000000003</c:v>
                </c:pt>
                <c:pt idx="108">
                  <c:v>-259.34100000000001</c:v>
                </c:pt>
                <c:pt idx="109">
                  <c:v>-259.55099999999999</c:v>
                </c:pt>
                <c:pt idx="110">
                  <c:v>-259.27199999999999</c:v>
                </c:pt>
                <c:pt idx="111">
                  <c:v>-258.86099999999999</c:v>
                </c:pt>
                <c:pt idx="112">
                  <c:v>-258.68299999999999</c:v>
                </c:pt>
                <c:pt idx="113">
                  <c:v>-258.79700000000003</c:v>
                </c:pt>
                <c:pt idx="114">
                  <c:v>-258.41000000000003</c:v>
                </c:pt>
                <c:pt idx="115">
                  <c:v>-258.13599999999997</c:v>
                </c:pt>
                <c:pt idx="116">
                  <c:v>-257.92899999999997</c:v>
                </c:pt>
                <c:pt idx="117">
                  <c:v>-257.745</c:v>
                </c:pt>
                <c:pt idx="118">
                  <c:v>-257.61</c:v>
                </c:pt>
                <c:pt idx="119">
                  <c:v>-257.471</c:v>
                </c:pt>
                <c:pt idx="120">
                  <c:v>-256.94200000000001</c:v>
                </c:pt>
                <c:pt idx="121">
                  <c:v>-256.75299999999999</c:v>
                </c:pt>
                <c:pt idx="122">
                  <c:v>-256.85699999999997</c:v>
                </c:pt>
                <c:pt idx="123">
                  <c:v>-256.31299999999999</c:v>
                </c:pt>
                <c:pt idx="124">
                  <c:v>-256.37900000000002</c:v>
                </c:pt>
                <c:pt idx="125">
                  <c:v>-256.01499999999999</c:v>
                </c:pt>
                <c:pt idx="126">
                  <c:v>-255.833</c:v>
                </c:pt>
                <c:pt idx="127">
                  <c:v>-255.47</c:v>
                </c:pt>
                <c:pt idx="128">
                  <c:v>-255.059</c:v>
                </c:pt>
                <c:pt idx="129">
                  <c:v>-254.971</c:v>
                </c:pt>
                <c:pt idx="130">
                  <c:v>-254.804</c:v>
                </c:pt>
                <c:pt idx="131">
                  <c:v>-254.411</c:v>
                </c:pt>
                <c:pt idx="132">
                  <c:v>-254.113</c:v>
                </c:pt>
                <c:pt idx="133">
                  <c:v>-254.34</c:v>
                </c:pt>
                <c:pt idx="134">
                  <c:v>-253.785</c:v>
                </c:pt>
                <c:pt idx="135">
                  <c:v>-253.78300000000002</c:v>
                </c:pt>
                <c:pt idx="136">
                  <c:v>-253.62</c:v>
                </c:pt>
                <c:pt idx="137">
                  <c:v>-253.17099999999999</c:v>
                </c:pt>
                <c:pt idx="138">
                  <c:v>-252.65800000000002</c:v>
                </c:pt>
                <c:pt idx="139">
                  <c:v>-251.97399999999999</c:v>
                </c:pt>
                <c:pt idx="140">
                  <c:v>-252.25200000000001</c:v>
                </c:pt>
                <c:pt idx="141">
                  <c:v>-251.702</c:v>
                </c:pt>
                <c:pt idx="142">
                  <c:v>-251.40100000000001</c:v>
                </c:pt>
                <c:pt idx="143">
                  <c:v>-251.244</c:v>
                </c:pt>
                <c:pt idx="144">
                  <c:v>-251.05099999999999</c:v>
                </c:pt>
                <c:pt idx="145">
                  <c:v>-250.48</c:v>
                </c:pt>
                <c:pt idx="146">
                  <c:v>-250.202</c:v>
                </c:pt>
                <c:pt idx="147">
                  <c:v>-249.92599999999999</c:v>
                </c:pt>
                <c:pt idx="148">
                  <c:v>-249.65100000000001</c:v>
                </c:pt>
                <c:pt idx="149">
                  <c:v>-248.41800000000001</c:v>
                </c:pt>
                <c:pt idx="150">
                  <c:v>-248.626</c:v>
                </c:pt>
                <c:pt idx="151">
                  <c:v>-248.57499999999999</c:v>
                </c:pt>
                <c:pt idx="152">
                  <c:v>-247.75799999999998</c:v>
                </c:pt>
                <c:pt idx="153">
                  <c:v>-247.756</c:v>
                </c:pt>
                <c:pt idx="154">
                  <c:v>-247.51300000000001</c:v>
                </c:pt>
                <c:pt idx="155">
                  <c:v>-246.726</c:v>
                </c:pt>
                <c:pt idx="156">
                  <c:v>-246.21199999999999</c:v>
                </c:pt>
                <c:pt idx="157">
                  <c:v>-245.97</c:v>
                </c:pt>
                <c:pt idx="158">
                  <c:v>-245.16899999999998</c:v>
                </c:pt>
                <c:pt idx="159">
                  <c:v>-244.768</c:v>
                </c:pt>
                <c:pt idx="160">
                  <c:v>-244.315</c:v>
                </c:pt>
                <c:pt idx="161">
                  <c:v>-244.142</c:v>
                </c:pt>
                <c:pt idx="162">
                  <c:v>-243.709</c:v>
                </c:pt>
                <c:pt idx="163">
                  <c:v>-243.32400000000001</c:v>
                </c:pt>
                <c:pt idx="164">
                  <c:v>-242.172</c:v>
                </c:pt>
                <c:pt idx="165">
                  <c:v>-240.90300000000002</c:v>
                </c:pt>
                <c:pt idx="166">
                  <c:v>-241.25200000000001</c:v>
                </c:pt>
                <c:pt idx="167">
                  <c:v>-240.63800000000001</c:v>
                </c:pt>
                <c:pt idx="168">
                  <c:v>-240.03100000000001</c:v>
                </c:pt>
                <c:pt idx="169">
                  <c:v>-239.48099999999999</c:v>
                </c:pt>
                <c:pt idx="170">
                  <c:v>-238.50700000000001</c:v>
                </c:pt>
                <c:pt idx="171">
                  <c:v>-237.881</c:v>
                </c:pt>
                <c:pt idx="172">
                  <c:v>-238.28</c:v>
                </c:pt>
                <c:pt idx="173">
                  <c:v>-237.34699999999998</c:v>
                </c:pt>
                <c:pt idx="174">
                  <c:v>-235.61199999999999</c:v>
                </c:pt>
                <c:pt idx="175">
                  <c:v>-235.13800000000001</c:v>
                </c:pt>
                <c:pt idx="176">
                  <c:v>-234.68899999999999</c:v>
                </c:pt>
                <c:pt idx="177">
                  <c:v>-233.95400000000001</c:v>
                </c:pt>
                <c:pt idx="178">
                  <c:v>-234.14699999999999</c:v>
                </c:pt>
                <c:pt idx="179">
                  <c:v>-232.05599999999998</c:v>
                </c:pt>
                <c:pt idx="180">
                  <c:v>-231.369</c:v>
                </c:pt>
                <c:pt idx="181">
                  <c:v>-230.779</c:v>
                </c:pt>
                <c:pt idx="182">
                  <c:v>-229.60900000000001</c:v>
                </c:pt>
                <c:pt idx="183">
                  <c:v>-229.1</c:v>
                </c:pt>
                <c:pt idx="184">
                  <c:v>-228.376</c:v>
                </c:pt>
                <c:pt idx="185">
                  <c:v>-227.04400000000001</c:v>
                </c:pt>
                <c:pt idx="186">
                  <c:v>-226.239</c:v>
                </c:pt>
                <c:pt idx="187">
                  <c:v>-225.834</c:v>
                </c:pt>
                <c:pt idx="188">
                  <c:v>-224.429</c:v>
                </c:pt>
                <c:pt idx="189">
                  <c:v>-223.255</c:v>
                </c:pt>
                <c:pt idx="190">
                  <c:v>-223.13499999999999</c:v>
                </c:pt>
                <c:pt idx="191">
                  <c:v>-221.982</c:v>
                </c:pt>
                <c:pt idx="192">
                  <c:v>-220.93199999999999</c:v>
                </c:pt>
                <c:pt idx="193">
                  <c:v>-219.99600000000001</c:v>
                </c:pt>
                <c:pt idx="194">
                  <c:v>-218.72200000000001</c:v>
                </c:pt>
                <c:pt idx="195">
                  <c:v>-217.619</c:v>
                </c:pt>
                <c:pt idx="196">
                  <c:v>-216.501</c:v>
                </c:pt>
                <c:pt idx="197">
                  <c:v>-215.83600000000001</c:v>
                </c:pt>
                <c:pt idx="198">
                  <c:v>-215.499</c:v>
                </c:pt>
                <c:pt idx="199">
                  <c:v>-212.98699999999999</c:v>
                </c:pt>
                <c:pt idx="200">
                  <c:v>-213.047</c:v>
                </c:pt>
                <c:pt idx="201">
                  <c:v>-211.715</c:v>
                </c:pt>
                <c:pt idx="202">
                  <c:v>-211.89099999999999</c:v>
                </c:pt>
                <c:pt idx="203">
                  <c:v>-209.68</c:v>
                </c:pt>
                <c:pt idx="204">
                  <c:v>-209.52500000000001</c:v>
                </c:pt>
                <c:pt idx="205">
                  <c:v>-207.815</c:v>
                </c:pt>
                <c:pt idx="206">
                  <c:v>-207.916</c:v>
                </c:pt>
                <c:pt idx="207">
                  <c:v>-206.25700000000001</c:v>
                </c:pt>
                <c:pt idx="208">
                  <c:v>-205.79599999999999</c:v>
                </c:pt>
                <c:pt idx="209">
                  <c:v>-205.58</c:v>
                </c:pt>
                <c:pt idx="210">
                  <c:v>-203.78</c:v>
                </c:pt>
                <c:pt idx="211">
                  <c:v>-201.71899999999999</c:v>
                </c:pt>
                <c:pt idx="212">
                  <c:v>-198.27600000000001</c:v>
                </c:pt>
                <c:pt idx="213">
                  <c:v>-197.578</c:v>
                </c:pt>
                <c:pt idx="214">
                  <c:v>-195.64599999999999</c:v>
                </c:pt>
                <c:pt idx="215">
                  <c:v>-192.58199999999999</c:v>
                </c:pt>
                <c:pt idx="216">
                  <c:v>-192.25399999999999</c:v>
                </c:pt>
                <c:pt idx="217">
                  <c:v>-191.02600000000001</c:v>
                </c:pt>
                <c:pt idx="218">
                  <c:v>-189.453</c:v>
                </c:pt>
                <c:pt idx="219">
                  <c:v>-188.48099999999999</c:v>
                </c:pt>
                <c:pt idx="220">
                  <c:v>-186.14400000000001</c:v>
                </c:pt>
                <c:pt idx="221">
                  <c:v>-185.626</c:v>
                </c:pt>
                <c:pt idx="222">
                  <c:v>-184.43100000000001</c:v>
                </c:pt>
                <c:pt idx="223">
                  <c:v>-182.72200000000001</c:v>
                </c:pt>
                <c:pt idx="224">
                  <c:v>-181.726</c:v>
                </c:pt>
                <c:pt idx="225">
                  <c:v>-180.351</c:v>
                </c:pt>
                <c:pt idx="226">
                  <c:v>-179.43</c:v>
                </c:pt>
                <c:pt idx="227">
                  <c:v>-178.09100000000001</c:v>
                </c:pt>
                <c:pt idx="228">
                  <c:v>-176.916</c:v>
                </c:pt>
                <c:pt idx="229">
                  <c:v>-175.511</c:v>
                </c:pt>
                <c:pt idx="230">
                  <c:v>-174.244</c:v>
                </c:pt>
                <c:pt idx="231">
                  <c:v>-173.369</c:v>
                </c:pt>
                <c:pt idx="232">
                  <c:v>-172.084</c:v>
                </c:pt>
                <c:pt idx="233">
                  <c:v>-170.62899999999999</c:v>
                </c:pt>
                <c:pt idx="234">
                  <c:v>-169.465</c:v>
                </c:pt>
                <c:pt idx="235">
                  <c:v>-168.34299999999999</c:v>
                </c:pt>
                <c:pt idx="236">
                  <c:v>-167.03899999999999</c:v>
                </c:pt>
                <c:pt idx="237">
                  <c:v>-165.876</c:v>
                </c:pt>
                <c:pt idx="238">
                  <c:v>-164.703</c:v>
                </c:pt>
                <c:pt idx="239">
                  <c:v>-163.65100000000001</c:v>
                </c:pt>
                <c:pt idx="240">
                  <c:v>-162.52199999999999</c:v>
                </c:pt>
                <c:pt idx="241">
                  <c:v>-161.32599999999999</c:v>
                </c:pt>
                <c:pt idx="242">
                  <c:v>-160.22999999999999</c:v>
                </c:pt>
                <c:pt idx="243">
                  <c:v>-159.27600000000001</c:v>
                </c:pt>
                <c:pt idx="244">
                  <c:v>-158.108</c:v>
                </c:pt>
                <c:pt idx="245">
                  <c:v>-157.06299999999999</c:v>
                </c:pt>
                <c:pt idx="246">
                  <c:v>-156.01</c:v>
                </c:pt>
                <c:pt idx="247">
                  <c:v>-155.03200000000001</c:v>
                </c:pt>
                <c:pt idx="248">
                  <c:v>-154.00200000000001</c:v>
                </c:pt>
                <c:pt idx="249">
                  <c:v>-152.994</c:v>
                </c:pt>
                <c:pt idx="250">
                  <c:v>-152.041</c:v>
                </c:pt>
                <c:pt idx="251">
                  <c:v>-151.05000000000001</c:v>
                </c:pt>
                <c:pt idx="252">
                  <c:v>-150.17400000000001</c:v>
                </c:pt>
                <c:pt idx="253">
                  <c:v>-149.483</c:v>
                </c:pt>
                <c:pt idx="254">
                  <c:v>-148.328</c:v>
                </c:pt>
                <c:pt idx="255">
                  <c:v>-147.47</c:v>
                </c:pt>
                <c:pt idx="256">
                  <c:v>-146.52500000000001</c:v>
                </c:pt>
                <c:pt idx="257">
                  <c:v>-145.744</c:v>
                </c:pt>
                <c:pt idx="258">
                  <c:v>-144.86799999999999</c:v>
                </c:pt>
                <c:pt idx="259">
                  <c:v>-144.06</c:v>
                </c:pt>
                <c:pt idx="260">
                  <c:v>-143.22999999999999</c:v>
                </c:pt>
                <c:pt idx="261">
                  <c:v>-142.31399999999999</c:v>
                </c:pt>
                <c:pt idx="262">
                  <c:v>-141.465</c:v>
                </c:pt>
                <c:pt idx="263">
                  <c:v>-140.39099999999999</c:v>
                </c:pt>
                <c:pt idx="264">
                  <c:v>-139.065</c:v>
                </c:pt>
                <c:pt idx="265">
                  <c:v>-136.58699999999999</c:v>
                </c:pt>
                <c:pt idx="266">
                  <c:v>-135.751</c:v>
                </c:pt>
                <c:pt idx="267">
                  <c:v>-137.57599999999999</c:v>
                </c:pt>
                <c:pt idx="268">
                  <c:v>-138.25</c:v>
                </c:pt>
                <c:pt idx="269">
                  <c:v>-138.07900000000001</c:v>
                </c:pt>
                <c:pt idx="270">
                  <c:v>-137.59100000000001</c:v>
                </c:pt>
                <c:pt idx="271">
                  <c:v>-137.08699999999999</c:v>
                </c:pt>
                <c:pt idx="272">
                  <c:v>-136.553</c:v>
                </c:pt>
                <c:pt idx="273">
                  <c:v>-136.001</c:v>
                </c:pt>
                <c:pt idx="274">
                  <c:v>-135.524</c:v>
                </c:pt>
                <c:pt idx="275">
                  <c:v>-134.983</c:v>
                </c:pt>
                <c:pt idx="276">
                  <c:v>-134.52199999999999</c:v>
                </c:pt>
                <c:pt idx="277">
                  <c:v>-134.059</c:v>
                </c:pt>
                <c:pt idx="278">
                  <c:v>-133.65100000000001</c:v>
                </c:pt>
                <c:pt idx="279">
                  <c:v>-133.24799999999999</c:v>
                </c:pt>
                <c:pt idx="280">
                  <c:v>-132.86600000000001</c:v>
                </c:pt>
                <c:pt idx="281">
                  <c:v>-132.49799999999999</c:v>
                </c:pt>
                <c:pt idx="282">
                  <c:v>-132.279</c:v>
                </c:pt>
                <c:pt idx="283">
                  <c:v>-132.03399999999999</c:v>
                </c:pt>
                <c:pt idx="284">
                  <c:v>-131.40799999999999</c:v>
                </c:pt>
                <c:pt idx="285">
                  <c:v>-131.172</c:v>
                </c:pt>
                <c:pt idx="286">
                  <c:v>-130.929</c:v>
                </c:pt>
                <c:pt idx="287">
                  <c:v>-130.88900000000001</c:v>
                </c:pt>
                <c:pt idx="288">
                  <c:v>-130.62200000000001</c:v>
                </c:pt>
                <c:pt idx="289">
                  <c:v>-130.36099999999999</c:v>
                </c:pt>
                <c:pt idx="290">
                  <c:v>-130.17400000000001</c:v>
                </c:pt>
                <c:pt idx="291">
                  <c:v>-130.05699999999999</c:v>
                </c:pt>
                <c:pt idx="292">
                  <c:v>-130.11600000000001</c:v>
                </c:pt>
                <c:pt idx="293">
                  <c:v>-129.97300000000001</c:v>
                </c:pt>
                <c:pt idx="294">
                  <c:v>-129.96199999999999</c:v>
                </c:pt>
                <c:pt idx="295">
                  <c:v>-129.73099999999999</c:v>
                </c:pt>
                <c:pt idx="296">
                  <c:v>-129.68299999999999</c:v>
                </c:pt>
                <c:pt idx="297">
                  <c:v>-129.64400000000001</c:v>
                </c:pt>
                <c:pt idx="298">
                  <c:v>-129.63</c:v>
                </c:pt>
                <c:pt idx="299">
                  <c:v>-129.62100000000001</c:v>
                </c:pt>
                <c:pt idx="300">
                  <c:v>-129.59</c:v>
                </c:pt>
                <c:pt idx="301">
                  <c:v>-129.61099999999999</c:v>
                </c:pt>
                <c:pt idx="302">
                  <c:v>-129.61699999999999</c:v>
                </c:pt>
                <c:pt idx="303">
                  <c:v>-129.57599999999999</c:v>
                </c:pt>
                <c:pt idx="304">
                  <c:v>-129.52799999999999</c:v>
                </c:pt>
                <c:pt idx="305">
                  <c:v>-129.44300000000001</c:v>
                </c:pt>
                <c:pt idx="306">
                  <c:v>-129.58500000000001</c:v>
                </c:pt>
                <c:pt idx="307">
                  <c:v>-129.61699999999999</c:v>
                </c:pt>
                <c:pt idx="308">
                  <c:v>-129.863</c:v>
                </c:pt>
                <c:pt idx="309">
                  <c:v>-130.31299999999999</c:v>
                </c:pt>
                <c:pt idx="310">
                  <c:v>-130.77099999999999</c:v>
                </c:pt>
                <c:pt idx="311">
                  <c:v>-131.42599999999999</c:v>
                </c:pt>
                <c:pt idx="312">
                  <c:v>-132.06399999999999</c:v>
                </c:pt>
                <c:pt idx="313">
                  <c:v>-132.62899999999999</c:v>
                </c:pt>
                <c:pt idx="314">
                  <c:v>-133.267</c:v>
                </c:pt>
                <c:pt idx="315">
                  <c:v>-133.959</c:v>
                </c:pt>
                <c:pt idx="316">
                  <c:v>-134.75200000000001</c:v>
                </c:pt>
                <c:pt idx="317">
                  <c:v>-135.72399999999999</c:v>
                </c:pt>
                <c:pt idx="318">
                  <c:v>-136.34200000000001</c:v>
                </c:pt>
                <c:pt idx="319">
                  <c:v>-136.816</c:v>
                </c:pt>
                <c:pt idx="320">
                  <c:v>-137.47</c:v>
                </c:pt>
                <c:pt idx="321">
                  <c:v>-137.46899999999999</c:v>
                </c:pt>
                <c:pt idx="322">
                  <c:v>-138.31200000000001</c:v>
                </c:pt>
                <c:pt idx="323">
                  <c:v>-140.114</c:v>
                </c:pt>
                <c:pt idx="324">
                  <c:v>-141.173</c:v>
                </c:pt>
                <c:pt idx="325">
                  <c:v>-141.86199999999999</c:v>
                </c:pt>
                <c:pt idx="326">
                  <c:v>-143.41399999999999</c:v>
                </c:pt>
                <c:pt idx="327">
                  <c:v>-144.279</c:v>
                </c:pt>
                <c:pt idx="328">
                  <c:v>-145.40799999999999</c:v>
                </c:pt>
                <c:pt idx="329">
                  <c:v>-146.886</c:v>
                </c:pt>
                <c:pt idx="330">
                  <c:v>-147.23699999999999</c:v>
                </c:pt>
                <c:pt idx="331">
                  <c:v>-148.923</c:v>
                </c:pt>
                <c:pt idx="332">
                  <c:v>-149.92099999999999</c:v>
                </c:pt>
                <c:pt idx="333">
                  <c:v>-151.101</c:v>
                </c:pt>
                <c:pt idx="334">
                  <c:v>-153.08699999999999</c:v>
                </c:pt>
                <c:pt idx="335">
                  <c:v>-154.70699999999999</c:v>
                </c:pt>
                <c:pt idx="336">
                  <c:v>-156.46</c:v>
                </c:pt>
                <c:pt idx="337">
                  <c:v>-158.77500000000001</c:v>
                </c:pt>
                <c:pt idx="338">
                  <c:v>-161.529</c:v>
                </c:pt>
                <c:pt idx="339">
                  <c:v>-163.59700000000001</c:v>
                </c:pt>
                <c:pt idx="340">
                  <c:v>-165.89599999999999</c:v>
                </c:pt>
                <c:pt idx="341">
                  <c:v>-168.07</c:v>
                </c:pt>
                <c:pt idx="342">
                  <c:v>-170.82400000000001</c:v>
                </c:pt>
                <c:pt idx="343">
                  <c:v>-173.35300000000001</c:v>
                </c:pt>
                <c:pt idx="344">
                  <c:v>-175.80699999999999</c:v>
                </c:pt>
                <c:pt idx="345">
                  <c:v>-177.72399999999999</c:v>
                </c:pt>
                <c:pt idx="346">
                  <c:v>-178.92099999999999</c:v>
                </c:pt>
                <c:pt idx="347">
                  <c:v>-181.99</c:v>
                </c:pt>
                <c:pt idx="348">
                  <c:v>-183.36099999999999</c:v>
                </c:pt>
                <c:pt idx="349">
                  <c:v>-186.209</c:v>
                </c:pt>
                <c:pt idx="350">
                  <c:v>-189.75</c:v>
                </c:pt>
                <c:pt idx="351">
                  <c:v>-192.398</c:v>
                </c:pt>
                <c:pt idx="352">
                  <c:v>-194.60300000000001</c:v>
                </c:pt>
                <c:pt idx="353">
                  <c:v>-197.85300000000001</c:v>
                </c:pt>
                <c:pt idx="354">
                  <c:v>-200.482</c:v>
                </c:pt>
                <c:pt idx="355">
                  <c:v>-203.33199999999999</c:v>
                </c:pt>
                <c:pt idx="356">
                  <c:v>-205.19499999999999</c:v>
                </c:pt>
                <c:pt idx="357">
                  <c:v>-207.41</c:v>
                </c:pt>
                <c:pt idx="358">
                  <c:v>-210.39400000000001</c:v>
                </c:pt>
                <c:pt idx="359">
                  <c:v>-213.04300000000001</c:v>
                </c:pt>
                <c:pt idx="360">
                  <c:v>-214.58500000000001</c:v>
                </c:pt>
                <c:pt idx="361">
                  <c:v>-217.34299999999999</c:v>
                </c:pt>
                <c:pt idx="362">
                  <c:v>-219.017</c:v>
                </c:pt>
                <c:pt idx="363">
                  <c:v>-221.39400000000001</c:v>
                </c:pt>
                <c:pt idx="364">
                  <c:v>-223.214</c:v>
                </c:pt>
                <c:pt idx="365">
                  <c:v>-225.053</c:v>
                </c:pt>
                <c:pt idx="366">
                  <c:v>-226.50200000000001</c:v>
                </c:pt>
                <c:pt idx="367">
                  <c:v>131.81700000000001</c:v>
                </c:pt>
                <c:pt idx="368">
                  <c:v>129.95699999999999</c:v>
                </c:pt>
                <c:pt idx="369">
                  <c:v>126.41800000000001</c:v>
                </c:pt>
                <c:pt idx="370">
                  <c:v>125.40900000000001</c:v>
                </c:pt>
                <c:pt idx="371">
                  <c:v>124.027</c:v>
                </c:pt>
                <c:pt idx="372">
                  <c:v>122.795</c:v>
                </c:pt>
                <c:pt idx="373">
                  <c:v>121.76300000000001</c:v>
                </c:pt>
                <c:pt idx="374">
                  <c:v>121.762</c:v>
                </c:pt>
                <c:pt idx="375">
                  <c:v>119.89400000000001</c:v>
                </c:pt>
                <c:pt idx="376">
                  <c:v>119.196</c:v>
                </c:pt>
                <c:pt idx="377">
                  <c:v>116.889</c:v>
                </c:pt>
                <c:pt idx="378">
                  <c:v>117.324</c:v>
                </c:pt>
                <c:pt idx="379">
                  <c:v>115.142</c:v>
                </c:pt>
                <c:pt idx="380">
                  <c:v>115.247</c:v>
                </c:pt>
                <c:pt idx="381">
                  <c:v>113.164</c:v>
                </c:pt>
                <c:pt idx="382">
                  <c:v>112.872</c:v>
                </c:pt>
                <c:pt idx="383">
                  <c:v>110.592</c:v>
                </c:pt>
                <c:pt idx="384">
                  <c:v>111.01300000000001</c:v>
                </c:pt>
                <c:pt idx="385">
                  <c:v>109.21</c:v>
                </c:pt>
                <c:pt idx="386">
                  <c:v>107.553</c:v>
                </c:pt>
                <c:pt idx="387">
                  <c:v>107.324</c:v>
                </c:pt>
                <c:pt idx="388">
                  <c:v>105.50700000000001</c:v>
                </c:pt>
                <c:pt idx="389">
                  <c:v>105.28700000000001</c:v>
                </c:pt>
                <c:pt idx="390">
                  <c:v>105.286</c:v>
                </c:pt>
                <c:pt idx="391">
                  <c:v>105.187</c:v>
                </c:pt>
                <c:pt idx="392">
                  <c:v>104.541</c:v>
                </c:pt>
                <c:pt idx="393">
                  <c:v>103.205</c:v>
                </c:pt>
                <c:pt idx="394">
                  <c:v>103.91</c:v>
                </c:pt>
                <c:pt idx="395">
                  <c:v>102.337</c:v>
                </c:pt>
                <c:pt idx="396">
                  <c:v>100.33499999999999</c:v>
                </c:pt>
                <c:pt idx="397">
                  <c:v>100.20399999999999</c:v>
                </c:pt>
                <c:pt idx="398">
                  <c:v>99.956599999999995</c:v>
                </c:pt>
                <c:pt idx="399">
                  <c:v>98.699600000000004</c:v>
                </c:pt>
              </c:numCache>
            </c:numRef>
          </c:yVal>
          <c:smooth val="0"/>
          <c:extLst>
            <c:ext xmlns:c16="http://schemas.microsoft.com/office/drawing/2014/chart" uri="{C3380CC4-5D6E-409C-BE32-E72D297353CC}">
              <c16:uniqueId val="{00000003-2A10-41EA-A3AE-967165122F16}"/>
            </c:ext>
          </c:extLst>
        </c:ser>
        <c:dLbls>
          <c:showLegendKey val="0"/>
          <c:showVal val="0"/>
          <c:showCatName val="0"/>
          <c:showSerName val="0"/>
          <c:showPercent val="0"/>
          <c:showBubbleSize val="0"/>
        </c:dLbls>
        <c:axId val="176943488"/>
        <c:axId val="176945024"/>
      </c:scatterChart>
      <c:valAx>
        <c:axId val="176934912"/>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7216"/>
        <c:crossesAt val="-80"/>
        <c:crossBetween val="midCat"/>
      </c:valAx>
      <c:valAx>
        <c:axId val="1769372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4912"/>
        <c:crosses val="autoZero"/>
        <c:crossBetween val="midCat"/>
      </c:valAx>
      <c:valAx>
        <c:axId val="176943488"/>
        <c:scaling>
          <c:logBase val="10"/>
          <c:orientation val="minMax"/>
        </c:scaling>
        <c:delete val="1"/>
        <c:axPos val="b"/>
        <c:numFmt formatCode="General" sourceLinked="1"/>
        <c:majorTickMark val="out"/>
        <c:minorTickMark val="none"/>
        <c:tickLblPos val="none"/>
        <c:crossAx val="176945024"/>
        <c:crosses val="autoZero"/>
        <c:crossBetween val="midCat"/>
      </c:valAx>
      <c:valAx>
        <c:axId val="176945024"/>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43488"/>
        <c:crosses val="max"/>
        <c:crossBetween val="midCat"/>
      </c:valAx>
      <c:spPr>
        <a:noFill/>
        <a:ln w="12700">
          <a:solidFill>
            <a:srgbClr val="808080"/>
          </a:solidFill>
          <a:prstDash val="solid"/>
        </a:ln>
      </c:spPr>
    </c:plotArea>
    <c:legend>
      <c:legendPos val="t"/>
      <c:layout>
        <c:manualLayout>
          <c:xMode val="edge"/>
          <c:yMode val="edge"/>
          <c:x val="0.70471147628286246"/>
          <c:y val="1.2987012987012988E-2"/>
          <c:w val="0.275362889421434"/>
          <c:h val="0.1454548181477332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MOSFET Temp Rise</a:t>
            </a:r>
          </a:p>
        </c:rich>
      </c:tx>
      <c:layout>
        <c:manualLayout>
          <c:xMode val="edge"/>
          <c:yMode val="edge"/>
          <c:x val="0.42444773564332877"/>
          <c:y val="5.7239057239057242E-2"/>
        </c:manualLayout>
      </c:layout>
      <c:overlay val="0"/>
      <c:spPr>
        <a:noFill/>
        <a:ln w="25400">
          <a:noFill/>
        </a:ln>
      </c:spPr>
    </c:title>
    <c:autoTitleDeleted val="0"/>
    <c:plotArea>
      <c:layout>
        <c:manualLayout>
          <c:layoutTarget val="inner"/>
          <c:xMode val="edge"/>
          <c:yMode val="edge"/>
          <c:x val="0.13531808670268541"/>
          <c:y val="0.15757606845026306"/>
          <c:w val="0.84573804189178381"/>
          <c:h val="0.71717313204926625"/>
        </c:manualLayout>
      </c:layout>
      <c:scatterChart>
        <c:scatterStyle val="lineMarker"/>
        <c:varyColors val="0"/>
        <c:ser>
          <c:idx val="0"/>
          <c:order val="0"/>
          <c:tx>
            <c:v>Top FET</c:v>
          </c:tx>
          <c:spPr>
            <a:ln w="38100">
              <a:solidFill>
                <a:srgbClr val="000080"/>
              </a:solidFill>
              <a:prstDash val="solid"/>
            </a:ln>
          </c:spPr>
          <c:marker>
            <c:symbol val="none"/>
          </c:marker>
          <c:xVal>
            <c:numRef>
              <c:f>'Power Calculations'!$H$9:$H$209</c:f>
              <c:numCache>
                <c:formatCode>General</c:formatCode>
                <c:ptCount val="201"/>
                <c:pt idx="0">
                  <c:v>0</c:v>
                </c:pt>
                <c:pt idx="1">
                  <c:v>7.4999999999999997E-2</c:v>
                </c:pt>
                <c:pt idx="2">
                  <c:v>0.15</c:v>
                </c:pt>
                <c:pt idx="3">
                  <c:v>0.22499999999999998</c:v>
                </c:pt>
                <c:pt idx="4">
                  <c:v>0.3</c:v>
                </c:pt>
                <c:pt idx="5">
                  <c:v>0.375</c:v>
                </c:pt>
                <c:pt idx="6">
                  <c:v>0.44999999999999996</c:v>
                </c:pt>
                <c:pt idx="7">
                  <c:v>0.52500000000000002</c:v>
                </c:pt>
                <c:pt idx="8">
                  <c:v>0.6</c:v>
                </c:pt>
                <c:pt idx="9">
                  <c:v>0.67499999999999993</c:v>
                </c:pt>
                <c:pt idx="10">
                  <c:v>0.75</c:v>
                </c:pt>
                <c:pt idx="11">
                  <c:v>0.82499999999999996</c:v>
                </c:pt>
                <c:pt idx="12">
                  <c:v>0.89999999999999991</c:v>
                </c:pt>
                <c:pt idx="13">
                  <c:v>0.97500000000000009</c:v>
                </c:pt>
                <c:pt idx="14">
                  <c:v>1.05</c:v>
                </c:pt>
                <c:pt idx="15">
                  <c:v>1.125</c:v>
                </c:pt>
                <c:pt idx="16">
                  <c:v>1.2</c:v>
                </c:pt>
                <c:pt idx="17">
                  <c:v>1.2750000000000001</c:v>
                </c:pt>
                <c:pt idx="18">
                  <c:v>1.3499999999999999</c:v>
                </c:pt>
                <c:pt idx="19">
                  <c:v>1.425</c:v>
                </c:pt>
                <c:pt idx="20">
                  <c:v>1.5</c:v>
                </c:pt>
                <c:pt idx="21">
                  <c:v>1.575</c:v>
                </c:pt>
                <c:pt idx="22">
                  <c:v>1.65</c:v>
                </c:pt>
                <c:pt idx="23">
                  <c:v>1.7250000000000001</c:v>
                </c:pt>
                <c:pt idx="24">
                  <c:v>1.7999999999999998</c:v>
                </c:pt>
                <c:pt idx="25">
                  <c:v>1.875</c:v>
                </c:pt>
                <c:pt idx="26">
                  <c:v>1.9500000000000002</c:v>
                </c:pt>
                <c:pt idx="27">
                  <c:v>2.0250000000000004</c:v>
                </c:pt>
                <c:pt idx="28">
                  <c:v>2.1</c:v>
                </c:pt>
                <c:pt idx="29">
                  <c:v>2.1749999999999998</c:v>
                </c:pt>
                <c:pt idx="30">
                  <c:v>2.25</c:v>
                </c:pt>
                <c:pt idx="31">
                  <c:v>2.3250000000000002</c:v>
                </c:pt>
                <c:pt idx="32">
                  <c:v>2.4</c:v>
                </c:pt>
                <c:pt idx="33">
                  <c:v>2.4750000000000001</c:v>
                </c:pt>
                <c:pt idx="34">
                  <c:v>2.5500000000000003</c:v>
                </c:pt>
                <c:pt idx="35">
                  <c:v>2.625</c:v>
                </c:pt>
                <c:pt idx="36">
                  <c:v>2.6999999999999997</c:v>
                </c:pt>
                <c:pt idx="37">
                  <c:v>2.7749999999999999</c:v>
                </c:pt>
                <c:pt idx="38">
                  <c:v>2.85</c:v>
                </c:pt>
                <c:pt idx="39">
                  <c:v>2.9250000000000003</c:v>
                </c:pt>
                <c:pt idx="40">
                  <c:v>3</c:v>
                </c:pt>
                <c:pt idx="41">
                  <c:v>3.0749999999999997</c:v>
                </c:pt>
                <c:pt idx="42">
                  <c:v>3.15</c:v>
                </c:pt>
                <c:pt idx="43">
                  <c:v>3.2250000000000001</c:v>
                </c:pt>
                <c:pt idx="44">
                  <c:v>3.3</c:v>
                </c:pt>
                <c:pt idx="45">
                  <c:v>3.375</c:v>
                </c:pt>
                <c:pt idx="46">
                  <c:v>3.45</c:v>
                </c:pt>
                <c:pt idx="47">
                  <c:v>3.5249999999999999</c:v>
                </c:pt>
                <c:pt idx="48">
                  <c:v>3.5999999999999996</c:v>
                </c:pt>
                <c:pt idx="49">
                  <c:v>3.6749999999999998</c:v>
                </c:pt>
                <c:pt idx="50">
                  <c:v>3.75</c:v>
                </c:pt>
                <c:pt idx="51">
                  <c:v>3.8250000000000002</c:v>
                </c:pt>
                <c:pt idx="52">
                  <c:v>3.9000000000000004</c:v>
                </c:pt>
                <c:pt idx="53">
                  <c:v>3.9750000000000001</c:v>
                </c:pt>
                <c:pt idx="54">
                  <c:v>4.0500000000000007</c:v>
                </c:pt>
                <c:pt idx="55">
                  <c:v>4.125</c:v>
                </c:pt>
                <c:pt idx="56">
                  <c:v>4.2</c:v>
                </c:pt>
                <c:pt idx="57">
                  <c:v>4.2749999999999995</c:v>
                </c:pt>
                <c:pt idx="58">
                  <c:v>4.3499999999999996</c:v>
                </c:pt>
                <c:pt idx="59">
                  <c:v>4.4249999999999998</c:v>
                </c:pt>
                <c:pt idx="60">
                  <c:v>4.5</c:v>
                </c:pt>
                <c:pt idx="61">
                  <c:v>4.5750000000000002</c:v>
                </c:pt>
                <c:pt idx="62">
                  <c:v>4.6500000000000004</c:v>
                </c:pt>
                <c:pt idx="63">
                  <c:v>4.7249999999999996</c:v>
                </c:pt>
                <c:pt idx="64">
                  <c:v>4.8</c:v>
                </c:pt>
                <c:pt idx="65">
                  <c:v>4.875</c:v>
                </c:pt>
                <c:pt idx="66">
                  <c:v>4.95</c:v>
                </c:pt>
                <c:pt idx="67">
                  <c:v>5.0250000000000004</c:v>
                </c:pt>
                <c:pt idx="68">
                  <c:v>5.1000000000000005</c:v>
                </c:pt>
                <c:pt idx="69">
                  <c:v>5.1749999999999998</c:v>
                </c:pt>
                <c:pt idx="70">
                  <c:v>5.25</c:v>
                </c:pt>
                <c:pt idx="71">
                  <c:v>5.3249999999999993</c:v>
                </c:pt>
                <c:pt idx="72">
                  <c:v>5.3999999999999995</c:v>
                </c:pt>
                <c:pt idx="73">
                  <c:v>5.4749999999999996</c:v>
                </c:pt>
                <c:pt idx="74">
                  <c:v>5.55</c:v>
                </c:pt>
                <c:pt idx="75">
                  <c:v>5.625</c:v>
                </c:pt>
                <c:pt idx="76">
                  <c:v>5.7</c:v>
                </c:pt>
                <c:pt idx="77">
                  <c:v>5.7750000000000004</c:v>
                </c:pt>
                <c:pt idx="78">
                  <c:v>5.8500000000000005</c:v>
                </c:pt>
                <c:pt idx="79">
                  <c:v>5.9250000000000007</c:v>
                </c:pt>
                <c:pt idx="80">
                  <c:v>6</c:v>
                </c:pt>
                <c:pt idx="81">
                  <c:v>6.0750000000000002</c:v>
                </c:pt>
                <c:pt idx="82">
                  <c:v>6.1499999999999995</c:v>
                </c:pt>
                <c:pt idx="83">
                  <c:v>6.2249999999999996</c:v>
                </c:pt>
                <c:pt idx="84">
                  <c:v>6.3</c:v>
                </c:pt>
                <c:pt idx="85">
                  <c:v>6.375</c:v>
                </c:pt>
                <c:pt idx="86">
                  <c:v>6.45</c:v>
                </c:pt>
                <c:pt idx="87">
                  <c:v>6.5250000000000004</c:v>
                </c:pt>
                <c:pt idx="88">
                  <c:v>6.6</c:v>
                </c:pt>
                <c:pt idx="89">
                  <c:v>6.6749999999999998</c:v>
                </c:pt>
                <c:pt idx="90">
                  <c:v>6.75</c:v>
                </c:pt>
                <c:pt idx="91">
                  <c:v>6.8250000000000002</c:v>
                </c:pt>
                <c:pt idx="92">
                  <c:v>6.9</c:v>
                </c:pt>
                <c:pt idx="93">
                  <c:v>6.9750000000000005</c:v>
                </c:pt>
                <c:pt idx="94">
                  <c:v>7.05</c:v>
                </c:pt>
                <c:pt idx="95">
                  <c:v>7.125</c:v>
                </c:pt>
                <c:pt idx="96">
                  <c:v>7.1999999999999993</c:v>
                </c:pt>
                <c:pt idx="97">
                  <c:v>7.2749999999999995</c:v>
                </c:pt>
                <c:pt idx="98">
                  <c:v>7.35</c:v>
                </c:pt>
                <c:pt idx="99">
                  <c:v>7.4249999999999998</c:v>
                </c:pt>
                <c:pt idx="100">
                  <c:v>7.5</c:v>
                </c:pt>
                <c:pt idx="101">
                  <c:v>7.5750000000000002</c:v>
                </c:pt>
                <c:pt idx="102">
                  <c:v>7.65</c:v>
                </c:pt>
                <c:pt idx="103">
                  <c:v>7.7250000000000005</c:v>
                </c:pt>
                <c:pt idx="104">
                  <c:v>7.8000000000000007</c:v>
                </c:pt>
                <c:pt idx="105">
                  <c:v>7.875</c:v>
                </c:pt>
                <c:pt idx="106">
                  <c:v>7.95</c:v>
                </c:pt>
                <c:pt idx="107">
                  <c:v>8.0250000000000004</c:v>
                </c:pt>
                <c:pt idx="108">
                  <c:v>8.1000000000000014</c:v>
                </c:pt>
                <c:pt idx="109">
                  <c:v>8.1750000000000007</c:v>
                </c:pt>
                <c:pt idx="110">
                  <c:v>8.25</c:v>
                </c:pt>
                <c:pt idx="111">
                  <c:v>8.3250000000000011</c:v>
                </c:pt>
                <c:pt idx="112">
                  <c:v>8.4</c:v>
                </c:pt>
                <c:pt idx="113">
                  <c:v>8.4749999999999996</c:v>
                </c:pt>
                <c:pt idx="114">
                  <c:v>8.5499999999999989</c:v>
                </c:pt>
                <c:pt idx="115">
                  <c:v>8.625</c:v>
                </c:pt>
                <c:pt idx="116">
                  <c:v>8.6999999999999993</c:v>
                </c:pt>
                <c:pt idx="117">
                  <c:v>8.7749999999999986</c:v>
                </c:pt>
                <c:pt idx="118">
                  <c:v>8.85</c:v>
                </c:pt>
                <c:pt idx="119">
                  <c:v>8.9249999999999989</c:v>
                </c:pt>
                <c:pt idx="120">
                  <c:v>9</c:v>
                </c:pt>
                <c:pt idx="121">
                  <c:v>9.0749999999999993</c:v>
                </c:pt>
                <c:pt idx="122">
                  <c:v>9.15</c:v>
                </c:pt>
                <c:pt idx="123">
                  <c:v>9.2249999999999996</c:v>
                </c:pt>
                <c:pt idx="124">
                  <c:v>9.3000000000000007</c:v>
                </c:pt>
                <c:pt idx="125">
                  <c:v>9.375</c:v>
                </c:pt>
                <c:pt idx="126">
                  <c:v>9.4499999999999993</c:v>
                </c:pt>
                <c:pt idx="127">
                  <c:v>9.5250000000000004</c:v>
                </c:pt>
                <c:pt idx="128">
                  <c:v>9.6</c:v>
                </c:pt>
                <c:pt idx="129">
                  <c:v>9.6750000000000007</c:v>
                </c:pt>
                <c:pt idx="130">
                  <c:v>9.75</c:v>
                </c:pt>
                <c:pt idx="131">
                  <c:v>9.8250000000000011</c:v>
                </c:pt>
                <c:pt idx="132">
                  <c:v>9.9</c:v>
                </c:pt>
                <c:pt idx="133">
                  <c:v>9.9750000000000014</c:v>
                </c:pt>
                <c:pt idx="134">
                  <c:v>10.050000000000001</c:v>
                </c:pt>
                <c:pt idx="135">
                  <c:v>10.125</c:v>
                </c:pt>
                <c:pt idx="136">
                  <c:v>10.200000000000001</c:v>
                </c:pt>
                <c:pt idx="137">
                  <c:v>10.275</c:v>
                </c:pt>
                <c:pt idx="138">
                  <c:v>10.35</c:v>
                </c:pt>
                <c:pt idx="139">
                  <c:v>10.424999999999999</c:v>
                </c:pt>
                <c:pt idx="140">
                  <c:v>10.5</c:v>
                </c:pt>
                <c:pt idx="141">
                  <c:v>10.574999999999999</c:v>
                </c:pt>
                <c:pt idx="142">
                  <c:v>10.649999999999999</c:v>
                </c:pt>
                <c:pt idx="143">
                  <c:v>10.725</c:v>
                </c:pt>
                <c:pt idx="144">
                  <c:v>10.799999999999999</c:v>
                </c:pt>
                <c:pt idx="145">
                  <c:v>10.875</c:v>
                </c:pt>
                <c:pt idx="146">
                  <c:v>10.95</c:v>
                </c:pt>
                <c:pt idx="147">
                  <c:v>11.025</c:v>
                </c:pt>
                <c:pt idx="148">
                  <c:v>11.1</c:v>
                </c:pt>
                <c:pt idx="149">
                  <c:v>11.175000000000001</c:v>
                </c:pt>
                <c:pt idx="150">
                  <c:v>11.25</c:v>
                </c:pt>
                <c:pt idx="151">
                  <c:v>11.324999999999999</c:v>
                </c:pt>
                <c:pt idx="152">
                  <c:v>11.4</c:v>
                </c:pt>
                <c:pt idx="153">
                  <c:v>11.475</c:v>
                </c:pt>
                <c:pt idx="154">
                  <c:v>11.55</c:v>
                </c:pt>
                <c:pt idx="155">
                  <c:v>11.625</c:v>
                </c:pt>
                <c:pt idx="156">
                  <c:v>11.700000000000001</c:v>
                </c:pt>
                <c:pt idx="157">
                  <c:v>11.775</c:v>
                </c:pt>
                <c:pt idx="158">
                  <c:v>11.850000000000001</c:v>
                </c:pt>
                <c:pt idx="159">
                  <c:v>11.925000000000001</c:v>
                </c:pt>
                <c:pt idx="160">
                  <c:v>12</c:v>
                </c:pt>
                <c:pt idx="161">
                  <c:v>12.075000000000001</c:v>
                </c:pt>
                <c:pt idx="162">
                  <c:v>12.15</c:v>
                </c:pt>
                <c:pt idx="163">
                  <c:v>12.225</c:v>
                </c:pt>
                <c:pt idx="164">
                  <c:v>12.299999999999999</c:v>
                </c:pt>
                <c:pt idx="165">
                  <c:v>12.375</c:v>
                </c:pt>
                <c:pt idx="166">
                  <c:v>12.45</c:v>
                </c:pt>
                <c:pt idx="167">
                  <c:v>12.524999999999999</c:v>
                </c:pt>
                <c:pt idx="168">
                  <c:v>12.6</c:v>
                </c:pt>
                <c:pt idx="169">
                  <c:v>12.674999999999999</c:v>
                </c:pt>
                <c:pt idx="170">
                  <c:v>12.75</c:v>
                </c:pt>
                <c:pt idx="171">
                  <c:v>12.824999999999999</c:v>
                </c:pt>
                <c:pt idx="172">
                  <c:v>12.9</c:v>
                </c:pt>
                <c:pt idx="173">
                  <c:v>12.975</c:v>
                </c:pt>
                <c:pt idx="174">
                  <c:v>13.05</c:v>
                </c:pt>
                <c:pt idx="175">
                  <c:v>13.125</c:v>
                </c:pt>
                <c:pt idx="176">
                  <c:v>13.2</c:v>
                </c:pt>
                <c:pt idx="177">
                  <c:v>13.275</c:v>
                </c:pt>
                <c:pt idx="178">
                  <c:v>13.35</c:v>
                </c:pt>
                <c:pt idx="179">
                  <c:v>13.425000000000001</c:v>
                </c:pt>
                <c:pt idx="180">
                  <c:v>13.5</c:v>
                </c:pt>
                <c:pt idx="181">
                  <c:v>13.575000000000001</c:v>
                </c:pt>
                <c:pt idx="182">
                  <c:v>13.65</c:v>
                </c:pt>
                <c:pt idx="183">
                  <c:v>13.725000000000001</c:v>
                </c:pt>
                <c:pt idx="184">
                  <c:v>13.8</c:v>
                </c:pt>
                <c:pt idx="185">
                  <c:v>13.875</c:v>
                </c:pt>
                <c:pt idx="186">
                  <c:v>13.950000000000001</c:v>
                </c:pt>
                <c:pt idx="187">
                  <c:v>14.025</c:v>
                </c:pt>
                <c:pt idx="188">
                  <c:v>14.1</c:v>
                </c:pt>
                <c:pt idx="189">
                  <c:v>14.174999999999999</c:v>
                </c:pt>
                <c:pt idx="190">
                  <c:v>14.25</c:v>
                </c:pt>
                <c:pt idx="191">
                  <c:v>14.324999999999999</c:v>
                </c:pt>
                <c:pt idx="192">
                  <c:v>14.399999999999999</c:v>
                </c:pt>
                <c:pt idx="193">
                  <c:v>14.475</c:v>
                </c:pt>
                <c:pt idx="194">
                  <c:v>14.549999999999999</c:v>
                </c:pt>
                <c:pt idx="195">
                  <c:v>14.625</c:v>
                </c:pt>
                <c:pt idx="196">
                  <c:v>14.7</c:v>
                </c:pt>
                <c:pt idx="197">
                  <c:v>14.775</c:v>
                </c:pt>
                <c:pt idx="198">
                  <c:v>14.85</c:v>
                </c:pt>
                <c:pt idx="199">
                  <c:v>14.925000000000001</c:v>
                </c:pt>
                <c:pt idx="200">
                  <c:v>15</c:v>
                </c:pt>
              </c:numCache>
            </c:numRef>
          </c:xVal>
          <c:yVal>
            <c:numRef>
              <c:f>'Power Calculations'!$AR$9:$AR$209</c:f>
              <c:numCache>
                <c:formatCode>0.0</c:formatCode>
                <c:ptCount val="201"/>
                <c:pt idx="0">
                  <c:v>2.4580931877844807</c:v>
                </c:pt>
                <c:pt idx="1">
                  <c:v>2.4555213971374048</c:v>
                </c:pt>
                <c:pt idx="2">
                  <c:v>2.4620348307323092</c:v>
                </c:pt>
                <c:pt idx="3">
                  <c:v>2.4776471469758841</c:v>
                </c:pt>
                <c:pt idx="4">
                  <c:v>2.5023739860433638</c:v>
                </c:pt>
                <c:pt idx="5">
                  <c:v>2.5362329805686001</c:v>
                </c:pt>
                <c:pt idx="6">
                  <c:v>2.5792437674395976</c:v>
                </c:pt>
                <c:pt idx="7">
                  <c:v>2.6314280007126585</c:v>
                </c:pt>
                <c:pt idx="8">
                  <c:v>2.6928093656594494</c:v>
                </c:pt>
                <c:pt idx="9">
                  <c:v>2.7634135939625679</c:v>
                </c:pt>
                <c:pt idx="10">
                  <c:v>2.8432684800763046</c:v>
                </c:pt>
                <c:pt idx="11">
                  <c:v>2.9324038987707053</c:v>
                </c:pt>
                <c:pt idx="12">
                  <c:v>3.0308518238782343</c:v>
                </c:pt>
                <c:pt idx="13">
                  <c:v>3.1386463482636775</c:v>
                </c:pt>
                <c:pt idx="14">
                  <c:v>3.2558237050393535</c:v>
                </c:pt>
                <c:pt idx="15">
                  <c:v>3.3824222900490275</c:v>
                </c:pt>
                <c:pt idx="16">
                  <c:v>3.5184826856454317</c:v>
                </c:pt>
                <c:pt idx="17">
                  <c:v>3.6640476857877258</c:v>
                </c:pt>
                <c:pt idx="18">
                  <c:v>3.8191623224868185</c:v>
                </c:pt>
                <c:pt idx="19">
                  <c:v>3.9838738936280431</c:v>
                </c:pt>
                <c:pt idx="20">
                  <c:v>4.1582319922022766</c:v>
                </c:pt>
                <c:pt idx="21">
                  <c:v>4.3422885369783764</c:v>
                </c:pt>
                <c:pt idx="22">
                  <c:v>4.7529638241547802</c:v>
                </c:pt>
                <c:pt idx="23">
                  <c:v>5.5626343093644381</c:v>
                </c:pt>
                <c:pt idx="24">
                  <c:v>6.3460326989712899</c:v>
                </c:pt>
                <c:pt idx="25">
                  <c:v>7.103190384973229</c:v>
                </c:pt>
                <c:pt idx="26">
                  <c:v>7.834133119641761</c:v>
                </c:pt>
                <c:pt idx="27">
                  <c:v>8.5388809874846903</c:v>
                </c:pt>
                <c:pt idx="28">
                  <c:v>9.2174483738629132</c:v>
                </c:pt>
                <c:pt idx="29">
                  <c:v>9.8698439302050325</c:v>
                </c:pt>
                <c:pt idx="30">
                  <c:v>10.370009260703155</c:v>
                </c:pt>
                <c:pt idx="31">
                  <c:v>10.722737002039988</c:v>
                </c:pt>
                <c:pt idx="32">
                  <c:v>11.086208832620935</c:v>
                </c:pt>
                <c:pt idx="33">
                  <c:v>11.460516690292744</c:v>
                </c:pt>
                <c:pt idx="34">
                  <c:v>11.845755517372874</c:v>
                </c:pt>
                <c:pt idx="35">
                  <c:v>12.242023320570169</c:v>
                </c:pt>
                <c:pt idx="36">
                  <c:v>12.64942123321258</c:v>
                </c:pt>
                <c:pt idx="37">
                  <c:v>13.068053579857725</c:v>
                </c:pt>
                <c:pt idx="38">
                  <c:v>13.498027943365791</c:v>
                </c:pt>
                <c:pt idx="39">
                  <c:v>13.939455234517812</c:v>
                </c:pt>
                <c:pt idx="40">
                  <c:v>14.392449764266363</c:v>
                </c:pt>
                <c:pt idx="41">
                  <c:v>14.857129318709669</c:v>
                </c:pt>
                <c:pt idx="42">
                  <c:v>15.333615236884304</c:v>
                </c:pt>
                <c:pt idx="43">
                  <c:v>15.822032491476199</c:v>
                </c:pt>
                <c:pt idx="44">
                  <c:v>16.322509772554323</c:v>
                </c:pt>
                <c:pt idx="45">
                  <c:v>16.835179574436129</c:v>
                </c:pt>
                <c:pt idx="46">
                  <c:v>17.360178285799073</c:v>
                </c:pt>
                <c:pt idx="47">
                  <c:v>17.897646283157872</c:v>
                </c:pt>
                <c:pt idx="48">
                  <c:v>18.447728027832863</c:v>
                </c:pt>
                <c:pt idx="49">
                  <c:v>19.010572166540328</c:v>
                </c:pt>
                <c:pt idx="50">
                  <c:v>19.586331635742614</c:v>
                </c:pt>
                <c:pt idx="51">
                  <c:v>20.175163769901442</c:v>
                </c:pt>
                <c:pt idx="52">
                  <c:v>20.777230413785592</c:v>
                </c:pt>
                <c:pt idx="53">
                  <c:v>21.392698038990584</c:v>
                </c:pt>
                <c:pt idx="54">
                  <c:v>22.021737864835963</c:v>
                </c:pt>
                <c:pt idx="55">
                  <c:v>22.664525983813682</c:v>
                </c:pt>
                <c:pt idx="56">
                  <c:v>23.321243491769511</c:v>
                </c:pt>
                <c:pt idx="57">
                  <c:v>23.992076623007971</c:v>
                </c:pt>
                <c:pt idx="58">
                  <c:v>24.677216890521031</c:v>
                </c:pt>
                <c:pt idx="59">
                  <c:v>25.376861231550173</c:v>
                </c:pt>
                <c:pt idx="60">
                  <c:v>26.091212158702028</c:v>
                </c:pt>
                <c:pt idx="61">
                  <c:v>26.820477916848656</c:v>
                </c:pt>
                <c:pt idx="62">
                  <c:v>27.564872646054976</c:v>
                </c:pt>
                <c:pt idx="63">
                  <c:v>28.324616550787834</c:v>
                </c:pt>
                <c:pt idx="64">
                  <c:v>29.099936075674346</c:v>
                </c:pt>
                <c:pt idx="65">
                  <c:v>29.891064088090271</c:v>
                </c:pt>
                <c:pt idx="66">
                  <c:v>30.698240067873844</c:v>
                </c:pt>
                <c:pt idx="67">
                  <c:v>31.521710304475221</c:v>
                </c:pt>
                <c:pt idx="68">
                  <c:v>32.361728101867676</c:v>
                </c:pt>
                <c:pt idx="69">
                  <c:v>33.218553991563944</c:v>
                </c:pt>
                <c:pt idx="70">
                  <c:v>34.092455954098455</c:v>
                </c:pt>
                <c:pt idx="71">
                  <c:v>34.983709649355077</c:v>
                </c:pt>
                <c:pt idx="72">
                  <c:v>35.892598656140585</c:v>
                </c:pt>
                <c:pt idx="73">
                  <c:v>36.819414721424437</c:v>
                </c:pt>
                <c:pt idx="74">
                  <c:v>37.764458019688199</c:v>
                </c:pt>
                <c:pt idx="75">
                  <c:v>38.728037422851983</c:v>
                </c:pt>
                <c:pt idx="76">
                  <c:v>39.710470781269855</c:v>
                </c:pt>
                <c:pt idx="77">
                  <c:v>40.712085216313483</c:v>
                </c:pt>
                <c:pt idx="78">
                  <c:v>41.733217425091127</c:v>
                </c:pt>
                <c:pt idx="79">
                  <c:v>42.774213997879507</c:v>
                </c:pt>
                <c:pt idx="80">
                  <c:v>43.83543174887803</c:v>
                </c:pt>
                <c:pt idx="81">
                  <c:v>44.917238060928391</c:v>
                </c:pt>
                <c:pt idx="82">
                  <c:v>46.020011244879214</c:v>
                </c:pt>
                <c:pt idx="83">
                  <c:v>47.144140914313525</c:v>
                </c:pt>
                <c:pt idx="84">
                  <c:v>48.290028376397281</c:v>
                </c:pt>
                <c:pt idx="85">
                  <c:v>49.458087039651247</c:v>
                </c:pt>
                <c:pt idx="86">
                  <c:v>50.648742839494666</c:v>
                </c:pt>
                <c:pt idx="87">
                  <c:v>51.86243468245722</c:v>
                </c:pt>
                <c:pt idx="88">
                  <c:v>53.099614910010658</c:v>
                </c:pt>
                <c:pt idx="89">
                  <c:v>54.360749783024779</c:v>
                </c:pt>
                <c:pt idx="90">
                  <c:v>55.646319987913856</c:v>
                </c:pt>
                <c:pt idx="91">
                  <c:v>56.956821165603017</c:v>
                </c:pt>
                <c:pt idx="92">
                  <c:v>58.292764464510796</c:v>
                </c:pt>
                <c:pt idx="93">
                  <c:v>59.654677118819357</c:v>
                </c:pt>
                <c:pt idx="94">
                  <c:v>61.043103053378019</c:v>
                </c:pt>
                <c:pt idx="95">
                  <c:v>62.458603516671907</c:v>
                </c:pt>
                <c:pt idx="96">
                  <c:v>63.90175774337397</c:v>
                </c:pt>
                <c:pt idx="97">
                  <c:v>65.373163648095371</c:v>
                </c:pt>
                <c:pt idx="98">
                  <c:v>66.873438552049137</c:v>
                </c:pt>
                <c:pt idx="99">
                  <c:v>68.403219944452829</c:v>
                </c:pt>
                <c:pt idx="100">
                  <c:v>69.963166280611233</c:v>
                </c:pt>
                <c:pt idx="101">
                  <c:v>71.553957818746682</c:v>
                </c:pt>
                <c:pt idx="102">
                  <c:v>73.176297497777711</c:v>
                </c:pt>
                <c:pt idx="103">
                  <c:v>74.830911858392014</c:v>
                </c:pt>
                <c:pt idx="104">
                  <c:v>76.518552009915609</c:v>
                </c:pt>
                <c:pt idx="105">
                  <c:v>78.239994645643904</c:v>
                </c:pt>
                <c:pt idx="106">
                  <c:v>79.996043109483367</c:v>
                </c:pt>
                <c:pt idx="107">
                  <c:v>81.787528516942871</c:v>
                </c:pt>
                <c:pt idx="108">
                  <c:v>83.615310933722526</c:v>
                </c:pt>
                <c:pt idx="109">
                  <c:v>85.480280615372138</c:v>
                </c:pt>
                <c:pt idx="110">
                  <c:v>87.383359311732164</c:v>
                </c:pt>
                <c:pt idx="111">
                  <c:v>89.325501640131236</c:v>
                </c:pt>
                <c:pt idx="112">
                  <c:v>91.307696531594502</c:v>
                </c:pt>
                <c:pt idx="113">
                  <c:v>93.330968754623058</c:v>
                </c:pt>
                <c:pt idx="114">
                  <c:v>95.396380521430473</c:v>
                </c:pt>
                <c:pt idx="115">
                  <c:v>97.505033181880009</c:v>
                </c:pt>
                <c:pt idx="116">
                  <c:v>99.658069010749358</c:v>
                </c:pt>
                <c:pt idx="117">
                  <c:v>101.85667309436811</c:v>
                </c:pt>
                <c:pt idx="118">
                  <c:v>104.10207532312225</c:v>
                </c:pt>
                <c:pt idx="119">
                  <c:v>106.39555249681283</c:v>
                </c:pt>
                <c:pt idx="120">
                  <c:v>108.73843055038701</c:v>
                </c:pt>
                <c:pt idx="121">
                  <c:v>111.13208690813678</c:v>
                </c:pt>
                <c:pt idx="122">
                  <c:v>113.57795297509146</c:v>
                </c:pt>
                <c:pt idx="123">
                  <c:v>116.07751677501126</c:v>
                </c:pt>
                <c:pt idx="124">
                  <c:v>118.63232574513685</c:v>
                </c:pt>
                <c:pt idx="125">
                  <c:v>121.24398969866076</c:v>
                </c:pt>
                <c:pt idx="126">
                  <c:v>123.91418396677193</c:v>
                </c:pt>
                <c:pt idx="127">
                  <c:v>126.6446527330919</c:v>
                </c:pt>
                <c:pt idx="128">
                  <c:v>129.4372125743779</c:v>
                </c:pt>
                <c:pt idx="129">
                  <c:v>132.29375622252545</c:v>
                </c:pt>
                <c:pt idx="130">
                  <c:v>135.21625656416518</c:v>
                </c:pt>
                <c:pt idx="131">
                  <c:v>138.20677089553709</c:v>
                </c:pt>
                <c:pt idx="132">
                  <c:v>141.26744545184707</c:v>
                </c:pt>
                <c:pt idx="133">
                  <c:v>144.40052023197484</c:v>
                </c:pt>
                <c:pt idx="134">
                  <c:v>147.60833414124298</c:v>
                </c:pt>
                <c:pt idx="135">
                  <c:v>150.89333047696758</c:v>
                </c:pt>
                <c:pt idx="136">
                  <c:v>154.25806278373855</c:v>
                </c:pt>
                <c:pt idx="137">
                  <c:v>157.70520110781933</c:v>
                </c:pt>
                <c:pt idx="138">
                  <c:v>161.23753868276486</c:v>
                </c:pt>
                <c:pt idx="139">
                  <c:v>164.85799908133325</c:v>
                </c:pt>
                <c:pt idx="140">
                  <c:v>168.56964387207017</c:v>
                </c:pt>
                <c:pt idx="141">
                  <c:v>172.37568082259997</c:v>
                </c:pt>
                <c:pt idx="142">
                  <c:v>176.27947269570203</c:v>
                </c:pt>
                <c:pt idx="143">
                  <c:v>180.28454668874753</c:v>
                </c:pt>
                <c:pt idx="144">
                  <c:v>184.39460457206289</c:v>
                </c:pt>
                <c:pt idx="145">
                  <c:v>188.61353358734016</c:v>
                </c:pt>
                <c:pt idx="146">
                  <c:v>192.94541817339848</c:v>
                </c:pt>
                <c:pt idx="147">
                  <c:v>197.39455259350447</c:v>
                </c:pt>
                <c:pt idx="148">
                  <c:v>201.96545454615975</c:v>
                </c:pt>
                <c:pt idx="149">
                  <c:v>206.66287984988233</c:v>
                </c:pt>
                <c:pt idx="150">
                  <c:v>211.49183830216145</c:v>
                </c:pt>
                <c:pt idx="151">
                  <c:v>216.45761082358587</c:v>
                </c:pt>
                <c:pt idx="152">
                  <c:v>221.56576801030388</c:v>
                </c:pt>
                <c:pt idx="153">
                  <c:v>226.82219023164819</c:v>
                </c:pt>
                <c:pt idx="154">
                  <c:v>232.23308942516985</c:v>
                </c:pt>
                <c:pt idx="155">
                  <c:v>237.80503275871138</c:v>
                </c:pt>
                <c:pt idx="156">
                  <c:v>243.54496834879791</c:v>
                </c:pt>
                <c:pt idx="157">
                  <c:v>249.46025324689427</c:v>
                </c:pt>
                <c:pt idx="158">
                  <c:v>255.55868393030036</c:v>
                </c:pt>
                <c:pt idx="159">
                  <c:v>261.84852956314955</c:v>
                </c:pt>
                <c:pt idx="160">
                  <c:v>268.33856832561918</c:v>
                </c:pt>
                <c:pt idx="161">
                  <c:v>275.03812714670414</c:v>
                </c:pt>
                <c:pt idx="162">
                  <c:v>281.95712521844968</c:v>
                </c:pt>
                <c:pt idx="163">
                  <c:v>289.10612171827927</c:v>
                </c:pt>
                <c:pt idx="164">
                  <c:v>296.49636822194844</c:v>
                </c:pt>
                <c:pt idx="165">
                  <c:v>304.13986635395685</c:v>
                </c:pt>
                <c:pt idx="166">
                  <c:v>312.04943129633648</c:v>
                </c:pt>
                <c:pt idx="167">
                  <c:v>320.23876186230785</c:v>
                </c:pt>
                <c:pt idx="168">
                  <c:v>328.72251794038436</c:v>
                </c:pt>
                <c:pt idx="169">
                  <c:v>337.51640622948099</c:v>
                </c:pt>
                <c:pt idx="170">
                  <c:v>346.63727531939054</c:v>
                </c:pt>
                <c:pt idx="171">
                  <c:v>356.10322132704783</c:v>
                </c:pt>
                <c:pt idx="172">
                  <c:v>365.93370548156054</c:v>
                </c:pt>
                <c:pt idx="173">
                  <c:v>376.14968526509296</c:v>
                </c:pt>
                <c:pt idx="174">
                  <c:v>386.77376096858922</c:v>
                </c:pt>
                <c:pt idx="175">
                  <c:v>397.83033981844028</c:v>
                </c:pt>
                <c:pt idx="176">
                  <c:v>409.34582018195027</c:v>
                </c:pt>
                <c:pt idx="177">
                  <c:v>421.34879877700513</c:v>
                </c:pt>
                <c:pt idx="178">
                  <c:v>433.87030430881327</c:v>
                </c:pt>
                <c:pt idx="179">
                  <c:v>446.94406155131577</c:v>
                </c:pt>
                <c:pt idx="180">
                  <c:v>460.60679060434524</c:v>
                </c:pt>
                <c:pt idx="181">
                  <c:v>474.89854691697849</c:v>
                </c:pt>
                <c:pt idx="182">
                  <c:v>489.86310870647429</c:v>
                </c:pt>
                <c:pt idx="183">
                  <c:v>505.54841966362534</c:v>
                </c:pt>
                <c:pt idx="184">
                  <c:v>522.0070963732901</c:v>
                </c:pt>
                <c:pt idx="185">
                  <c:v>539.29701176255185</c:v>
                </c:pt>
                <c:pt idx="186">
                  <c:v>557.48196820673604</c:v>
                </c:pt>
                <c:pt idx="187">
                  <c:v>576.63247678966763</c:v>
                </c:pt>
                <c:pt idx="188">
                  <c:v>596.82666277701674</c:v>
                </c:pt>
                <c:pt idx="189">
                  <c:v>618.15132181347576</c:v>
                </c:pt>
                <c:pt idx="190">
                  <c:v>640.7031569498514</c:v>
                </c:pt>
                <c:pt idx="191">
                  <c:v>664.59023368050009</c:v>
                </c:pt>
                <c:pt idx="192">
                  <c:v>689.93369917275368</c:v>
                </c:pt>
                <c:pt idx="193">
                  <c:v>716.86982339911378</c:v>
                </c:pt>
                <c:pt idx="194">
                  <c:v>745.55243475457189</c:v>
                </c:pt>
                <c:pt idx="195">
                  <c:v>776.15584206763913</c:v>
                </c:pt>
                <c:pt idx="196">
                  <c:v>808.8783602285132</c:v>
                </c:pt>
                <c:pt idx="197">
                  <c:v>843.94659009645477</c:v>
                </c:pt>
                <c:pt idx="198">
                  <c:v>881.6206479146947</c:v>
                </c:pt>
                <c:pt idx="199">
                  <c:v>922.20059942774401</c:v>
                </c:pt>
                <c:pt idx="200">
                  <c:v>966.03443541142656</c:v>
                </c:pt>
              </c:numCache>
            </c:numRef>
          </c:yVal>
          <c:smooth val="0"/>
          <c:extLst>
            <c:ext xmlns:c16="http://schemas.microsoft.com/office/drawing/2014/chart" uri="{C3380CC4-5D6E-409C-BE32-E72D297353CC}">
              <c16:uniqueId val="{00000000-9EA1-4F4F-9ACD-6AF9DCA0F73F}"/>
            </c:ext>
          </c:extLst>
        </c:ser>
        <c:ser>
          <c:idx val="1"/>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7.4999999999999997E-2</c:v>
                </c:pt>
                <c:pt idx="2">
                  <c:v>0.15</c:v>
                </c:pt>
                <c:pt idx="3">
                  <c:v>0.22499999999999998</c:v>
                </c:pt>
                <c:pt idx="4">
                  <c:v>0.3</c:v>
                </c:pt>
                <c:pt idx="5">
                  <c:v>0.375</c:v>
                </c:pt>
                <c:pt idx="6">
                  <c:v>0.44999999999999996</c:v>
                </c:pt>
                <c:pt idx="7">
                  <c:v>0.52500000000000002</c:v>
                </c:pt>
                <c:pt idx="8">
                  <c:v>0.6</c:v>
                </c:pt>
                <c:pt idx="9">
                  <c:v>0.67499999999999993</c:v>
                </c:pt>
                <c:pt idx="10">
                  <c:v>0.75</c:v>
                </c:pt>
                <c:pt idx="11">
                  <c:v>0.82499999999999996</c:v>
                </c:pt>
                <c:pt idx="12">
                  <c:v>0.89999999999999991</c:v>
                </c:pt>
                <c:pt idx="13">
                  <c:v>0.97500000000000009</c:v>
                </c:pt>
                <c:pt idx="14">
                  <c:v>1.05</c:v>
                </c:pt>
                <c:pt idx="15">
                  <c:v>1.125</c:v>
                </c:pt>
                <c:pt idx="16">
                  <c:v>1.2</c:v>
                </c:pt>
                <c:pt idx="17">
                  <c:v>1.2750000000000001</c:v>
                </c:pt>
                <c:pt idx="18">
                  <c:v>1.3499999999999999</c:v>
                </c:pt>
                <c:pt idx="19">
                  <c:v>1.425</c:v>
                </c:pt>
                <c:pt idx="20">
                  <c:v>1.5</c:v>
                </c:pt>
                <c:pt idx="21">
                  <c:v>1.575</c:v>
                </c:pt>
                <c:pt idx="22">
                  <c:v>1.65</c:v>
                </c:pt>
                <c:pt idx="23">
                  <c:v>1.7250000000000001</c:v>
                </c:pt>
                <c:pt idx="24">
                  <c:v>1.7999999999999998</c:v>
                </c:pt>
                <c:pt idx="25">
                  <c:v>1.875</c:v>
                </c:pt>
                <c:pt idx="26">
                  <c:v>1.9500000000000002</c:v>
                </c:pt>
                <c:pt idx="27">
                  <c:v>2.0250000000000004</c:v>
                </c:pt>
                <c:pt idx="28">
                  <c:v>2.1</c:v>
                </c:pt>
                <c:pt idx="29">
                  <c:v>2.1749999999999998</c:v>
                </c:pt>
                <c:pt idx="30">
                  <c:v>2.25</c:v>
                </c:pt>
                <c:pt idx="31">
                  <c:v>2.3250000000000002</c:v>
                </c:pt>
                <c:pt idx="32">
                  <c:v>2.4</c:v>
                </c:pt>
                <c:pt idx="33">
                  <c:v>2.4750000000000001</c:v>
                </c:pt>
                <c:pt idx="34">
                  <c:v>2.5500000000000003</c:v>
                </c:pt>
                <c:pt idx="35">
                  <c:v>2.625</c:v>
                </c:pt>
                <c:pt idx="36">
                  <c:v>2.6999999999999997</c:v>
                </c:pt>
                <c:pt idx="37">
                  <c:v>2.7749999999999999</c:v>
                </c:pt>
                <c:pt idx="38">
                  <c:v>2.85</c:v>
                </c:pt>
                <c:pt idx="39">
                  <c:v>2.9250000000000003</c:v>
                </c:pt>
                <c:pt idx="40">
                  <c:v>3</c:v>
                </c:pt>
                <c:pt idx="41">
                  <c:v>3.0749999999999997</c:v>
                </c:pt>
                <c:pt idx="42">
                  <c:v>3.15</c:v>
                </c:pt>
                <c:pt idx="43">
                  <c:v>3.2250000000000001</c:v>
                </c:pt>
                <c:pt idx="44">
                  <c:v>3.3</c:v>
                </c:pt>
                <c:pt idx="45">
                  <c:v>3.375</c:v>
                </c:pt>
                <c:pt idx="46">
                  <c:v>3.45</c:v>
                </c:pt>
                <c:pt idx="47">
                  <c:v>3.5249999999999999</c:v>
                </c:pt>
                <c:pt idx="48">
                  <c:v>3.5999999999999996</c:v>
                </c:pt>
                <c:pt idx="49">
                  <c:v>3.6749999999999998</c:v>
                </c:pt>
                <c:pt idx="50">
                  <c:v>3.75</c:v>
                </c:pt>
                <c:pt idx="51">
                  <c:v>3.8250000000000002</c:v>
                </c:pt>
                <c:pt idx="52">
                  <c:v>3.9000000000000004</c:v>
                </c:pt>
                <c:pt idx="53">
                  <c:v>3.9750000000000001</c:v>
                </c:pt>
                <c:pt idx="54">
                  <c:v>4.0500000000000007</c:v>
                </c:pt>
                <c:pt idx="55">
                  <c:v>4.125</c:v>
                </c:pt>
                <c:pt idx="56">
                  <c:v>4.2</c:v>
                </c:pt>
                <c:pt idx="57">
                  <c:v>4.2749999999999995</c:v>
                </c:pt>
                <c:pt idx="58">
                  <c:v>4.3499999999999996</c:v>
                </c:pt>
                <c:pt idx="59">
                  <c:v>4.4249999999999998</c:v>
                </c:pt>
                <c:pt idx="60">
                  <c:v>4.5</c:v>
                </c:pt>
                <c:pt idx="61">
                  <c:v>4.5750000000000002</c:v>
                </c:pt>
                <c:pt idx="62">
                  <c:v>4.6500000000000004</c:v>
                </c:pt>
                <c:pt idx="63">
                  <c:v>4.7249999999999996</c:v>
                </c:pt>
                <c:pt idx="64">
                  <c:v>4.8</c:v>
                </c:pt>
                <c:pt idx="65">
                  <c:v>4.875</c:v>
                </c:pt>
                <c:pt idx="66">
                  <c:v>4.95</c:v>
                </c:pt>
                <c:pt idx="67">
                  <c:v>5.0250000000000004</c:v>
                </c:pt>
                <c:pt idx="68">
                  <c:v>5.1000000000000005</c:v>
                </c:pt>
                <c:pt idx="69">
                  <c:v>5.1749999999999998</c:v>
                </c:pt>
                <c:pt idx="70">
                  <c:v>5.25</c:v>
                </c:pt>
                <c:pt idx="71">
                  <c:v>5.3249999999999993</c:v>
                </c:pt>
                <c:pt idx="72">
                  <c:v>5.3999999999999995</c:v>
                </c:pt>
                <c:pt idx="73">
                  <c:v>5.4749999999999996</c:v>
                </c:pt>
                <c:pt idx="74">
                  <c:v>5.55</c:v>
                </c:pt>
                <c:pt idx="75">
                  <c:v>5.625</c:v>
                </c:pt>
                <c:pt idx="76">
                  <c:v>5.7</c:v>
                </c:pt>
                <c:pt idx="77">
                  <c:v>5.7750000000000004</c:v>
                </c:pt>
                <c:pt idx="78">
                  <c:v>5.8500000000000005</c:v>
                </c:pt>
                <c:pt idx="79">
                  <c:v>5.9250000000000007</c:v>
                </c:pt>
                <c:pt idx="80">
                  <c:v>6</c:v>
                </c:pt>
                <c:pt idx="81">
                  <c:v>6.0750000000000002</c:v>
                </c:pt>
                <c:pt idx="82">
                  <c:v>6.1499999999999995</c:v>
                </c:pt>
                <c:pt idx="83">
                  <c:v>6.2249999999999996</c:v>
                </c:pt>
                <c:pt idx="84">
                  <c:v>6.3</c:v>
                </c:pt>
                <c:pt idx="85">
                  <c:v>6.375</c:v>
                </c:pt>
                <c:pt idx="86">
                  <c:v>6.45</c:v>
                </c:pt>
                <c:pt idx="87">
                  <c:v>6.5250000000000004</c:v>
                </c:pt>
                <c:pt idx="88">
                  <c:v>6.6</c:v>
                </c:pt>
                <c:pt idx="89">
                  <c:v>6.6749999999999998</c:v>
                </c:pt>
                <c:pt idx="90">
                  <c:v>6.75</c:v>
                </c:pt>
                <c:pt idx="91">
                  <c:v>6.8250000000000002</c:v>
                </c:pt>
                <c:pt idx="92">
                  <c:v>6.9</c:v>
                </c:pt>
                <c:pt idx="93">
                  <c:v>6.9750000000000005</c:v>
                </c:pt>
                <c:pt idx="94">
                  <c:v>7.05</c:v>
                </c:pt>
                <c:pt idx="95">
                  <c:v>7.125</c:v>
                </c:pt>
                <c:pt idx="96">
                  <c:v>7.1999999999999993</c:v>
                </c:pt>
                <c:pt idx="97">
                  <c:v>7.2749999999999995</c:v>
                </c:pt>
                <c:pt idx="98">
                  <c:v>7.35</c:v>
                </c:pt>
                <c:pt idx="99">
                  <c:v>7.4249999999999998</c:v>
                </c:pt>
                <c:pt idx="100">
                  <c:v>7.5</c:v>
                </c:pt>
                <c:pt idx="101">
                  <c:v>7.5750000000000002</c:v>
                </c:pt>
                <c:pt idx="102">
                  <c:v>7.65</c:v>
                </c:pt>
                <c:pt idx="103">
                  <c:v>7.7250000000000005</c:v>
                </c:pt>
                <c:pt idx="104">
                  <c:v>7.8000000000000007</c:v>
                </c:pt>
                <c:pt idx="105">
                  <c:v>7.875</c:v>
                </c:pt>
                <c:pt idx="106">
                  <c:v>7.95</c:v>
                </c:pt>
                <c:pt idx="107">
                  <c:v>8.0250000000000004</c:v>
                </c:pt>
                <c:pt idx="108">
                  <c:v>8.1000000000000014</c:v>
                </c:pt>
                <c:pt idx="109">
                  <c:v>8.1750000000000007</c:v>
                </c:pt>
                <c:pt idx="110">
                  <c:v>8.25</c:v>
                </c:pt>
                <c:pt idx="111">
                  <c:v>8.3250000000000011</c:v>
                </c:pt>
                <c:pt idx="112">
                  <c:v>8.4</c:v>
                </c:pt>
                <c:pt idx="113">
                  <c:v>8.4749999999999996</c:v>
                </c:pt>
                <c:pt idx="114">
                  <c:v>8.5499999999999989</c:v>
                </c:pt>
                <c:pt idx="115">
                  <c:v>8.625</c:v>
                </c:pt>
                <c:pt idx="116">
                  <c:v>8.6999999999999993</c:v>
                </c:pt>
                <c:pt idx="117">
                  <c:v>8.7749999999999986</c:v>
                </c:pt>
                <c:pt idx="118">
                  <c:v>8.85</c:v>
                </c:pt>
                <c:pt idx="119">
                  <c:v>8.9249999999999989</c:v>
                </c:pt>
                <c:pt idx="120">
                  <c:v>9</c:v>
                </c:pt>
                <c:pt idx="121">
                  <c:v>9.0749999999999993</c:v>
                </c:pt>
                <c:pt idx="122">
                  <c:v>9.15</c:v>
                </c:pt>
                <c:pt idx="123">
                  <c:v>9.2249999999999996</c:v>
                </c:pt>
                <c:pt idx="124">
                  <c:v>9.3000000000000007</c:v>
                </c:pt>
                <c:pt idx="125">
                  <c:v>9.375</c:v>
                </c:pt>
                <c:pt idx="126">
                  <c:v>9.4499999999999993</c:v>
                </c:pt>
                <c:pt idx="127">
                  <c:v>9.5250000000000004</c:v>
                </c:pt>
                <c:pt idx="128">
                  <c:v>9.6</c:v>
                </c:pt>
                <c:pt idx="129">
                  <c:v>9.6750000000000007</c:v>
                </c:pt>
                <c:pt idx="130">
                  <c:v>9.75</c:v>
                </c:pt>
                <c:pt idx="131">
                  <c:v>9.8250000000000011</c:v>
                </c:pt>
                <c:pt idx="132">
                  <c:v>9.9</c:v>
                </c:pt>
                <c:pt idx="133">
                  <c:v>9.9750000000000014</c:v>
                </c:pt>
                <c:pt idx="134">
                  <c:v>10.050000000000001</c:v>
                </c:pt>
                <c:pt idx="135">
                  <c:v>10.125</c:v>
                </c:pt>
                <c:pt idx="136">
                  <c:v>10.200000000000001</c:v>
                </c:pt>
                <c:pt idx="137">
                  <c:v>10.275</c:v>
                </c:pt>
                <c:pt idx="138">
                  <c:v>10.35</c:v>
                </c:pt>
                <c:pt idx="139">
                  <c:v>10.424999999999999</c:v>
                </c:pt>
                <c:pt idx="140">
                  <c:v>10.5</c:v>
                </c:pt>
                <c:pt idx="141">
                  <c:v>10.574999999999999</c:v>
                </c:pt>
                <c:pt idx="142">
                  <c:v>10.649999999999999</c:v>
                </c:pt>
                <c:pt idx="143">
                  <c:v>10.725</c:v>
                </c:pt>
                <c:pt idx="144">
                  <c:v>10.799999999999999</c:v>
                </c:pt>
                <c:pt idx="145">
                  <c:v>10.875</c:v>
                </c:pt>
                <c:pt idx="146">
                  <c:v>10.95</c:v>
                </c:pt>
                <c:pt idx="147">
                  <c:v>11.025</c:v>
                </c:pt>
                <c:pt idx="148">
                  <c:v>11.1</c:v>
                </c:pt>
                <c:pt idx="149">
                  <c:v>11.175000000000001</c:v>
                </c:pt>
                <c:pt idx="150">
                  <c:v>11.25</c:v>
                </c:pt>
                <c:pt idx="151">
                  <c:v>11.324999999999999</c:v>
                </c:pt>
                <c:pt idx="152">
                  <c:v>11.4</c:v>
                </c:pt>
                <c:pt idx="153">
                  <c:v>11.475</c:v>
                </c:pt>
                <c:pt idx="154">
                  <c:v>11.55</c:v>
                </c:pt>
                <c:pt idx="155">
                  <c:v>11.625</c:v>
                </c:pt>
                <c:pt idx="156">
                  <c:v>11.700000000000001</c:v>
                </c:pt>
                <c:pt idx="157">
                  <c:v>11.775</c:v>
                </c:pt>
                <c:pt idx="158">
                  <c:v>11.850000000000001</c:v>
                </c:pt>
                <c:pt idx="159">
                  <c:v>11.925000000000001</c:v>
                </c:pt>
                <c:pt idx="160">
                  <c:v>12</c:v>
                </c:pt>
                <c:pt idx="161">
                  <c:v>12.075000000000001</c:v>
                </c:pt>
                <c:pt idx="162">
                  <c:v>12.15</c:v>
                </c:pt>
                <c:pt idx="163">
                  <c:v>12.225</c:v>
                </c:pt>
                <c:pt idx="164">
                  <c:v>12.299999999999999</c:v>
                </c:pt>
                <c:pt idx="165">
                  <c:v>12.375</c:v>
                </c:pt>
                <c:pt idx="166">
                  <c:v>12.45</c:v>
                </c:pt>
                <c:pt idx="167">
                  <c:v>12.524999999999999</c:v>
                </c:pt>
                <c:pt idx="168">
                  <c:v>12.6</c:v>
                </c:pt>
                <c:pt idx="169">
                  <c:v>12.674999999999999</c:v>
                </c:pt>
                <c:pt idx="170">
                  <c:v>12.75</c:v>
                </c:pt>
                <c:pt idx="171">
                  <c:v>12.824999999999999</c:v>
                </c:pt>
                <c:pt idx="172">
                  <c:v>12.9</c:v>
                </c:pt>
                <c:pt idx="173">
                  <c:v>12.975</c:v>
                </c:pt>
                <c:pt idx="174">
                  <c:v>13.05</c:v>
                </c:pt>
                <c:pt idx="175">
                  <c:v>13.125</c:v>
                </c:pt>
                <c:pt idx="176">
                  <c:v>13.2</c:v>
                </c:pt>
                <c:pt idx="177">
                  <c:v>13.275</c:v>
                </c:pt>
                <c:pt idx="178">
                  <c:v>13.35</c:v>
                </c:pt>
                <c:pt idx="179">
                  <c:v>13.425000000000001</c:v>
                </c:pt>
                <c:pt idx="180">
                  <c:v>13.5</c:v>
                </c:pt>
                <c:pt idx="181">
                  <c:v>13.575000000000001</c:v>
                </c:pt>
                <c:pt idx="182">
                  <c:v>13.65</c:v>
                </c:pt>
                <c:pt idx="183">
                  <c:v>13.725000000000001</c:v>
                </c:pt>
                <c:pt idx="184">
                  <c:v>13.8</c:v>
                </c:pt>
                <c:pt idx="185">
                  <c:v>13.875</c:v>
                </c:pt>
                <c:pt idx="186">
                  <c:v>13.950000000000001</c:v>
                </c:pt>
                <c:pt idx="187">
                  <c:v>14.025</c:v>
                </c:pt>
                <c:pt idx="188">
                  <c:v>14.1</c:v>
                </c:pt>
                <c:pt idx="189">
                  <c:v>14.174999999999999</c:v>
                </c:pt>
                <c:pt idx="190">
                  <c:v>14.25</c:v>
                </c:pt>
                <c:pt idx="191">
                  <c:v>14.324999999999999</c:v>
                </c:pt>
                <c:pt idx="192">
                  <c:v>14.399999999999999</c:v>
                </c:pt>
                <c:pt idx="193">
                  <c:v>14.475</c:v>
                </c:pt>
                <c:pt idx="194">
                  <c:v>14.549999999999999</c:v>
                </c:pt>
                <c:pt idx="195">
                  <c:v>14.625</c:v>
                </c:pt>
                <c:pt idx="196">
                  <c:v>14.7</c:v>
                </c:pt>
                <c:pt idx="197">
                  <c:v>14.775</c:v>
                </c:pt>
                <c:pt idx="198">
                  <c:v>14.85</c:v>
                </c:pt>
                <c:pt idx="199">
                  <c:v>14.925000000000001</c:v>
                </c:pt>
                <c:pt idx="200">
                  <c:v>15</c:v>
                </c:pt>
              </c:numCache>
            </c:numRef>
          </c:xVal>
          <c:yVal>
            <c:numRef>
              <c:f>'Power Calculations'!$AS$9:$AS$209</c:f>
              <c:numCache>
                <c:formatCode>0.0</c:formatCode>
                <c:ptCount val="201"/>
                <c:pt idx="0">
                  <c:v>1.0540900427342699</c:v>
                </c:pt>
                <c:pt idx="1">
                  <c:v>1.0765691327170583</c:v>
                </c:pt>
                <c:pt idx="2">
                  <c:v>1.1023176507960115</c:v>
                </c:pt>
                <c:pt idx="3">
                  <c:v>1.1313352385024245</c:v>
                </c:pt>
                <c:pt idx="4">
                  <c:v>1.1636217907991853</c:v>
                </c:pt>
                <c:pt idx="5">
                  <c:v>1.1991774559040616</c:v>
                </c:pt>
                <c:pt idx="6">
                  <c:v>1.2380026351621314</c:v>
                </c:pt>
                <c:pt idx="7">
                  <c:v>1.2800979829673063</c:v>
                </c:pt>
                <c:pt idx="8">
                  <c:v>1.3254644067328751</c:v>
                </c:pt>
                <c:pt idx="9">
                  <c:v>1.374103066911037</c:v>
                </c:pt>
                <c:pt idx="10">
                  <c:v>1.426015377061403</c:v>
                </c:pt>
                <c:pt idx="11">
                  <c:v>1.4812030039684507</c:v>
                </c:pt>
                <c:pt idx="12">
                  <c:v>1.5396678678079687</c:v>
                </c:pt>
                <c:pt idx="13">
                  <c:v>1.6014121423625016</c:v>
                </c:pt>
                <c:pt idx="14">
                  <c:v>1.6664382552858514</c:v>
                </c:pt>
                <c:pt idx="15">
                  <c:v>1.7347488884167119</c:v>
                </c:pt>
                <c:pt idx="16">
                  <c:v>1.8063469781415087</c:v>
                </c:pt>
                <c:pt idx="17">
                  <c:v>1.8812357158065529</c:v>
                </c:pt>
                <c:pt idx="18">
                  <c:v>1.9594185481796302</c:v>
                </c:pt>
                <c:pt idx="19">
                  <c:v>2.0408991779611632</c:v>
                </c:pt>
                <c:pt idx="20">
                  <c:v>2.1256815643450988</c:v>
                </c:pt>
                <c:pt idx="21">
                  <c:v>2.2137699236297093</c:v>
                </c:pt>
                <c:pt idx="22">
                  <c:v>2.3051687298784769</c:v>
                </c:pt>
                <c:pt idx="23">
                  <c:v>2.3998827156312976</c:v>
                </c:pt>
                <c:pt idx="24">
                  <c:v>2.4979168726662144</c:v>
                </c:pt>
                <c:pt idx="25">
                  <c:v>2.5992764528119414</c:v>
                </c:pt>
                <c:pt idx="26">
                  <c:v>2.7039669688114292</c:v>
                </c:pt>
                <c:pt idx="27">
                  <c:v>2.8119941952367817</c:v>
                </c:pt>
                <c:pt idx="28">
                  <c:v>2.9233641694557964</c:v>
                </c:pt>
                <c:pt idx="29">
                  <c:v>3.0380831926504852</c:v>
                </c:pt>
                <c:pt idx="30">
                  <c:v>3.1654244863658247</c:v>
                </c:pt>
                <c:pt idx="31">
                  <c:v>3.3070307140159438</c:v>
                </c:pt>
                <c:pt idx="32">
                  <c:v>3.4520231044611744</c:v>
                </c:pt>
                <c:pt idx="33">
                  <c:v>3.6004098278368795</c:v>
                </c:pt>
                <c:pt idx="34">
                  <c:v>3.7521993261498192</c:v>
                </c:pt>
                <c:pt idx="35">
                  <c:v>3.9074003147233114</c:v>
                </c:pt>
                <c:pt idx="36">
                  <c:v>4.0660217836977903</c:v>
                </c:pt>
                <c:pt idx="37">
                  <c:v>4.2280729995872566</c:v>
                </c:pt>
                <c:pt idx="38">
                  <c:v>4.3935635068921695</c:v>
                </c:pt>
                <c:pt idx="39">
                  <c:v>4.5625031297693415</c:v>
                </c:pt>
                <c:pt idx="40">
                  <c:v>4.7349019737594116</c:v>
                </c:pt>
                <c:pt idx="41">
                  <c:v>4.9107704275724675</c:v>
                </c:pt>
                <c:pt idx="42">
                  <c:v>5.0901191649325099</c:v>
                </c:pt>
                <c:pt idx="43">
                  <c:v>5.2729591464813144</c:v>
                </c:pt>
                <c:pt idx="44">
                  <c:v>5.4593016217424628</c:v>
                </c:pt>
                <c:pt idx="45">
                  <c:v>5.6491581311461525</c:v>
                </c:pt>
                <c:pt idx="46">
                  <c:v>5.8425405081155368</c:v>
                </c:pt>
                <c:pt idx="47">
                  <c:v>6.0394608812153647</c:v>
                </c:pt>
                <c:pt idx="48">
                  <c:v>6.2399316763636321</c:v>
                </c:pt>
                <c:pt idx="49">
                  <c:v>6.4439656191071046</c:v>
                </c:pt>
                <c:pt idx="50">
                  <c:v>6.6515757369614645</c:v>
                </c:pt>
                <c:pt idx="51">
                  <c:v>6.8627753618169693</c:v>
                </c:pt>
                <c:pt idx="52">
                  <c:v>7.07757813241051</c:v>
                </c:pt>
                <c:pt idx="53">
                  <c:v>7.2959979968649229</c:v>
                </c:pt>
                <c:pt idx="54">
                  <c:v>7.5180492152965339</c:v>
                </c:pt>
                <c:pt idx="55">
                  <c:v>7.7437463624918124</c:v>
                </c:pt>
                <c:pt idx="56">
                  <c:v>7.9731043306542748</c:v>
                </c:pt>
                <c:pt idx="57">
                  <c:v>8.2061383322224675</c:v>
                </c:pt>
                <c:pt idx="58">
                  <c:v>8.4428639027602124</c:v>
                </c:pt>
                <c:pt idx="59">
                  <c:v>8.6832969039201515</c:v>
                </c:pt>
                <c:pt idx="60">
                  <c:v>8.9274535264816723</c:v>
                </c:pt>
                <c:pt idx="61">
                  <c:v>9.1753502934644136</c:v>
                </c:pt>
                <c:pt idx="62">
                  <c:v>9.4270040633184777</c:v>
                </c:pt>
                <c:pt idx="63">
                  <c:v>9.6824320331926081</c:v>
                </c:pt>
                <c:pt idx="64">
                  <c:v>9.9416517422814934</c:v>
                </c:pt>
                <c:pt idx="65">
                  <c:v>10.2046810752536</c:v>
                </c:pt>
                <c:pt idx="66">
                  <c:v>10.471538265760728</c:v>
                </c:pt>
                <c:pt idx="67">
                  <c:v>10.74224190003074</c:v>
                </c:pt>
                <c:pt idx="68">
                  <c:v>11.016810920544803</c:v>
                </c:pt>
                <c:pt idx="69">
                  <c:v>11.295264629800535</c:v>
                </c:pt>
                <c:pt idx="70">
                  <c:v>11.577622694162688</c:v>
                </c:pt>
                <c:pt idx="71">
                  <c:v>11.86390514780266</c:v>
                </c:pt>
                <c:pt idx="72">
                  <c:v>12.154132396728532</c:v>
                </c:pt>
                <c:pt idx="73">
                  <c:v>12.448325222907215</c:v>
                </c:pt>
                <c:pt idx="74">
                  <c:v>12.746504788480284</c:v>
                </c:pt>
                <c:pt idx="75">
                  <c:v>13.048692640075245</c:v>
                </c:pt>
                <c:pt idx="76">
                  <c:v>13.354910713213936</c:v>
                </c:pt>
                <c:pt idx="77">
                  <c:v>13.66518133681984</c:v>
                </c:pt>
                <c:pt idx="78">
                  <c:v>13.979527237826135</c:v>
                </c:pt>
                <c:pt idx="79">
                  <c:v>14.297971545886368</c:v>
                </c:pt>
                <c:pt idx="80">
                  <c:v>14.620537798189678</c:v>
                </c:pt>
                <c:pt idx="81">
                  <c:v>14.947249944382563</c:v>
                </c:pt>
                <c:pt idx="82">
                  <c:v>15.278132351599105</c:v>
                </c:pt>
                <c:pt idx="83">
                  <c:v>15.613209809602006</c:v>
                </c:pt>
                <c:pt idx="84">
                  <c:v>15.952507536036221</c:v>
                </c:pt>
                <c:pt idx="85">
                  <c:v>16.296051181797718</c:v>
                </c:pt>
                <c:pt idx="86">
                  <c:v>16.643866836519418</c:v>
                </c:pt>
                <c:pt idx="87">
                  <c:v>16.99598103417674</c:v>
                </c:pt>
                <c:pt idx="88">
                  <c:v>17.352420758815036</c:v>
                </c:pt>
                <c:pt idx="89">
                  <c:v>17.713213450401536</c:v>
                </c:pt>
                <c:pt idx="90">
                  <c:v>18.078387010804061</c:v>
                </c:pt>
                <c:pt idx="91">
                  <c:v>18.447969809899391</c:v>
                </c:pt>
                <c:pt idx="92">
                  <c:v>18.821990691813664</c:v>
                </c:pt>
                <c:pt idx="93">
                  <c:v>19.200478981297742</c:v>
                </c:pt>
                <c:pt idx="94">
                  <c:v>19.583464490240125</c:v>
                </c:pt>
                <c:pt idx="95">
                  <c:v>19.97097752432062</c:v>
                </c:pt>
                <c:pt idx="96">
                  <c:v>20.363048889807239</c:v>
                </c:pt>
                <c:pt idx="97">
                  <c:v>20.759709900499846</c:v>
                </c:pt>
                <c:pt idx="98">
                  <c:v>21.160992384823363</c:v>
                </c:pt>
                <c:pt idx="99">
                  <c:v>21.566928693073812</c:v>
                </c:pt>
                <c:pt idx="100">
                  <c:v>21.977551704820463</c:v>
                </c:pt>
                <c:pt idx="101">
                  <c:v>22.392894836467558</c:v>
                </c:pt>
                <c:pt idx="102">
                  <c:v>22.812992048978952</c:v>
                </c:pt>
                <c:pt idx="103">
                  <c:v>23.237877855769263</c:v>
                </c:pt>
                <c:pt idx="104">
                  <c:v>23.667587330765272</c:v>
                </c:pt>
                <c:pt idx="105">
                  <c:v>24.10215611664125</c:v>
                </c:pt>
                <c:pt idx="106">
                  <c:v>24.541620433232055</c:v>
                </c:pt>
                <c:pt idx="107">
                  <c:v>24.986017086128104</c:v>
                </c:pt>
                <c:pt idx="108">
                  <c:v>25.435383475456117</c:v>
                </c:pt>
                <c:pt idx="109">
                  <c:v>25.889757604849958</c:v>
                </c:pt>
                <c:pt idx="110">
                  <c:v>26.349178090615872</c:v>
                </c:pt>
                <c:pt idx="111">
                  <c:v>26.81368417109654</c:v>
                </c:pt>
                <c:pt idx="112">
                  <c:v>27.28331571623827</c:v>
                </c:pt>
                <c:pt idx="113">
                  <c:v>27.758113237366523</c:v>
                </c:pt>
                <c:pt idx="114">
                  <c:v>28.23811789717405</c:v>
                </c:pt>
                <c:pt idx="115">
                  <c:v>28.72337151992696</c:v>
                </c:pt>
                <c:pt idx="116">
                  <c:v>29.213916601893402</c:v>
                </c:pt>
                <c:pt idx="117">
                  <c:v>29.709796322000766</c:v>
                </c:pt>
                <c:pt idx="118">
                  <c:v>30.211054552725894</c:v>
                </c:pt>
                <c:pt idx="119">
                  <c:v>30.717735871224562</c:v>
                </c:pt>
                <c:pt idx="120">
                  <c:v>31.229885570705637</c:v>
                </c:pt>
                <c:pt idx="121">
                  <c:v>31.747549672055491</c:v>
                </c:pt>
                <c:pt idx="122">
                  <c:v>32.270774935719515</c:v>
                </c:pt>
                <c:pt idx="123">
                  <c:v>32.799608873845571</c:v>
                </c:pt>
                <c:pt idx="124">
                  <c:v>33.334099762697392</c:v>
                </c:pt>
                <c:pt idx="125">
                  <c:v>33.874296655342832</c:v>
                </c:pt>
                <c:pt idx="126">
                  <c:v>34.42024939462511</c:v>
                </c:pt>
                <c:pt idx="127">
                  <c:v>34.972008626422998</c:v>
                </c:pt>
                <c:pt idx="128">
                  <c:v>35.529625813207595</c:v>
                </c:pt>
                <c:pt idx="129">
                  <c:v>36.093153247902819</c:v>
                </c:pt>
                <c:pt idx="130">
                  <c:v>36.662644068057347</c:v>
                </c:pt>
                <c:pt idx="131">
                  <c:v>37.238152270335497</c:v>
                </c:pt>
                <c:pt idx="132">
                  <c:v>37.819732725335427</c:v>
                </c:pt>
                <c:pt idx="133">
                  <c:v>38.407441192742617</c:v>
                </c:pt>
                <c:pt idx="134">
                  <c:v>39.001334336827163</c:v>
                </c:pt>
                <c:pt idx="135">
                  <c:v>39.601469742293823</c:v>
                </c:pt>
                <c:pt idx="136">
                  <c:v>40.207905930493524</c:v>
                </c:pt>
                <c:pt idx="137">
                  <c:v>40.820702376005755</c:v>
                </c:pt>
                <c:pt idx="138">
                  <c:v>41.439919523601596</c:v>
                </c:pt>
                <c:pt idx="139">
                  <c:v>42.065618805596728</c:v>
                </c:pt>
                <c:pt idx="140">
                  <c:v>42.697862659605057</c:v>
                </c:pt>
                <c:pt idx="141">
                  <c:v>43.336714546703092</c:v>
                </c:pt>
                <c:pt idx="142">
                  <c:v>43.982238970015871</c:v>
                </c:pt>
                <c:pt idx="143">
                  <c:v>44.634501493735939</c:v>
                </c:pt>
                <c:pt idx="144">
                  <c:v>45.29356876258597</c:v>
                </c:pt>
                <c:pt idx="145">
                  <c:v>45.959508521737604</c:v>
                </c:pt>
                <c:pt idx="146">
                  <c:v>46.632389637198266</c:v>
                </c:pt>
                <c:pt idx="147">
                  <c:v>47.312282116678823</c:v>
                </c:pt>
                <c:pt idx="148">
                  <c:v>47.999257130954206</c:v>
                </c:pt>
                <c:pt idx="149">
                  <c:v>48.693387035731448</c:v>
                </c:pt>
                <c:pt idx="150">
                  <c:v>49.394745394037834</c:v>
                </c:pt>
                <c:pt idx="151">
                  <c:v>50.10340699914412</c:v>
                </c:pt>
                <c:pt idx="152">
                  <c:v>50.819447898036884</c:v>
                </c:pt>
                <c:pt idx="153">
                  <c:v>51.54294541545535</c:v>
                </c:pt>
                <c:pt idx="154">
                  <c:v>52.273978178508145</c:v>
                </c:pt>
                <c:pt idx="155">
                  <c:v>53.012626141886365</c:v>
                </c:pt>
                <c:pt idx="156">
                  <c:v>53.758970613688732</c:v>
                </c:pt>
                <c:pt idx="157">
                  <c:v>54.513094281877052</c:v>
                </c:pt>
                <c:pt idx="158">
                  <c:v>55.275081241378594</c:v>
                </c:pt>
                <c:pt idx="159">
                  <c:v>56.045017021854278</c:v>
                </c:pt>
                <c:pt idx="160">
                  <c:v>56.822988616151342</c:v>
                </c:pt>
                <c:pt idx="161">
                  <c:v>57.609084509459663</c:v>
                </c:pt>
                <c:pt idx="162">
                  <c:v>58.403394709192128</c:v>
                </c:pt>
                <c:pt idx="163">
                  <c:v>59.206010775609883</c:v>
                </c:pt>
                <c:pt idx="164">
                  <c:v>60.017025853213319</c:v>
                </c:pt>
                <c:pt idx="165">
                  <c:v>60.836534702921568</c:v>
                </c:pt>
                <c:pt idx="166">
                  <c:v>61.664633735063099</c:v>
                </c:pt>
                <c:pt idx="167">
                  <c:v>62.501421043200963</c:v>
                </c:pt>
                <c:pt idx="168">
                  <c:v>63.346996438817442</c:v>
                </c:pt>
                <c:pt idx="169">
                  <c:v>64.201461486882991</c:v>
                </c:pt>
                <c:pt idx="170">
                  <c:v>65.064919542335787</c:v>
                </c:pt>
                <c:pt idx="171">
                  <c:v>65.937475787499054</c:v>
                </c:pt>
                <c:pt idx="172">
                  <c:v>66.819237270463887</c:v>
                </c:pt>
                <c:pt idx="173">
                  <c:v>67.710312944466224</c:v>
                </c:pt>
                <c:pt idx="174">
                  <c:v>68.610813708288688</c:v>
                </c:pt>
                <c:pt idx="175">
                  <c:v>69.520852447717104</c:v>
                </c:pt>
                <c:pt idx="176">
                  <c:v>70.440544078084883</c:v>
                </c:pt>
                <c:pt idx="177">
                  <c:v>71.370005587937243</c:v>
                </c:pt>
                <c:pt idx="178">
                  <c:v>72.309356083850474</c:v>
                </c:pt>
                <c:pt idx="179">
                  <c:v>73.258716836441124</c:v>
                </c:pt>
                <c:pt idx="180">
                  <c:v>74.218211327602518</c:v>
                </c:pt>
                <c:pt idx="181">
                  <c:v>75.187965299005668</c:v>
                </c:pt>
                <c:pt idx="182">
                  <c:v>76.168106801904955</c:v>
                </c:pt>
                <c:pt idx="183">
                  <c:v>77.158766248289055</c:v>
                </c:pt>
                <c:pt idx="184">
                  <c:v>78.160076463419244</c:v>
                </c:pt>
                <c:pt idx="185">
                  <c:v>79.172172739798981</c:v>
                </c:pt>
                <c:pt idx="186">
                  <c:v>80.195192892620696</c:v>
                </c:pt>
                <c:pt idx="187">
                  <c:v>81.229277316735732</c:v>
                </c:pt>
                <c:pt idx="188">
                  <c:v>82.274569045197808</c:v>
                </c:pt>
                <c:pt idx="189">
                  <c:v>83.331213809428959</c:v>
                </c:pt>
                <c:pt idx="190">
                  <c:v>84.399360101061944</c:v>
                </c:pt>
                <c:pt idx="191">
                  <c:v>85.479159235512441</c:v>
                </c:pt>
                <c:pt idx="192">
                  <c:v>86.570765417337981</c:v>
                </c:pt>
                <c:pt idx="193">
                  <c:v>87.674335807442262</c:v>
                </c:pt>
                <c:pt idx="194">
                  <c:v>88.790030592185673</c:v>
                </c:pt>
                <c:pt idx="195">
                  <c:v>89.918013054464552</c:v>
                </c:pt>
                <c:pt idx="196">
                  <c:v>91.058449646825579</c:v>
                </c:pt>
                <c:pt idx="197">
                  <c:v>92.211510066682735</c:v>
                </c:pt>
                <c:pt idx="198">
                  <c:v>93.377367333707554</c:v>
                </c:pt>
                <c:pt idx="199">
                  <c:v>94.556197869466018</c:v>
                </c:pt>
                <c:pt idx="200">
                  <c:v>95.748181579378553</c:v>
                </c:pt>
              </c:numCache>
            </c:numRef>
          </c:yVal>
          <c:smooth val="0"/>
          <c:extLst>
            <c:ext xmlns:c16="http://schemas.microsoft.com/office/drawing/2014/chart" uri="{C3380CC4-5D6E-409C-BE32-E72D297353CC}">
              <c16:uniqueId val="{00000001-9EA1-4F4F-9ACD-6AF9DCA0F73F}"/>
            </c:ext>
          </c:extLst>
        </c:ser>
        <c:dLbls>
          <c:showLegendKey val="0"/>
          <c:showVal val="0"/>
          <c:showCatName val="0"/>
          <c:showSerName val="0"/>
          <c:showPercent val="0"/>
          <c:showBubbleSize val="0"/>
        </c:dLbls>
        <c:axId val="177513600"/>
        <c:axId val="177515520"/>
      </c:scatterChart>
      <c:valAx>
        <c:axId val="177513600"/>
        <c:scaling>
          <c:orientation val="minMax"/>
          <c:min val="0"/>
        </c:scaling>
        <c:delete val="0"/>
        <c:axPos val="b"/>
        <c:majorGridlines/>
        <c:title>
          <c:tx>
            <c:rich>
              <a:bodyPr/>
              <a:lstStyle/>
              <a:p>
                <a:pPr>
                  <a:defRPr sz="925" b="1" i="0" u="none" strike="noStrike" baseline="0">
                    <a:solidFill>
                      <a:srgbClr val="000000"/>
                    </a:solidFill>
                    <a:latin typeface="Arial"/>
                    <a:ea typeface="Arial"/>
                    <a:cs typeface="Arial"/>
                  </a:defRPr>
                </a:pPr>
                <a:r>
                  <a:rPr lang="en-US"/>
                  <a:t>Iout (A)</a:t>
                </a:r>
              </a:p>
            </c:rich>
          </c:tx>
          <c:layout>
            <c:manualLayout>
              <c:xMode val="edge"/>
              <c:yMode val="edge"/>
              <c:x val="0.52774047357748588"/>
              <c:y val="0.935355444205837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5520"/>
        <c:crosses val="autoZero"/>
        <c:crossBetween val="midCat"/>
      </c:valAx>
      <c:valAx>
        <c:axId val="177515520"/>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Temperature (°C)</a:t>
                </a:r>
              </a:p>
            </c:rich>
          </c:tx>
          <c:layout>
            <c:manualLayout>
              <c:xMode val="edge"/>
              <c:yMode val="edge"/>
              <c:x val="5.5931438881371219E-2"/>
              <c:y val="0.3797988281767809"/>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3600"/>
        <c:crosses val="autoZero"/>
        <c:crossBetween val="midCat"/>
      </c:valAx>
      <c:spPr>
        <a:solidFill>
          <a:srgbClr val="C0C0C0"/>
        </a:solidFill>
        <a:ln w="12700">
          <a:solidFill>
            <a:srgbClr val="808080"/>
          </a:solidFill>
          <a:prstDash val="solid"/>
        </a:ln>
      </c:spPr>
    </c:plotArea>
    <c:legend>
      <c:legendPos val="t"/>
      <c:layout>
        <c:manualLayout>
          <c:xMode val="edge"/>
          <c:yMode val="edge"/>
          <c:x val="0.85385713118742423"/>
          <c:y val="1.0101010101010105E-2"/>
          <c:w val="0.14073085925152451"/>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 FET Power Disipation</a:t>
            </a:r>
          </a:p>
        </c:rich>
      </c:tx>
      <c:layout>
        <c:manualLayout>
          <c:xMode val="edge"/>
          <c:yMode val="edge"/>
          <c:x val="0.39872611464968688"/>
          <c:y val="3.0241935483871732E-2"/>
        </c:manualLayout>
      </c:layout>
      <c:overlay val="0"/>
      <c:spPr>
        <a:noFill/>
        <a:ln w="25400">
          <a:noFill/>
        </a:ln>
      </c:spPr>
    </c:title>
    <c:autoTitleDeleted val="0"/>
    <c:plotArea>
      <c:layout>
        <c:manualLayout>
          <c:layoutTarget val="inner"/>
          <c:xMode val="edge"/>
          <c:yMode val="edge"/>
          <c:x val="8.6624203821656268E-2"/>
          <c:y val="0.15927435034411094"/>
          <c:w val="0.8471337579617837"/>
          <c:h val="0.70362972493790654"/>
        </c:manualLayout>
      </c:layout>
      <c:scatterChart>
        <c:scatterStyle val="lineMarker"/>
        <c:varyColors val="0"/>
        <c:ser>
          <c:idx val="2"/>
          <c:order val="0"/>
          <c:tx>
            <c:v>Top FET</c:v>
          </c:tx>
          <c:spPr>
            <a:ln w="25400">
              <a:solidFill>
                <a:srgbClr val="000080"/>
              </a:solidFill>
              <a:prstDash val="solid"/>
            </a:ln>
          </c:spPr>
          <c:marker>
            <c:symbol val="none"/>
          </c:marker>
          <c:xVal>
            <c:numRef>
              <c:f>'Power Calculations'!$H$9:$H$209</c:f>
              <c:numCache>
                <c:formatCode>General</c:formatCode>
                <c:ptCount val="201"/>
                <c:pt idx="0">
                  <c:v>0</c:v>
                </c:pt>
                <c:pt idx="1">
                  <c:v>7.4999999999999997E-2</c:v>
                </c:pt>
                <c:pt idx="2">
                  <c:v>0.15</c:v>
                </c:pt>
                <c:pt idx="3">
                  <c:v>0.22499999999999998</c:v>
                </c:pt>
                <c:pt idx="4">
                  <c:v>0.3</c:v>
                </c:pt>
                <c:pt idx="5">
                  <c:v>0.375</c:v>
                </c:pt>
                <c:pt idx="6">
                  <c:v>0.44999999999999996</c:v>
                </c:pt>
                <c:pt idx="7">
                  <c:v>0.52500000000000002</c:v>
                </c:pt>
                <c:pt idx="8">
                  <c:v>0.6</c:v>
                </c:pt>
                <c:pt idx="9">
                  <c:v>0.67499999999999993</c:v>
                </c:pt>
                <c:pt idx="10">
                  <c:v>0.75</c:v>
                </c:pt>
                <c:pt idx="11">
                  <c:v>0.82499999999999996</c:v>
                </c:pt>
                <c:pt idx="12">
                  <c:v>0.89999999999999991</c:v>
                </c:pt>
                <c:pt idx="13">
                  <c:v>0.97500000000000009</c:v>
                </c:pt>
                <c:pt idx="14">
                  <c:v>1.05</c:v>
                </c:pt>
                <c:pt idx="15">
                  <c:v>1.125</c:v>
                </c:pt>
                <c:pt idx="16">
                  <c:v>1.2</c:v>
                </c:pt>
                <c:pt idx="17">
                  <c:v>1.2750000000000001</c:v>
                </c:pt>
                <c:pt idx="18">
                  <c:v>1.3499999999999999</c:v>
                </c:pt>
                <c:pt idx="19">
                  <c:v>1.425</c:v>
                </c:pt>
                <c:pt idx="20">
                  <c:v>1.5</c:v>
                </c:pt>
                <c:pt idx="21">
                  <c:v>1.575</c:v>
                </c:pt>
                <c:pt idx="22">
                  <c:v>1.65</c:v>
                </c:pt>
                <c:pt idx="23">
                  <c:v>1.7250000000000001</c:v>
                </c:pt>
                <c:pt idx="24">
                  <c:v>1.7999999999999998</c:v>
                </c:pt>
                <c:pt idx="25">
                  <c:v>1.875</c:v>
                </c:pt>
                <c:pt idx="26">
                  <c:v>1.9500000000000002</c:v>
                </c:pt>
                <c:pt idx="27">
                  <c:v>2.0250000000000004</c:v>
                </c:pt>
                <c:pt idx="28">
                  <c:v>2.1</c:v>
                </c:pt>
                <c:pt idx="29">
                  <c:v>2.1749999999999998</c:v>
                </c:pt>
                <c:pt idx="30">
                  <c:v>2.25</c:v>
                </c:pt>
                <c:pt idx="31">
                  <c:v>2.3250000000000002</c:v>
                </c:pt>
                <c:pt idx="32">
                  <c:v>2.4</c:v>
                </c:pt>
                <c:pt idx="33">
                  <c:v>2.4750000000000001</c:v>
                </c:pt>
                <c:pt idx="34">
                  <c:v>2.5500000000000003</c:v>
                </c:pt>
                <c:pt idx="35">
                  <c:v>2.625</c:v>
                </c:pt>
                <c:pt idx="36">
                  <c:v>2.6999999999999997</c:v>
                </c:pt>
                <c:pt idx="37">
                  <c:v>2.7749999999999999</c:v>
                </c:pt>
                <c:pt idx="38">
                  <c:v>2.85</c:v>
                </c:pt>
                <c:pt idx="39">
                  <c:v>2.9250000000000003</c:v>
                </c:pt>
                <c:pt idx="40">
                  <c:v>3</c:v>
                </c:pt>
                <c:pt idx="41">
                  <c:v>3.0749999999999997</c:v>
                </c:pt>
                <c:pt idx="42">
                  <c:v>3.15</c:v>
                </c:pt>
                <c:pt idx="43">
                  <c:v>3.2250000000000001</c:v>
                </c:pt>
                <c:pt idx="44">
                  <c:v>3.3</c:v>
                </c:pt>
                <c:pt idx="45">
                  <c:v>3.375</c:v>
                </c:pt>
                <c:pt idx="46">
                  <c:v>3.45</c:v>
                </c:pt>
                <c:pt idx="47">
                  <c:v>3.5249999999999999</c:v>
                </c:pt>
                <c:pt idx="48">
                  <c:v>3.5999999999999996</c:v>
                </c:pt>
                <c:pt idx="49">
                  <c:v>3.6749999999999998</c:v>
                </c:pt>
                <c:pt idx="50">
                  <c:v>3.75</c:v>
                </c:pt>
                <c:pt idx="51">
                  <c:v>3.8250000000000002</c:v>
                </c:pt>
                <c:pt idx="52">
                  <c:v>3.9000000000000004</c:v>
                </c:pt>
                <c:pt idx="53">
                  <c:v>3.9750000000000001</c:v>
                </c:pt>
                <c:pt idx="54">
                  <c:v>4.0500000000000007</c:v>
                </c:pt>
                <c:pt idx="55">
                  <c:v>4.125</c:v>
                </c:pt>
                <c:pt idx="56">
                  <c:v>4.2</c:v>
                </c:pt>
                <c:pt idx="57">
                  <c:v>4.2749999999999995</c:v>
                </c:pt>
                <c:pt idx="58">
                  <c:v>4.3499999999999996</c:v>
                </c:pt>
                <c:pt idx="59">
                  <c:v>4.4249999999999998</c:v>
                </c:pt>
                <c:pt idx="60">
                  <c:v>4.5</c:v>
                </c:pt>
                <c:pt idx="61">
                  <c:v>4.5750000000000002</c:v>
                </c:pt>
                <c:pt idx="62">
                  <c:v>4.6500000000000004</c:v>
                </c:pt>
                <c:pt idx="63">
                  <c:v>4.7249999999999996</c:v>
                </c:pt>
                <c:pt idx="64">
                  <c:v>4.8</c:v>
                </c:pt>
                <c:pt idx="65">
                  <c:v>4.875</c:v>
                </c:pt>
                <c:pt idx="66">
                  <c:v>4.95</c:v>
                </c:pt>
                <c:pt idx="67">
                  <c:v>5.0250000000000004</c:v>
                </c:pt>
                <c:pt idx="68">
                  <c:v>5.1000000000000005</c:v>
                </c:pt>
                <c:pt idx="69">
                  <c:v>5.1749999999999998</c:v>
                </c:pt>
                <c:pt idx="70">
                  <c:v>5.25</c:v>
                </c:pt>
                <c:pt idx="71">
                  <c:v>5.3249999999999993</c:v>
                </c:pt>
                <c:pt idx="72">
                  <c:v>5.3999999999999995</c:v>
                </c:pt>
                <c:pt idx="73">
                  <c:v>5.4749999999999996</c:v>
                </c:pt>
                <c:pt idx="74">
                  <c:v>5.55</c:v>
                </c:pt>
                <c:pt idx="75">
                  <c:v>5.625</c:v>
                </c:pt>
                <c:pt idx="76">
                  <c:v>5.7</c:v>
                </c:pt>
                <c:pt idx="77">
                  <c:v>5.7750000000000004</c:v>
                </c:pt>
                <c:pt idx="78">
                  <c:v>5.8500000000000005</c:v>
                </c:pt>
                <c:pt idx="79">
                  <c:v>5.9250000000000007</c:v>
                </c:pt>
                <c:pt idx="80">
                  <c:v>6</c:v>
                </c:pt>
                <c:pt idx="81">
                  <c:v>6.0750000000000002</c:v>
                </c:pt>
                <c:pt idx="82">
                  <c:v>6.1499999999999995</c:v>
                </c:pt>
                <c:pt idx="83">
                  <c:v>6.2249999999999996</c:v>
                </c:pt>
                <c:pt idx="84">
                  <c:v>6.3</c:v>
                </c:pt>
                <c:pt idx="85">
                  <c:v>6.375</c:v>
                </c:pt>
                <c:pt idx="86">
                  <c:v>6.45</c:v>
                </c:pt>
                <c:pt idx="87">
                  <c:v>6.5250000000000004</c:v>
                </c:pt>
                <c:pt idx="88">
                  <c:v>6.6</c:v>
                </c:pt>
                <c:pt idx="89">
                  <c:v>6.6749999999999998</c:v>
                </c:pt>
                <c:pt idx="90">
                  <c:v>6.75</c:v>
                </c:pt>
                <c:pt idx="91">
                  <c:v>6.8250000000000002</c:v>
                </c:pt>
                <c:pt idx="92">
                  <c:v>6.9</c:v>
                </c:pt>
                <c:pt idx="93">
                  <c:v>6.9750000000000005</c:v>
                </c:pt>
                <c:pt idx="94">
                  <c:v>7.05</c:v>
                </c:pt>
                <c:pt idx="95">
                  <c:v>7.125</c:v>
                </c:pt>
                <c:pt idx="96">
                  <c:v>7.1999999999999993</c:v>
                </c:pt>
                <c:pt idx="97">
                  <c:v>7.2749999999999995</c:v>
                </c:pt>
                <c:pt idx="98">
                  <c:v>7.35</c:v>
                </c:pt>
                <c:pt idx="99">
                  <c:v>7.4249999999999998</c:v>
                </c:pt>
                <c:pt idx="100">
                  <c:v>7.5</c:v>
                </c:pt>
                <c:pt idx="101">
                  <c:v>7.5750000000000002</c:v>
                </c:pt>
                <c:pt idx="102">
                  <c:v>7.65</c:v>
                </c:pt>
                <c:pt idx="103">
                  <c:v>7.7250000000000005</c:v>
                </c:pt>
                <c:pt idx="104">
                  <c:v>7.8000000000000007</c:v>
                </c:pt>
                <c:pt idx="105">
                  <c:v>7.875</c:v>
                </c:pt>
                <c:pt idx="106">
                  <c:v>7.95</c:v>
                </c:pt>
                <c:pt idx="107">
                  <c:v>8.0250000000000004</c:v>
                </c:pt>
                <c:pt idx="108">
                  <c:v>8.1000000000000014</c:v>
                </c:pt>
                <c:pt idx="109">
                  <c:v>8.1750000000000007</c:v>
                </c:pt>
                <c:pt idx="110">
                  <c:v>8.25</c:v>
                </c:pt>
                <c:pt idx="111">
                  <c:v>8.3250000000000011</c:v>
                </c:pt>
                <c:pt idx="112">
                  <c:v>8.4</c:v>
                </c:pt>
                <c:pt idx="113">
                  <c:v>8.4749999999999996</c:v>
                </c:pt>
                <c:pt idx="114">
                  <c:v>8.5499999999999989</c:v>
                </c:pt>
                <c:pt idx="115">
                  <c:v>8.625</c:v>
                </c:pt>
                <c:pt idx="116">
                  <c:v>8.6999999999999993</c:v>
                </c:pt>
                <c:pt idx="117">
                  <c:v>8.7749999999999986</c:v>
                </c:pt>
                <c:pt idx="118">
                  <c:v>8.85</c:v>
                </c:pt>
                <c:pt idx="119">
                  <c:v>8.9249999999999989</c:v>
                </c:pt>
                <c:pt idx="120">
                  <c:v>9</c:v>
                </c:pt>
                <c:pt idx="121">
                  <c:v>9.0749999999999993</c:v>
                </c:pt>
                <c:pt idx="122">
                  <c:v>9.15</c:v>
                </c:pt>
                <c:pt idx="123">
                  <c:v>9.2249999999999996</c:v>
                </c:pt>
                <c:pt idx="124">
                  <c:v>9.3000000000000007</c:v>
                </c:pt>
                <c:pt idx="125">
                  <c:v>9.375</c:v>
                </c:pt>
                <c:pt idx="126">
                  <c:v>9.4499999999999993</c:v>
                </c:pt>
                <c:pt idx="127">
                  <c:v>9.5250000000000004</c:v>
                </c:pt>
                <c:pt idx="128">
                  <c:v>9.6</c:v>
                </c:pt>
                <c:pt idx="129">
                  <c:v>9.6750000000000007</c:v>
                </c:pt>
                <c:pt idx="130">
                  <c:v>9.75</c:v>
                </c:pt>
                <c:pt idx="131">
                  <c:v>9.8250000000000011</c:v>
                </c:pt>
                <c:pt idx="132">
                  <c:v>9.9</c:v>
                </c:pt>
                <c:pt idx="133">
                  <c:v>9.9750000000000014</c:v>
                </c:pt>
                <c:pt idx="134">
                  <c:v>10.050000000000001</c:v>
                </c:pt>
                <c:pt idx="135">
                  <c:v>10.125</c:v>
                </c:pt>
                <c:pt idx="136">
                  <c:v>10.200000000000001</c:v>
                </c:pt>
                <c:pt idx="137">
                  <c:v>10.275</c:v>
                </c:pt>
                <c:pt idx="138">
                  <c:v>10.35</c:v>
                </c:pt>
                <c:pt idx="139">
                  <c:v>10.424999999999999</c:v>
                </c:pt>
                <c:pt idx="140">
                  <c:v>10.5</c:v>
                </c:pt>
                <c:pt idx="141">
                  <c:v>10.574999999999999</c:v>
                </c:pt>
                <c:pt idx="142">
                  <c:v>10.649999999999999</c:v>
                </c:pt>
                <c:pt idx="143">
                  <c:v>10.725</c:v>
                </c:pt>
                <c:pt idx="144">
                  <c:v>10.799999999999999</c:v>
                </c:pt>
                <c:pt idx="145">
                  <c:v>10.875</c:v>
                </c:pt>
                <c:pt idx="146">
                  <c:v>10.95</c:v>
                </c:pt>
                <c:pt idx="147">
                  <c:v>11.025</c:v>
                </c:pt>
                <c:pt idx="148">
                  <c:v>11.1</c:v>
                </c:pt>
                <c:pt idx="149">
                  <c:v>11.175000000000001</c:v>
                </c:pt>
                <c:pt idx="150">
                  <c:v>11.25</c:v>
                </c:pt>
                <c:pt idx="151">
                  <c:v>11.324999999999999</c:v>
                </c:pt>
                <c:pt idx="152">
                  <c:v>11.4</c:v>
                </c:pt>
                <c:pt idx="153">
                  <c:v>11.475</c:v>
                </c:pt>
                <c:pt idx="154">
                  <c:v>11.55</c:v>
                </c:pt>
                <c:pt idx="155">
                  <c:v>11.625</c:v>
                </c:pt>
                <c:pt idx="156">
                  <c:v>11.700000000000001</c:v>
                </c:pt>
                <c:pt idx="157">
                  <c:v>11.775</c:v>
                </c:pt>
                <c:pt idx="158">
                  <c:v>11.850000000000001</c:v>
                </c:pt>
                <c:pt idx="159">
                  <c:v>11.925000000000001</c:v>
                </c:pt>
                <c:pt idx="160">
                  <c:v>12</c:v>
                </c:pt>
                <c:pt idx="161">
                  <c:v>12.075000000000001</c:v>
                </c:pt>
                <c:pt idx="162">
                  <c:v>12.15</c:v>
                </c:pt>
                <c:pt idx="163">
                  <c:v>12.225</c:v>
                </c:pt>
                <c:pt idx="164">
                  <c:v>12.299999999999999</c:v>
                </c:pt>
                <c:pt idx="165">
                  <c:v>12.375</c:v>
                </c:pt>
                <c:pt idx="166">
                  <c:v>12.45</c:v>
                </c:pt>
                <c:pt idx="167">
                  <c:v>12.524999999999999</c:v>
                </c:pt>
                <c:pt idx="168">
                  <c:v>12.6</c:v>
                </c:pt>
                <c:pt idx="169">
                  <c:v>12.674999999999999</c:v>
                </c:pt>
                <c:pt idx="170">
                  <c:v>12.75</c:v>
                </c:pt>
                <c:pt idx="171">
                  <c:v>12.824999999999999</c:v>
                </c:pt>
                <c:pt idx="172">
                  <c:v>12.9</c:v>
                </c:pt>
                <c:pt idx="173">
                  <c:v>12.975</c:v>
                </c:pt>
                <c:pt idx="174">
                  <c:v>13.05</c:v>
                </c:pt>
                <c:pt idx="175">
                  <c:v>13.125</c:v>
                </c:pt>
                <c:pt idx="176">
                  <c:v>13.2</c:v>
                </c:pt>
                <c:pt idx="177">
                  <c:v>13.275</c:v>
                </c:pt>
                <c:pt idx="178">
                  <c:v>13.35</c:v>
                </c:pt>
                <c:pt idx="179">
                  <c:v>13.425000000000001</c:v>
                </c:pt>
                <c:pt idx="180">
                  <c:v>13.5</c:v>
                </c:pt>
                <c:pt idx="181">
                  <c:v>13.575000000000001</c:v>
                </c:pt>
                <c:pt idx="182">
                  <c:v>13.65</c:v>
                </c:pt>
                <c:pt idx="183">
                  <c:v>13.725000000000001</c:v>
                </c:pt>
                <c:pt idx="184">
                  <c:v>13.8</c:v>
                </c:pt>
                <c:pt idx="185">
                  <c:v>13.875</c:v>
                </c:pt>
                <c:pt idx="186">
                  <c:v>13.950000000000001</c:v>
                </c:pt>
                <c:pt idx="187">
                  <c:v>14.025</c:v>
                </c:pt>
                <c:pt idx="188">
                  <c:v>14.1</c:v>
                </c:pt>
                <c:pt idx="189">
                  <c:v>14.174999999999999</c:v>
                </c:pt>
                <c:pt idx="190">
                  <c:v>14.25</c:v>
                </c:pt>
                <c:pt idx="191">
                  <c:v>14.324999999999999</c:v>
                </c:pt>
                <c:pt idx="192">
                  <c:v>14.399999999999999</c:v>
                </c:pt>
                <c:pt idx="193">
                  <c:v>14.475</c:v>
                </c:pt>
                <c:pt idx="194">
                  <c:v>14.549999999999999</c:v>
                </c:pt>
                <c:pt idx="195">
                  <c:v>14.625</c:v>
                </c:pt>
                <c:pt idx="196">
                  <c:v>14.7</c:v>
                </c:pt>
                <c:pt idx="197">
                  <c:v>14.775</c:v>
                </c:pt>
                <c:pt idx="198">
                  <c:v>14.85</c:v>
                </c:pt>
                <c:pt idx="199">
                  <c:v>14.925000000000001</c:v>
                </c:pt>
                <c:pt idx="200">
                  <c:v>15</c:v>
                </c:pt>
              </c:numCache>
            </c:numRef>
          </c:xVal>
          <c:yVal>
            <c:numRef>
              <c:f>'Power Calculations'!$AC$9:$AC$209</c:f>
              <c:numCache>
                <c:formatCode>0.0000</c:formatCode>
                <c:ptCount val="201"/>
                <c:pt idx="0">
                  <c:v>4.4692603414263288E-2</c:v>
                </c:pt>
                <c:pt idx="1">
                  <c:v>4.4645843584316454E-2</c:v>
                </c:pt>
                <c:pt idx="2">
                  <c:v>4.4764269649678348E-2</c:v>
                </c:pt>
                <c:pt idx="3">
                  <c:v>4.5048129945016072E-2</c:v>
                </c:pt>
                <c:pt idx="4">
                  <c:v>4.5497708837152068E-2</c:v>
                </c:pt>
                <c:pt idx="5">
                  <c:v>4.6113326919429092E-2</c:v>
                </c:pt>
                <c:pt idx="6">
                  <c:v>4.6895341226174503E-2</c:v>
                </c:pt>
                <c:pt idx="7">
                  <c:v>4.7844145467502881E-2</c:v>
                </c:pt>
                <c:pt idx="8">
                  <c:v>4.8960170284717261E-2</c:v>
                </c:pt>
                <c:pt idx="9">
                  <c:v>5.0243883526592141E-2</c:v>
                </c:pt>
                <c:pt idx="10">
                  <c:v>5.1695790546841904E-2</c:v>
                </c:pt>
                <c:pt idx="11">
                  <c:v>5.331643452310373E-2</c:v>
                </c:pt>
                <c:pt idx="12">
                  <c:v>5.5106396797786075E-2</c:v>
                </c:pt>
                <c:pt idx="13">
                  <c:v>5.7066297241157776E-2</c:v>
                </c:pt>
                <c:pt idx="14">
                  <c:v>5.9196794637079157E-2</c:v>
                </c:pt>
                <c:pt idx="15">
                  <c:v>6.1498587091800498E-2</c:v>
                </c:pt>
                <c:pt idx="16">
                  <c:v>6.3972412466280576E-2</c:v>
                </c:pt>
                <c:pt idx="17">
                  <c:v>6.6619048832504107E-2</c:v>
                </c:pt>
                <c:pt idx="18">
                  <c:v>6.9439314954305789E-2</c:v>
                </c:pt>
                <c:pt idx="19">
                  <c:v>7.2434070793237146E-2</c:v>
                </c:pt>
                <c:pt idx="20">
                  <c:v>7.5604218040041388E-2</c:v>
                </c:pt>
                <c:pt idx="21">
                  <c:v>7.8950700672334118E-2</c:v>
                </c:pt>
                <c:pt idx="22">
                  <c:v>8.6417524075541458E-2</c:v>
                </c:pt>
                <c:pt idx="23">
                  <c:v>0.10113880562480797</c:v>
                </c:pt>
                <c:pt idx="24">
                  <c:v>0.1153824127085689</c:v>
                </c:pt>
                <c:pt idx="25">
                  <c:v>0.12914891609042234</c:v>
                </c:pt>
                <c:pt idx="26">
                  <c:v>0.14243878399348656</c:v>
                </c:pt>
                <c:pt idx="27">
                  <c:v>0.15525238159063073</c:v>
                </c:pt>
                <c:pt idx="28">
                  <c:v>0.16758997043387114</c:v>
                </c:pt>
                <c:pt idx="29">
                  <c:v>0.17945170782190967</c:v>
                </c:pt>
                <c:pt idx="30">
                  <c:v>0.18854562292187554</c:v>
                </c:pt>
                <c:pt idx="31">
                  <c:v>0.19495885458254525</c:v>
                </c:pt>
                <c:pt idx="32">
                  <c:v>0.20156743332038063</c:v>
                </c:pt>
                <c:pt idx="33">
                  <c:v>0.20837303073259536</c:v>
                </c:pt>
                <c:pt idx="34">
                  <c:v>0.21537737304314317</c:v>
                </c:pt>
                <c:pt idx="35">
                  <c:v>0.22258224219218489</c:v>
                </c:pt>
                <c:pt idx="36">
                  <c:v>0.22998947696750147</c:v>
                </c:pt>
                <c:pt idx="37">
                  <c:v>0.23760097417923137</c:v>
                </c:pt>
                <c:pt idx="38">
                  <c:v>0.24541868987937801</c:v>
                </c:pt>
                <c:pt idx="39">
                  <c:v>0.25344464062759658</c:v>
                </c:pt>
                <c:pt idx="40">
                  <c:v>0.26168090480484296</c:v>
                </c:pt>
                <c:pt idx="41">
                  <c:v>0.27012962397653945</c:v>
                </c:pt>
                <c:pt idx="42">
                  <c:v>0.27879300430698734</c:v>
                </c:pt>
                <c:pt idx="43">
                  <c:v>0.28767331802683999</c:v>
                </c:pt>
                <c:pt idx="44">
                  <c:v>0.29677290495553316</c:v>
                </c:pt>
                <c:pt idx="45">
                  <c:v>0.30609417408065687</c:v>
                </c:pt>
                <c:pt idx="46">
                  <c:v>0.31563960519634676</c:v>
                </c:pt>
                <c:pt idx="47">
                  <c:v>0.32541175060287042</c:v>
                </c:pt>
                <c:pt idx="48">
                  <c:v>0.33541323686968844</c:v>
                </c:pt>
                <c:pt idx="49">
                  <c:v>0.34564676666436961</c:v>
                </c:pt>
                <c:pt idx="50">
                  <c:v>0.35611512064986572</c:v>
                </c:pt>
                <c:pt idx="51">
                  <c:v>0.36682115945275345</c:v>
                </c:pt>
                <c:pt idx="52">
                  <c:v>0.37776782570519257</c:v>
                </c:pt>
                <c:pt idx="53">
                  <c:v>0.38895814616346519</c:v>
                </c:pt>
                <c:pt idx="54">
                  <c:v>0.40039523390610843</c:v>
                </c:pt>
                <c:pt idx="55">
                  <c:v>0.41208229061479423</c:v>
                </c:pt>
                <c:pt idx="56">
                  <c:v>0.42402260894126381</c:v>
                </c:pt>
                <c:pt idx="57">
                  <c:v>0.43621957496378128</c:v>
                </c:pt>
                <c:pt idx="58">
                  <c:v>0.448676670736746</c:v>
                </c:pt>
                <c:pt idx="59">
                  <c:v>0.4613974769372759</c:v>
                </c:pt>
                <c:pt idx="60">
                  <c:v>0.47438567561276412</c:v>
                </c:pt>
                <c:pt idx="61">
                  <c:v>0.48764505303361194</c:v>
                </c:pt>
                <c:pt idx="62">
                  <c:v>0.50117950265554501</c:v>
                </c:pt>
                <c:pt idx="63">
                  <c:v>0.51499302819614245</c:v>
                </c:pt>
                <c:pt idx="64">
                  <c:v>0.52908974683044263</c:v>
                </c:pt>
                <c:pt idx="65">
                  <c:v>0.54347389251073219</c:v>
                </c:pt>
                <c:pt idx="66">
                  <c:v>0.55814981941588804</c:v>
                </c:pt>
                <c:pt idx="67">
                  <c:v>0.57312200553591308</c:v>
                </c:pt>
                <c:pt idx="68">
                  <c:v>0.58839505639759415</c:v>
                </c:pt>
                <c:pt idx="69">
                  <c:v>0.60397370893752622</c:v>
                </c:pt>
                <c:pt idx="70">
                  <c:v>0.61986283552906285</c:v>
                </c:pt>
                <c:pt idx="71">
                  <c:v>0.63606744817009231</c:v>
                </c:pt>
                <c:pt idx="72">
                  <c:v>0.65259270283891968</c:v>
                </c:pt>
                <c:pt idx="73">
                  <c:v>0.66944390402589882</c:v>
                </c:pt>
                <c:pt idx="74">
                  <c:v>0.68662650944887638</c:v>
                </c:pt>
                <c:pt idx="75">
                  <c:v>0.70414613496094514</c:v>
                </c:pt>
                <c:pt idx="76">
                  <c:v>0.72200855965945188</c:v>
                </c:pt>
                <c:pt idx="77">
                  <c:v>0.74021973120569973</c:v>
                </c:pt>
                <c:pt idx="78">
                  <c:v>0.75878577136529324</c:v>
                </c:pt>
                <c:pt idx="79">
                  <c:v>0.77771298177962744</c:v>
                </c:pt>
                <c:pt idx="80">
                  <c:v>0.7970078499796005</c:v>
                </c:pt>
                <c:pt idx="81">
                  <c:v>0.81667705565324344</c:v>
                </c:pt>
                <c:pt idx="82">
                  <c:v>0.83672747717962204</c:v>
                </c:pt>
                <c:pt idx="83">
                  <c:v>0.8571661984420641</c:v>
                </c:pt>
                <c:pt idx="84">
                  <c:v>0.87800051593449602</c:v>
                </c:pt>
                <c:pt idx="85">
                  <c:v>0.89923794617547725</c:v>
                </c:pt>
                <c:pt idx="86">
                  <c:v>0.92088623344535758</c:v>
                </c:pt>
                <c:pt idx="87">
                  <c:v>0.94295335786285861</c:v>
                </c:pt>
                <c:pt idx="88">
                  <c:v>0.96544754381837561</c:v>
                </c:pt>
                <c:pt idx="89">
                  <c:v>0.98837726878226873</c:v>
                </c:pt>
                <c:pt idx="90">
                  <c:v>1.0117512725075246</c:v>
                </c:pt>
                <c:pt idx="91">
                  <c:v>1.0355785666473276</c:v>
                </c:pt>
                <c:pt idx="92">
                  <c:v>1.0598684448092872</c:v>
                </c:pt>
                <c:pt idx="93">
                  <c:v>1.0846304930694428</c:v>
                </c:pt>
                <c:pt idx="94">
                  <c:v>1.1098746009705094</c:v>
                </c:pt>
                <c:pt idx="95">
                  <c:v>1.1356109730303983</c:v>
                </c:pt>
                <c:pt idx="96">
                  <c:v>1.1618501407886177</c:v>
                </c:pt>
                <c:pt idx="97">
                  <c:v>1.1886029754199159</c:v>
                </c:pt>
                <c:pt idx="98">
                  <c:v>1.2158807009463479</c:v>
                </c:pt>
                <c:pt idx="99">
                  <c:v>1.2436949080809605</c:v>
                </c:pt>
                <c:pt idx="100">
                  <c:v>1.2720575687383862</c:v>
                </c:pt>
                <c:pt idx="101">
                  <c:v>1.3009810512499398</c:v>
                </c:pt>
                <c:pt idx="102">
                  <c:v>1.330478136323231</c:v>
                </c:pt>
                <c:pt idx="103">
                  <c:v>1.3605620337889457</c:v>
                </c:pt>
                <c:pt idx="104">
                  <c:v>1.3912464001802838</c:v>
                </c:pt>
                <c:pt idx="105">
                  <c:v>1.4225453571935256</c:v>
                </c:pt>
                <c:pt idx="106">
                  <c:v>1.4544735110815157</c:v>
                </c:pt>
                <c:pt idx="107">
                  <c:v>1.4870459730353249</c:v>
                </c:pt>
                <c:pt idx="108">
                  <c:v>1.5202783806131368</c:v>
                </c:pt>
                <c:pt idx="109">
                  <c:v>1.5541869202794933</c:v>
                </c:pt>
                <c:pt idx="110">
                  <c:v>1.588788351122403</c:v>
                </c:pt>
                <c:pt idx="111">
                  <c:v>1.6241000298205679</c:v>
                </c:pt>
                <c:pt idx="112">
                  <c:v>1.6601399369380818</c:v>
                </c:pt>
                <c:pt idx="113">
                  <c:v>1.6969267046295102</c:v>
                </c:pt>
                <c:pt idx="114">
                  <c:v>1.7344796458441905</c:v>
                </c:pt>
                <c:pt idx="115">
                  <c:v>1.7728187851250909</c:v>
                </c:pt>
                <c:pt idx="116">
                  <c:v>1.8119648911045338</c:v>
                </c:pt>
                <c:pt idx="117">
                  <c:v>1.8519395108066929</c:v>
                </c:pt>
                <c:pt idx="118">
                  <c:v>1.8927650058749499</c:v>
                </c:pt>
                <c:pt idx="119">
                  <c:v>1.9344645908511424</c:v>
                </c:pt>
                <c:pt idx="120">
                  <c:v>1.9770623736434001</c:v>
                </c:pt>
                <c:pt idx="121">
                  <c:v>2.0205833983297596</c:v>
                </c:pt>
                <c:pt idx="122">
                  <c:v>2.0650536904562085</c:v>
                </c:pt>
                <c:pt idx="123">
                  <c:v>2.1105003050002047</c:v>
                </c:pt>
                <c:pt idx="124">
                  <c:v>2.1569513771843063</c:v>
                </c:pt>
                <c:pt idx="125">
                  <c:v>2.2044361763392866</c:v>
                </c:pt>
                <c:pt idx="126">
                  <c:v>2.2529851630322169</c:v>
                </c:pt>
                <c:pt idx="127">
                  <c:v>2.30263004969258</c:v>
                </c:pt>
                <c:pt idx="128">
                  <c:v>2.3534038649886888</c:v>
                </c:pt>
                <c:pt idx="129">
                  <c:v>2.4053410222277356</c:v>
                </c:pt>
                <c:pt idx="130">
                  <c:v>2.4584773920757304</c:v>
                </c:pt>
                <c:pt idx="131">
                  <c:v>2.5128503799188562</c:v>
                </c:pt>
                <c:pt idx="132">
                  <c:v>2.5684990082154013</c:v>
                </c:pt>
                <c:pt idx="133">
                  <c:v>2.6254640042177244</c:v>
                </c:pt>
                <c:pt idx="134">
                  <c:v>2.6837878934771449</c:v>
                </c:pt>
                <c:pt idx="135">
                  <c:v>2.7435150995812285</c:v>
                </c:pt>
                <c:pt idx="136">
                  <c:v>2.8046920506134283</c:v>
                </c:pt>
                <c:pt idx="137">
                  <c:v>2.8673672928694423</c:v>
                </c:pt>
                <c:pt idx="138">
                  <c:v>2.9315916124139068</c:v>
                </c:pt>
                <c:pt idx="139">
                  <c:v>2.9974181651151501</c:v>
                </c:pt>
                <c:pt idx="140">
                  <c:v>3.0649026158558215</c:v>
                </c:pt>
                <c:pt idx="141">
                  <c:v>3.1341032876836361</c:v>
                </c:pt>
                <c:pt idx="142">
                  <c:v>3.2050813217400367</c:v>
                </c:pt>
                <c:pt idx="143">
                  <c:v>3.2779008488863184</c:v>
                </c:pt>
                <c:pt idx="144">
                  <c:v>3.3526291740375069</c:v>
                </c:pt>
                <c:pt idx="145">
                  <c:v>3.4293369743152757</c:v>
                </c:pt>
                <c:pt idx="146">
                  <c:v>3.5080985122436088</c:v>
                </c:pt>
                <c:pt idx="147">
                  <c:v>3.5889918653364448</c:v>
                </c:pt>
                <c:pt idx="148">
                  <c:v>3.6720991735665409</c:v>
                </c:pt>
                <c:pt idx="149">
                  <c:v>3.7575069063614968</c:v>
                </c:pt>
                <c:pt idx="150">
                  <c:v>3.8453061509483901</c:v>
                </c:pt>
                <c:pt idx="151">
                  <c:v>3.9355929240651975</c:v>
                </c:pt>
                <c:pt idx="152">
                  <c:v>4.0284685092782526</c:v>
                </c:pt>
                <c:pt idx="153">
                  <c:v>4.1240398223936037</c:v>
                </c:pt>
                <c:pt idx="154">
                  <c:v>4.2224198077303612</c:v>
                </c:pt>
                <c:pt idx="155">
                  <c:v>4.3237278683402067</c:v>
                </c:pt>
                <c:pt idx="156">
                  <c:v>4.4280903336145077</c:v>
                </c:pt>
                <c:pt idx="157">
                  <c:v>4.5356409681253504</c:v>
                </c:pt>
                <c:pt idx="158">
                  <c:v>4.6465215260054613</c:v>
                </c:pt>
                <c:pt idx="159">
                  <c:v>4.7608823556936279</c:v>
                </c:pt>
                <c:pt idx="160">
                  <c:v>4.8788830604658031</c:v>
                </c:pt>
                <c:pt idx="161">
                  <c:v>5.0006932208491666</c:v>
                </c:pt>
                <c:pt idx="162">
                  <c:v>5.126493185789994</c:v>
                </c:pt>
                <c:pt idx="163">
                  <c:v>5.2564749403323505</c:v>
                </c:pt>
                <c:pt idx="164">
                  <c:v>5.3908430585808809</c:v>
                </c:pt>
                <c:pt idx="165">
                  <c:v>5.5298157518901245</c:v>
                </c:pt>
                <c:pt idx="166">
                  <c:v>5.6736260235697547</c:v>
                </c:pt>
                <c:pt idx="167">
                  <c:v>5.8225229429510517</c:v>
                </c:pt>
                <c:pt idx="168">
                  <c:v>5.9767730534615335</c:v>
                </c:pt>
                <c:pt idx="169">
                  <c:v>6.1366619314451087</c:v>
                </c:pt>
                <c:pt idx="170">
                  <c:v>6.3024959148980093</c:v>
                </c:pt>
                <c:pt idx="171">
                  <c:v>6.4746040241281424</c:v>
                </c:pt>
                <c:pt idx="172">
                  <c:v>6.6533400996647369</c:v>
                </c:pt>
                <c:pt idx="173">
                  <c:v>6.8390851866380533</c:v>
                </c:pt>
                <c:pt idx="174">
                  <c:v>7.0322501994288951</c:v>
                </c:pt>
                <c:pt idx="175">
                  <c:v>7.233278905789823</c:v>
                </c:pt>
                <c:pt idx="176">
                  <c:v>7.44265127603546</c:v>
                </c:pt>
                <c:pt idx="177">
                  <c:v>7.6608872504910019</c:v>
                </c:pt>
                <c:pt idx="178">
                  <c:v>7.8885509874329687</c:v>
                </c:pt>
                <c:pt idx="179">
                  <c:v>8.1262556645693778</c:v>
                </c:pt>
                <c:pt idx="180">
                  <c:v>8.3746689200790048</c:v>
                </c:pt>
                <c:pt idx="181">
                  <c:v>8.6345190348541543</c:v>
                </c:pt>
                <c:pt idx="182">
                  <c:v>8.9066019764813511</c:v>
                </c:pt>
                <c:pt idx="183">
                  <c:v>9.1917894484295513</c:v>
                </c:pt>
                <c:pt idx="184">
                  <c:v>9.4910381158780019</c:v>
                </c:pt>
                <c:pt idx="185">
                  <c:v>9.8054002138645799</c:v>
                </c:pt>
                <c:pt idx="186">
                  <c:v>10.136035785577018</c:v>
                </c:pt>
                <c:pt idx="187">
                  <c:v>10.48422685072123</c:v>
                </c:pt>
                <c:pt idx="188">
                  <c:v>10.851393868673032</c:v>
                </c:pt>
                <c:pt idx="189">
                  <c:v>11.239114942063196</c:v>
                </c:pt>
                <c:pt idx="190">
                  <c:v>11.649148308179116</c:v>
                </c:pt>
                <c:pt idx="191">
                  <c:v>12.083458794190911</c:v>
                </c:pt>
                <c:pt idx="192">
                  <c:v>12.544249075868249</c:v>
                </c:pt>
                <c:pt idx="193">
                  <c:v>13.033996789074797</c:v>
                </c:pt>
                <c:pt idx="194">
                  <c:v>13.555498813719488</c:v>
                </c:pt>
                <c:pt idx="195">
                  <c:v>14.111924401229802</c:v>
                </c:pt>
                <c:pt idx="196">
                  <c:v>14.706879276882058</c:v>
                </c:pt>
                <c:pt idx="197">
                  <c:v>15.344483456299178</c:v>
                </c:pt>
                <c:pt idx="198">
                  <c:v>16.029466325721721</c:v>
                </c:pt>
                <c:pt idx="199">
                  <c:v>16.767283625958981</c:v>
                </c:pt>
                <c:pt idx="200">
                  <c:v>17.564262462025937</c:v>
                </c:pt>
              </c:numCache>
            </c:numRef>
          </c:yVal>
          <c:smooth val="0"/>
          <c:extLst>
            <c:ext xmlns:c16="http://schemas.microsoft.com/office/drawing/2014/chart" uri="{C3380CC4-5D6E-409C-BE32-E72D297353CC}">
              <c16:uniqueId val="{00000000-224D-4C5D-9638-87D4BF1AF418}"/>
            </c:ext>
          </c:extLst>
        </c:ser>
        <c:ser>
          <c:idx val="3"/>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7.4999999999999997E-2</c:v>
                </c:pt>
                <c:pt idx="2">
                  <c:v>0.15</c:v>
                </c:pt>
                <c:pt idx="3">
                  <c:v>0.22499999999999998</c:v>
                </c:pt>
                <c:pt idx="4">
                  <c:v>0.3</c:v>
                </c:pt>
                <c:pt idx="5">
                  <c:v>0.375</c:v>
                </c:pt>
                <c:pt idx="6">
                  <c:v>0.44999999999999996</c:v>
                </c:pt>
                <c:pt idx="7">
                  <c:v>0.52500000000000002</c:v>
                </c:pt>
                <c:pt idx="8">
                  <c:v>0.6</c:v>
                </c:pt>
                <c:pt idx="9">
                  <c:v>0.67499999999999993</c:v>
                </c:pt>
                <c:pt idx="10">
                  <c:v>0.75</c:v>
                </c:pt>
                <c:pt idx="11">
                  <c:v>0.82499999999999996</c:v>
                </c:pt>
                <c:pt idx="12">
                  <c:v>0.89999999999999991</c:v>
                </c:pt>
                <c:pt idx="13">
                  <c:v>0.97500000000000009</c:v>
                </c:pt>
                <c:pt idx="14">
                  <c:v>1.05</c:v>
                </c:pt>
                <c:pt idx="15">
                  <c:v>1.125</c:v>
                </c:pt>
                <c:pt idx="16">
                  <c:v>1.2</c:v>
                </c:pt>
                <c:pt idx="17">
                  <c:v>1.2750000000000001</c:v>
                </c:pt>
                <c:pt idx="18">
                  <c:v>1.3499999999999999</c:v>
                </c:pt>
                <c:pt idx="19">
                  <c:v>1.425</c:v>
                </c:pt>
                <c:pt idx="20">
                  <c:v>1.5</c:v>
                </c:pt>
                <c:pt idx="21">
                  <c:v>1.575</c:v>
                </c:pt>
                <c:pt idx="22">
                  <c:v>1.65</c:v>
                </c:pt>
                <c:pt idx="23">
                  <c:v>1.7250000000000001</c:v>
                </c:pt>
                <c:pt idx="24">
                  <c:v>1.7999999999999998</c:v>
                </c:pt>
                <c:pt idx="25">
                  <c:v>1.875</c:v>
                </c:pt>
                <c:pt idx="26">
                  <c:v>1.9500000000000002</c:v>
                </c:pt>
                <c:pt idx="27">
                  <c:v>2.0250000000000004</c:v>
                </c:pt>
                <c:pt idx="28">
                  <c:v>2.1</c:v>
                </c:pt>
                <c:pt idx="29">
                  <c:v>2.1749999999999998</c:v>
                </c:pt>
                <c:pt idx="30">
                  <c:v>2.25</c:v>
                </c:pt>
                <c:pt idx="31">
                  <c:v>2.3250000000000002</c:v>
                </c:pt>
                <c:pt idx="32">
                  <c:v>2.4</c:v>
                </c:pt>
                <c:pt idx="33">
                  <c:v>2.4750000000000001</c:v>
                </c:pt>
                <c:pt idx="34">
                  <c:v>2.5500000000000003</c:v>
                </c:pt>
                <c:pt idx="35">
                  <c:v>2.625</c:v>
                </c:pt>
                <c:pt idx="36">
                  <c:v>2.6999999999999997</c:v>
                </c:pt>
                <c:pt idx="37">
                  <c:v>2.7749999999999999</c:v>
                </c:pt>
                <c:pt idx="38">
                  <c:v>2.85</c:v>
                </c:pt>
                <c:pt idx="39">
                  <c:v>2.9250000000000003</c:v>
                </c:pt>
                <c:pt idx="40">
                  <c:v>3</c:v>
                </c:pt>
                <c:pt idx="41">
                  <c:v>3.0749999999999997</c:v>
                </c:pt>
                <c:pt idx="42">
                  <c:v>3.15</c:v>
                </c:pt>
                <c:pt idx="43">
                  <c:v>3.2250000000000001</c:v>
                </c:pt>
                <c:pt idx="44">
                  <c:v>3.3</c:v>
                </c:pt>
                <c:pt idx="45">
                  <c:v>3.375</c:v>
                </c:pt>
                <c:pt idx="46">
                  <c:v>3.45</c:v>
                </c:pt>
                <c:pt idx="47">
                  <c:v>3.5249999999999999</c:v>
                </c:pt>
                <c:pt idx="48">
                  <c:v>3.5999999999999996</c:v>
                </c:pt>
                <c:pt idx="49">
                  <c:v>3.6749999999999998</c:v>
                </c:pt>
                <c:pt idx="50">
                  <c:v>3.75</c:v>
                </c:pt>
                <c:pt idx="51">
                  <c:v>3.8250000000000002</c:v>
                </c:pt>
                <c:pt idx="52">
                  <c:v>3.9000000000000004</c:v>
                </c:pt>
                <c:pt idx="53">
                  <c:v>3.9750000000000001</c:v>
                </c:pt>
                <c:pt idx="54">
                  <c:v>4.0500000000000007</c:v>
                </c:pt>
                <c:pt idx="55">
                  <c:v>4.125</c:v>
                </c:pt>
                <c:pt idx="56">
                  <c:v>4.2</c:v>
                </c:pt>
                <c:pt idx="57">
                  <c:v>4.2749999999999995</c:v>
                </c:pt>
                <c:pt idx="58">
                  <c:v>4.3499999999999996</c:v>
                </c:pt>
                <c:pt idx="59">
                  <c:v>4.4249999999999998</c:v>
                </c:pt>
                <c:pt idx="60">
                  <c:v>4.5</c:v>
                </c:pt>
                <c:pt idx="61">
                  <c:v>4.5750000000000002</c:v>
                </c:pt>
                <c:pt idx="62">
                  <c:v>4.6500000000000004</c:v>
                </c:pt>
                <c:pt idx="63">
                  <c:v>4.7249999999999996</c:v>
                </c:pt>
                <c:pt idx="64">
                  <c:v>4.8</c:v>
                </c:pt>
                <c:pt idx="65">
                  <c:v>4.875</c:v>
                </c:pt>
                <c:pt idx="66">
                  <c:v>4.95</c:v>
                </c:pt>
                <c:pt idx="67">
                  <c:v>5.0250000000000004</c:v>
                </c:pt>
                <c:pt idx="68">
                  <c:v>5.1000000000000005</c:v>
                </c:pt>
                <c:pt idx="69">
                  <c:v>5.1749999999999998</c:v>
                </c:pt>
                <c:pt idx="70">
                  <c:v>5.25</c:v>
                </c:pt>
                <c:pt idx="71">
                  <c:v>5.3249999999999993</c:v>
                </c:pt>
                <c:pt idx="72">
                  <c:v>5.3999999999999995</c:v>
                </c:pt>
                <c:pt idx="73">
                  <c:v>5.4749999999999996</c:v>
                </c:pt>
                <c:pt idx="74">
                  <c:v>5.55</c:v>
                </c:pt>
                <c:pt idx="75">
                  <c:v>5.625</c:v>
                </c:pt>
                <c:pt idx="76">
                  <c:v>5.7</c:v>
                </c:pt>
                <c:pt idx="77">
                  <c:v>5.7750000000000004</c:v>
                </c:pt>
                <c:pt idx="78">
                  <c:v>5.8500000000000005</c:v>
                </c:pt>
                <c:pt idx="79">
                  <c:v>5.9250000000000007</c:v>
                </c:pt>
                <c:pt idx="80">
                  <c:v>6</c:v>
                </c:pt>
                <c:pt idx="81">
                  <c:v>6.0750000000000002</c:v>
                </c:pt>
                <c:pt idx="82">
                  <c:v>6.1499999999999995</c:v>
                </c:pt>
                <c:pt idx="83">
                  <c:v>6.2249999999999996</c:v>
                </c:pt>
                <c:pt idx="84">
                  <c:v>6.3</c:v>
                </c:pt>
                <c:pt idx="85">
                  <c:v>6.375</c:v>
                </c:pt>
                <c:pt idx="86">
                  <c:v>6.45</c:v>
                </c:pt>
                <c:pt idx="87">
                  <c:v>6.5250000000000004</c:v>
                </c:pt>
                <c:pt idx="88">
                  <c:v>6.6</c:v>
                </c:pt>
                <c:pt idx="89">
                  <c:v>6.6749999999999998</c:v>
                </c:pt>
                <c:pt idx="90">
                  <c:v>6.75</c:v>
                </c:pt>
                <c:pt idx="91">
                  <c:v>6.8250000000000002</c:v>
                </c:pt>
                <c:pt idx="92">
                  <c:v>6.9</c:v>
                </c:pt>
                <c:pt idx="93">
                  <c:v>6.9750000000000005</c:v>
                </c:pt>
                <c:pt idx="94">
                  <c:v>7.05</c:v>
                </c:pt>
                <c:pt idx="95">
                  <c:v>7.125</c:v>
                </c:pt>
                <c:pt idx="96">
                  <c:v>7.1999999999999993</c:v>
                </c:pt>
                <c:pt idx="97">
                  <c:v>7.2749999999999995</c:v>
                </c:pt>
                <c:pt idx="98">
                  <c:v>7.35</c:v>
                </c:pt>
                <c:pt idx="99">
                  <c:v>7.4249999999999998</c:v>
                </c:pt>
                <c:pt idx="100">
                  <c:v>7.5</c:v>
                </c:pt>
                <c:pt idx="101">
                  <c:v>7.5750000000000002</c:v>
                </c:pt>
                <c:pt idx="102">
                  <c:v>7.65</c:v>
                </c:pt>
                <c:pt idx="103">
                  <c:v>7.7250000000000005</c:v>
                </c:pt>
                <c:pt idx="104">
                  <c:v>7.8000000000000007</c:v>
                </c:pt>
                <c:pt idx="105">
                  <c:v>7.875</c:v>
                </c:pt>
                <c:pt idx="106">
                  <c:v>7.95</c:v>
                </c:pt>
                <c:pt idx="107">
                  <c:v>8.0250000000000004</c:v>
                </c:pt>
                <c:pt idx="108">
                  <c:v>8.1000000000000014</c:v>
                </c:pt>
                <c:pt idx="109">
                  <c:v>8.1750000000000007</c:v>
                </c:pt>
                <c:pt idx="110">
                  <c:v>8.25</c:v>
                </c:pt>
                <c:pt idx="111">
                  <c:v>8.3250000000000011</c:v>
                </c:pt>
                <c:pt idx="112">
                  <c:v>8.4</c:v>
                </c:pt>
                <c:pt idx="113">
                  <c:v>8.4749999999999996</c:v>
                </c:pt>
                <c:pt idx="114">
                  <c:v>8.5499999999999989</c:v>
                </c:pt>
                <c:pt idx="115">
                  <c:v>8.625</c:v>
                </c:pt>
                <c:pt idx="116">
                  <c:v>8.6999999999999993</c:v>
                </c:pt>
                <c:pt idx="117">
                  <c:v>8.7749999999999986</c:v>
                </c:pt>
                <c:pt idx="118">
                  <c:v>8.85</c:v>
                </c:pt>
                <c:pt idx="119">
                  <c:v>8.9249999999999989</c:v>
                </c:pt>
                <c:pt idx="120">
                  <c:v>9</c:v>
                </c:pt>
                <c:pt idx="121">
                  <c:v>9.0749999999999993</c:v>
                </c:pt>
                <c:pt idx="122">
                  <c:v>9.15</c:v>
                </c:pt>
                <c:pt idx="123">
                  <c:v>9.2249999999999996</c:v>
                </c:pt>
                <c:pt idx="124">
                  <c:v>9.3000000000000007</c:v>
                </c:pt>
                <c:pt idx="125">
                  <c:v>9.375</c:v>
                </c:pt>
                <c:pt idx="126">
                  <c:v>9.4499999999999993</c:v>
                </c:pt>
                <c:pt idx="127">
                  <c:v>9.5250000000000004</c:v>
                </c:pt>
                <c:pt idx="128">
                  <c:v>9.6</c:v>
                </c:pt>
                <c:pt idx="129">
                  <c:v>9.6750000000000007</c:v>
                </c:pt>
                <c:pt idx="130">
                  <c:v>9.75</c:v>
                </c:pt>
                <c:pt idx="131">
                  <c:v>9.8250000000000011</c:v>
                </c:pt>
                <c:pt idx="132">
                  <c:v>9.9</c:v>
                </c:pt>
                <c:pt idx="133">
                  <c:v>9.9750000000000014</c:v>
                </c:pt>
                <c:pt idx="134">
                  <c:v>10.050000000000001</c:v>
                </c:pt>
                <c:pt idx="135">
                  <c:v>10.125</c:v>
                </c:pt>
                <c:pt idx="136">
                  <c:v>10.200000000000001</c:v>
                </c:pt>
                <c:pt idx="137">
                  <c:v>10.275</c:v>
                </c:pt>
                <c:pt idx="138">
                  <c:v>10.35</c:v>
                </c:pt>
                <c:pt idx="139">
                  <c:v>10.424999999999999</c:v>
                </c:pt>
                <c:pt idx="140">
                  <c:v>10.5</c:v>
                </c:pt>
                <c:pt idx="141">
                  <c:v>10.574999999999999</c:v>
                </c:pt>
                <c:pt idx="142">
                  <c:v>10.649999999999999</c:v>
                </c:pt>
                <c:pt idx="143">
                  <c:v>10.725</c:v>
                </c:pt>
                <c:pt idx="144">
                  <c:v>10.799999999999999</c:v>
                </c:pt>
                <c:pt idx="145">
                  <c:v>10.875</c:v>
                </c:pt>
                <c:pt idx="146">
                  <c:v>10.95</c:v>
                </c:pt>
                <c:pt idx="147">
                  <c:v>11.025</c:v>
                </c:pt>
                <c:pt idx="148">
                  <c:v>11.1</c:v>
                </c:pt>
                <c:pt idx="149">
                  <c:v>11.175000000000001</c:v>
                </c:pt>
                <c:pt idx="150">
                  <c:v>11.25</c:v>
                </c:pt>
                <c:pt idx="151">
                  <c:v>11.324999999999999</c:v>
                </c:pt>
                <c:pt idx="152">
                  <c:v>11.4</c:v>
                </c:pt>
                <c:pt idx="153">
                  <c:v>11.475</c:v>
                </c:pt>
                <c:pt idx="154">
                  <c:v>11.55</c:v>
                </c:pt>
                <c:pt idx="155">
                  <c:v>11.625</c:v>
                </c:pt>
                <c:pt idx="156">
                  <c:v>11.700000000000001</c:v>
                </c:pt>
                <c:pt idx="157">
                  <c:v>11.775</c:v>
                </c:pt>
                <c:pt idx="158">
                  <c:v>11.850000000000001</c:v>
                </c:pt>
                <c:pt idx="159">
                  <c:v>11.925000000000001</c:v>
                </c:pt>
                <c:pt idx="160">
                  <c:v>12</c:v>
                </c:pt>
                <c:pt idx="161">
                  <c:v>12.075000000000001</c:v>
                </c:pt>
                <c:pt idx="162">
                  <c:v>12.15</c:v>
                </c:pt>
                <c:pt idx="163">
                  <c:v>12.225</c:v>
                </c:pt>
                <c:pt idx="164">
                  <c:v>12.299999999999999</c:v>
                </c:pt>
                <c:pt idx="165">
                  <c:v>12.375</c:v>
                </c:pt>
                <c:pt idx="166">
                  <c:v>12.45</c:v>
                </c:pt>
                <c:pt idx="167">
                  <c:v>12.524999999999999</c:v>
                </c:pt>
                <c:pt idx="168">
                  <c:v>12.6</c:v>
                </c:pt>
                <c:pt idx="169">
                  <c:v>12.674999999999999</c:v>
                </c:pt>
                <c:pt idx="170">
                  <c:v>12.75</c:v>
                </c:pt>
                <c:pt idx="171">
                  <c:v>12.824999999999999</c:v>
                </c:pt>
                <c:pt idx="172">
                  <c:v>12.9</c:v>
                </c:pt>
                <c:pt idx="173">
                  <c:v>12.975</c:v>
                </c:pt>
                <c:pt idx="174">
                  <c:v>13.05</c:v>
                </c:pt>
                <c:pt idx="175">
                  <c:v>13.125</c:v>
                </c:pt>
                <c:pt idx="176">
                  <c:v>13.2</c:v>
                </c:pt>
                <c:pt idx="177">
                  <c:v>13.275</c:v>
                </c:pt>
                <c:pt idx="178">
                  <c:v>13.35</c:v>
                </c:pt>
                <c:pt idx="179">
                  <c:v>13.425000000000001</c:v>
                </c:pt>
                <c:pt idx="180">
                  <c:v>13.5</c:v>
                </c:pt>
                <c:pt idx="181">
                  <c:v>13.575000000000001</c:v>
                </c:pt>
                <c:pt idx="182">
                  <c:v>13.65</c:v>
                </c:pt>
                <c:pt idx="183">
                  <c:v>13.725000000000001</c:v>
                </c:pt>
                <c:pt idx="184">
                  <c:v>13.8</c:v>
                </c:pt>
                <c:pt idx="185">
                  <c:v>13.875</c:v>
                </c:pt>
                <c:pt idx="186">
                  <c:v>13.950000000000001</c:v>
                </c:pt>
                <c:pt idx="187">
                  <c:v>14.025</c:v>
                </c:pt>
                <c:pt idx="188">
                  <c:v>14.1</c:v>
                </c:pt>
                <c:pt idx="189">
                  <c:v>14.174999999999999</c:v>
                </c:pt>
                <c:pt idx="190">
                  <c:v>14.25</c:v>
                </c:pt>
                <c:pt idx="191">
                  <c:v>14.324999999999999</c:v>
                </c:pt>
                <c:pt idx="192">
                  <c:v>14.399999999999999</c:v>
                </c:pt>
                <c:pt idx="193">
                  <c:v>14.475</c:v>
                </c:pt>
                <c:pt idx="194">
                  <c:v>14.549999999999999</c:v>
                </c:pt>
                <c:pt idx="195">
                  <c:v>14.625</c:v>
                </c:pt>
                <c:pt idx="196">
                  <c:v>14.7</c:v>
                </c:pt>
                <c:pt idx="197">
                  <c:v>14.775</c:v>
                </c:pt>
                <c:pt idx="198">
                  <c:v>14.85</c:v>
                </c:pt>
                <c:pt idx="199">
                  <c:v>14.925000000000001</c:v>
                </c:pt>
                <c:pt idx="200">
                  <c:v>15</c:v>
                </c:pt>
              </c:numCache>
            </c:numRef>
          </c:xVal>
          <c:yVal>
            <c:numRef>
              <c:f>'Power Calculations'!$AG$9:$AG$209</c:f>
              <c:numCache>
                <c:formatCode>0.0000</c:formatCode>
                <c:ptCount val="201"/>
                <c:pt idx="0">
                  <c:v>2.6352251068356747E-2</c:v>
                </c:pt>
                <c:pt idx="1">
                  <c:v>2.6914228317926461E-2</c:v>
                </c:pt>
                <c:pt idx="2">
                  <c:v>2.7557941269900289E-2</c:v>
                </c:pt>
                <c:pt idx="3">
                  <c:v>2.8283380962560611E-2</c:v>
                </c:pt>
                <c:pt idx="4">
                  <c:v>2.9090544769979632E-2</c:v>
                </c:pt>
                <c:pt idx="5">
                  <c:v>2.997943639760154E-2</c:v>
                </c:pt>
                <c:pt idx="6">
                  <c:v>3.0950065879053284E-2</c:v>
                </c:pt>
                <c:pt idx="7">
                  <c:v>3.2002449574182655E-2</c:v>
                </c:pt>
                <c:pt idx="8">
                  <c:v>3.3136610168321881E-2</c:v>
                </c:pt>
                <c:pt idx="9">
                  <c:v>3.4352576672775928E-2</c:v>
                </c:pt>
                <c:pt idx="10">
                  <c:v>3.5650384426535078E-2</c:v>
                </c:pt>
                <c:pt idx="11">
                  <c:v>3.7030075099211267E-2</c:v>
                </c:pt>
                <c:pt idx="12">
                  <c:v>3.8491696695199216E-2</c:v>
                </c:pt>
                <c:pt idx="13">
                  <c:v>4.0035303559062541E-2</c:v>
                </c:pt>
                <c:pt idx="14">
                  <c:v>4.1660956382146286E-2</c:v>
                </c:pt>
                <c:pt idx="15">
                  <c:v>4.33687222104178E-2</c:v>
                </c:pt>
                <c:pt idx="16">
                  <c:v>4.5158674453537717E-2</c:v>
                </c:pt>
                <c:pt idx="17">
                  <c:v>4.7030892895163823E-2</c:v>
                </c:pt>
                <c:pt idx="18">
                  <c:v>4.8985463704490757E-2</c:v>
                </c:pt>
                <c:pt idx="19">
                  <c:v>5.102247944902908E-2</c:v>
                </c:pt>
                <c:pt idx="20">
                  <c:v>5.314203910862747E-2</c:v>
                </c:pt>
                <c:pt idx="21">
                  <c:v>5.5344248090742731E-2</c:v>
                </c:pt>
                <c:pt idx="22">
                  <c:v>5.7629218246961919E-2</c:v>
                </c:pt>
                <c:pt idx="23">
                  <c:v>5.9997067890782442E-2</c:v>
                </c:pt>
                <c:pt idx="24">
                  <c:v>6.2447921816655358E-2</c:v>
                </c:pt>
                <c:pt idx="25">
                  <c:v>6.4981911320298541E-2</c:v>
                </c:pt>
                <c:pt idx="26">
                  <c:v>6.7599174220285732E-2</c:v>
                </c:pt>
                <c:pt idx="27">
                  <c:v>7.0299854880919541E-2</c:v>
                </c:pt>
                <c:pt idx="28">
                  <c:v>7.3084104236394914E-2</c:v>
                </c:pt>
                <c:pt idx="29">
                  <c:v>7.5952079816262133E-2</c:v>
                </c:pt>
                <c:pt idx="30">
                  <c:v>7.9135612159145621E-2</c:v>
                </c:pt>
                <c:pt idx="31">
                  <c:v>8.2675767850398596E-2</c:v>
                </c:pt>
                <c:pt idx="32">
                  <c:v>8.6300577611529358E-2</c:v>
                </c:pt>
                <c:pt idx="33">
                  <c:v>9.0010245695921989E-2</c:v>
                </c:pt>
                <c:pt idx="34">
                  <c:v>9.3804983153745483E-2</c:v>
                </c:pt>
                <c:pt idx="35">
                  <c:v>9.768500786808279E-2</c:v>
                </c:pt>
                <c:pt idx="36">
                  <c:v>0.10165054459244477</c:v>
                </c:pt>
                <c:pt idx="37">
                  <c:v>0.10570182498968142</c:v>
                </c:pt>
                <c:pt idx="38">
                  <c:v>0.10983908767230423</c:v>
                </c:pt>
                <c:pt idx="39">
                  <c:v>0.11406257824423355</c:v>
                </c:pt>
                <c:pt idx="40">
                  <c:v>0.11837254934398529</c:v>
                </c:pt>
                <c:pt idx="41">
                  <c:v>0.12276926068931168</c:v>
                </c:pt>
                <c:pt idx="42">
                  <c:v>0.12725297912331274</c:v>
                </c:pt>
                <c:pt idx="43">
                  <c:v>0.13182397866203285</c:v>
                </c:pt>
                <c:pt idx="44">
                  <c:v>0.13648254054356157</c:v>
                </c:pt>
                <c:pt idx="45">
                  <c:v>0.14122895327865381</c:v>
                </c:pt>
                <c:pt idx="46">
                  <c:v>0.14606351270288842</c:v>
                </c:pt>
                <c:pt idx="47">
                  <c:v>0.15098652203038412</c:v>
                </c:pt>
                <c:pt idx="48">
                  <c:v>0.15599829190909081</c:v>
                </c:pt>
                <c:pt idx="49">
                  <c:v>0.16109914047767762</c:v>
                </c:pt>
                <c:pt idx="50">
                  <c:v>0.16628939342403662</c:v>
                </c:pt>
                <c:pt idx="51">
                  <c:v>0.17156938404542424</c:v>
                </c:pt>
                <c:pt idx="52">
                  <c:v>0.17693945331026276</c:v>
                </c:pt>
                <c:pt idx="53">
                  <c:v>0.18239994992162306</c:v>
                </c:pt>
                <c:pt idx="54">
                  <c:v>0.18795123038241335</c:v>
                </c:pt>
                <c:pt idx="55">
                  <c:v>0.19359365906229531</c:v>
                </c:pt>
                <c:pt idx="56">
                  <c:v>0.19932760826635687</c:v>
                </c:pt>
                <c:pt idx="57">
                  <c:v>0.2051534583055617</c:v>
                </c:pt>
                <c:pt idx="58">
                  <c:v>0.21107159756900531</c:v>
                </c:pt>
                <c:pt idx="59">
                  <c:v>0.21708242259800381</c:v>
                </c:pt>
                <c:pt idx="60">
                  <c:v>0.22318633816204181</c:v>
                </c:pt>
                <c:pt idx="61">
                  <c:v>0.22938375733661034</c:v>
                </c:pt>
                <c:pt idx="62">
                  <c:v>0.23567510158296195</c:v>
                </c:pt>
                <c:pt idx="63">
                  <c:v>0.24206080082981521</c:v>
                </c:pt>
                <c:pt idx="64">
                  <c:v>0.24854129355703736</c:v>
                </c:pt>
                <c:pt idx="65">
                  <c:v>0.25511702688133997</c:v>
                </c:pt>
                <c:pt idx="66">
                  <c:v>0.26178845664401817</c:v>
                </c:pt>
                <c:pt idx="67">
                  <c:v>0.2685560475007685</c:v>
                </c:pt>
                <c:pt idx="68">
                  <c:v>0.27542027301362004</c:v>
                </c:pt>
                <c:pt idx="69">
                  <c:v>0.28238161574501336</c:v>
                </c:pt>
                <c:pt idx="70">
                  <c:v>0.2894405673540672</c:v>
                </c:pt>
                <c:pt idx="71">
                  <c:v>0.29659762869506651</c:v>
                </c:pt>
                <c:pt idx="72">
                  <c:v>0.3038533099182133</c:v>
                </c:pt>
                <c:pt idx="73">
                  <c:v>0.31120813057268037</c:v>
                </c:pt>
                <c:pt idx="74">
                  <c:v>0.3186626197120071</c:v>
                </c:pt>
                <c:pt idx="75">
                  <c:v>0.32621731600188114</c:v>
                </c:pt>
                <c:pt idx="76">
                  <c:v>0.33387276783034842</c:v>
                </c:pt>
                <c:pt idx="77">
                  <c:v>0.34162953342049601</c:v>
                </c:pt>
                <c:pt idx="78">
                  <c:v>0.34948818094565337</c:v>
                </c:pt>
                <c:pt idx="79">
                  <c:v>0.35744928864715919</c:v>
                </c:pt>
                <c:pt idx="80">
                  <c:v>0.36551344495474197</c:v>
                </c:pt>
                <c:pt idx="81">
                  <c:v>0.37368124860956409</c:v>
                </c:pt>
                <c:pt idx="82">
                  <c:v>0.38195330878997763</c:v>
                </c:pt>
                <c:pt idx="83">
                  <c:v>0.39033024524005017</c:v>
                </c:pt>
                <c:pt idx="84">
                  <c:v>0.3988126884009055</c:v>
                </c:pt>
                <c:pt idx="85">
                  <c:v>0.40740127954494293</c:v>
                </c:pt>
                <c:pt idx="86">
                  <c:v>0.41609667091298547</c:v>
                </c:pt>
                <c:pt idx="87">
                  <c:v>0.42489952585441854</c:v>
                </c:pt>
                <c:pt idx="88">
                  <c:v>0.43381051897037592</c:v>
                </c:pt>
                <c:pt idx="89">
                  <c:v>0.44283033626003843</c:v>
                </c:pt>
                <c:pt idx="90">
                  <c:v>0.45195967527010156</c:v>
                </c:pt>
                <c:pt idx="91">
                  <c:v>0.46119924524748473</c:v>
                </c:pt>
                <c:pt idx="92">
                  <c:v>0.47054976729534159</c:v>
                </c:pt>
                <c:pt idx="93">
                  <c:v>0.4800119745324436</c:v>
                </c:pt>
                <c:pt idx="94">
                  <c:v>0.48958661225600314</c:v>
                </c:pt>
                <c:pt idx="95">
                  <c:v>0.49927443810801547</c:v>
                </c:pt>
                <c:pt idx="96">
                  <c:v>0.50907622224518101</c:v>
                </c:pt>
                <c:pt idx="97">
                  <c:v>0.51899274751249613</c:v>
                </c:pt>
                <c:pt idx="98">
                  <c:v>0.52902480962058407</c:v>
                </c:pt>
                <c:pt idx="99">
                  <c:v>0.53917321732684531</c:v>
                </c:pt>
                <c:pt idx="100">
                  <c:v>0.54943879262051154</c:v>
                </c:pt>
                <c:pt idx="101">
                  <c:v>0.55982237091168896</c:v>
                </c:pt>
                <c:pt idx="102">
                  <c:v>0.57032480122447382</c:v>
                </c:pt>
                <c:pt idx="103">
                  <c:v>0.58094694639423161</c:v>
                </c:pt>
                <c:pt idx="104">
                  <c:v>0.59168968326913185</c:v>
                </c:pt>
                <c:pt idx="105">
                  <c:v>0.60255390291603128</c:v>
                </c:pt>
                <c:pt idx="106">
                  <c:v>0.61354051083080141</c:v>
                </c:pt>
                <c:pt idx="107">
                  <c:v>0.62465042715320263</c:v>
                </c:pt>
                <c:pt idx="108">
                  <c:v>0.63588458688640292</c:v>
                </c:pt>
                <c:pt idx="109">
                  <c:v>0.64724394012124897</c:v>
                </c:pt>
                <c:pt idx="110">
                  <c:v>0.65872945226539681</c:v>
                </c:pt>
                <c:pt idx="111">
                  <c:v>0.67034210427741348</c:v>
                </c:pt>
                <c:pt idx="112">
                  <c:v>0.68208289290595681</c:v>
                </c:pt>
                <c:pt idx="113">
                  <c:v>0.69395283093416305</c:v>
                </c:pt>
                <c:pt idx="114">
                  <c:v>0.70595294742935122</c:v>
                </c:pt>
                <c:pt idx="115">
                  <c:v>0.71808428799817403</c:v>
                </c:pt>
                <c:pt idx="116">
                  <c:v>0.73034791504733509</c:v>
                </c:pt>
                <c:pt idx="117">
                  <c:v>0.74274490805001914</c:v>
                </c:pt>
                <c:pt idx="118">
                  <c:v>0.75527636381814733</c:v>
                </c:pt>
                <c:pt idx="119">
                  <c:v>0.76794339678061407</c:v>
                </c:pt>
                <c:pt idx="120">
                  <c:v>0.78074713926764094</c:v>
                </c:pt>
                <c:pt idx="121">
                  <c:v>0.79368874180138727</c:v>
                </c:pt>
                <c:pt idx="122">
                  <c:v>0.80676937339298793</c:v>
                </c:pt>
                <c:pt idx="123">
                  <c:v>0.81999022184613934</c:v>
                </c:pt>
                <c:pt idx="124">
                  <c:v>0.83335249406743472</c:v>
                </c:pt>
                <c:pt idx="125">
                  <c:v>0.8468574163835707</c:v>
                </c:pt>
                <c:pt idx="126">
                  <c:v>0.86050623486562772</c:v>
                </c:pt>
                <c:pt idx="127">
                  <c:v>0.87430021566057492</c:v>
                </c:pt>
                <c:pt idx="128">
                  <c:v>0.88824064533018987</c:v>
                </c:pt>
                <c:pt idx="129">
                  <c:v>0.90232883119757057</c:v>
                </c:pt>
                <c:pt idx="130">
                  <c:v>0.91656610170143371</c:v>
                </c:pt>
                <c:pt idx="131">
                  <c:v>0.93095380675838746</c:v>
                </c:pt>
                <c:pt idx="132">
                  <c:v>0.94549331813338577</c:v>
                </c:pt>
                <c:pt idx="133">
                  <c:v>0.96018602981856538</c:v>
                </c:pt>
                <c:pt idx="134">
                  <c:v>0.97503335842067906</c:v>
                </c:pt>
                <c:pt idx="135">
                  <c:v>0.99003674355734561</c:v>
                </c:pt>
                <c:pt idx="136">
                  <c:v>1.0051976482623382</c:v>
                </c:pt>
                <c:pt idx="137">
                  <c:v>1.0205175594001439</c:v>
                </c:pt>
                <c:pt idx="138">
                  <c:v>1.0359979880900398</c:v>
                </c:pt>
                <c:pt idx="139">
                  <c:v>1.0516404701399182</c:v>
                </c:pt>
                <c:pt idx="140">
                  <c:v>1.0674465664901265</c:v>
                </c:pt>
                <c:pt idx="141">
                  <c:v>1.0834178636675773</c:v>
                </c:pt>
                <c:pt idx="142">
                  <c:v>1.0995559742503969</c:v>
                </c:pt>
                <c:pt idx="143">
                  <c:v>1.1158625373433986</c:v>
                </c:pt>
                <c:pt idx="144">
                  <c:v>1.1323392190646493</c:v>
                </c:pt>
                <c:pt idx="145">
                  <c:v>1.1489877130434401</c:v>
                </c:pt>
                <c:pt idx="146">
                  <c:v>1.1658097409299566</c:v>
                </c:pt>
                <c:pt idx="147">
                  <c:v>1.1828070529169705</c:v>
                </c:pt>
                <c:pt idx="148">
                  <c:v>1.1999814282738552</c:v>
                </c:pt>
                <c:pt idx="149">
                  <c:v>1.2173346758932861</c:v>
                </c:pt>
                <c:pt idx="150">
                  <c:v>1.2348686348509459</c:v>
                </c:pt>
                <c:pt idx="151">
                  <c:v>1.252585174978603</c:v>
                </c:pt>
                <c:pt idx="152">
                  <c:v>1.2704861974509221</c:v>
                </c:pt>
                <c:pt idx="153">
                  <c:v>1.2885736353863837</c:v>
                </c:pt>
                <c:pt idx="154">
                  <c:v>1.3068494544627036</c:v>
                </c:pt>
                <c:pt idx="155">
                  <c:v>1.3253156535471591</c:v>
                </c:pt>
                <c:pt idx="156">
                  <c:v>1.3439742653422182</c:v>
                </c:pt>
                <c:pt idx="157">
                  <c:v>1.3628273570469263</c:v>
                </c:pt>
                <c:pt idx="158">
                  <c:v>1.3818770310344648</c:v>
                </c:pt>
                <c:pt idx="159">
                  <c:v>1.401125425546357</c:v>
                </c:pt>
                <c:pt idx="160">
                  <c:v>1.4205747154037836</c:v>
                </c:pt>
                <c:pt idx="161">
                  <c:v>1.4402271127364916</c:v>
                </c:pt>
                <c:pt idx="162">
                  <c:v>1.4600848677298033</c:v>
                </c:pt>
                <c:pt idx="163">
                  <c:v>1.4801502693902471</c:v>
                </c:pt>
                <c:pt idx="164">
                  <c:v>1.5004256463303329</c:v>
                </c:pt>
                <c:pt idx="165">
                  <c:v>1.5209133675730393</c:v>
                </c:pt>
                <c:pt idx="166">
                  <c:v>1.5416158433765774</c:v>
                </c:pt>
                <c:pt idx="167">
                  <c:v>1.562535526080024</c:v>
                </c:pt>
                <c:pt idx="168">
                  <c:v>1.583674910970436</c:v>
                </c:pt>
                <c:pt idx="169">
                  <c:v>1.6050365371720747</c:v>
                </c:pt>
                <c:pt idx="170">
                  <c:v>1.6266229885583947</c:v>
                </c:pt>
                <c:pt idx="171">
                  <c:v>1.6484368946874763</c:v>
                </c:pt>
                <c:pt idx="172">
                  <c:v>1.6704809317615972</c:v>
                </c:pt>
                <c:pt idx="173">
                  <c:v>1.6927578236116556</c:v>
                </c:pt>
                <c:pt idx="174">
                  <c:v>1.7152703427072173</c:v>
                </c:pt>
                <c:pt idx="175">
                  <c:v>1.7380213111929277</c:v>
                </c:pt>
                <c:pt idx="176">
                  <c:v>1.7610136019521221</c:v>
                </c:pt>
                <c:pt idx="177">
                  <c:v>1.7842501396984312</c:v>
                </c:pt>
                <c:pt idx="178">
                  <c:v>1.8077339020962617</c:v>
                </c:pt>
                <c:pt idx="179">
                  <c:v>1.8314679209110281</c:v>
                </c:pt>
                <c:pt idx="180">
                  <c:v>1.855455283190063</c:v>
                </c:pt>
                <c:pt idx="181">
                  <c:v>1.8796991324751415</c:v>
                </c:pt>
                <c:pt idx="182">
                  <c:v>1.9042026700476238</c:v>
                </c:pt>
                <c:pt idx="183">
                  <c:v>1.9289691562072264</c:v>
                </c:pt>
                <c:pt idx="184">
                  <c:v>1.9540019115854812</c:v>
                </c:pt>
                <c:pt idx="185">
                  <c:v>1.9793043184949743</c:v>
                </c:pt>
                <c:pt idx="186">
                  <c:v>2.0048798223155173</c:v>
                </c:pt>
                <c:pt idx="187">
                  <c:v>2.0307319329183935</c:v>
                </c:pt>
                <c:pt idx="188">
                  <c:v>2.056864226129945</c:v>
                </c:pt>
                <c:pt idx="189">
                  <c:v>2.0832803452357238</c:v>
                </c:pt>
                <c:pt idx="190">
                  <c:v>2.1099840025265486</c:v>
                </c:pt>
                <c:pt idx="191">
                  <c:v>2.136978980887811</c:v>
                </c:pt>
                <c:pt idx="192">
                  <c:v>2.1642691354334493</c:v>
                </c:pt>
                <c:pt idx="193">
                  <c:v>2.1918583951860566</c:v>
                </c:pt>
                <c:pt idx="194">
                  <c:v>2.2197507648046417</c:v>
                </c:pt>
                <c:pt idx="195">
                  <c:v>2.2479503263616136</c:v>
                </c:pt>
                <c:pt idx="196">
                  <c:v>2.2764612411706393</c:v>
                </c:pt>
                <c:pt idx="197">
                  <c:v>2.3052877516670685</c:v>
                </c:pt>
                <c:pt idx="198">
                  <c:v>2.3344341833426889</c:v>
                </c:pt>
                <c:pt idx="199">
                  <c:v>2.3639049467366506</c:v>
                </c:pt>
                <c:pt idx="200">
                  <c:v>2.3937045394844638</c:v>
                </c:pt>
              </c:numCache>
            </c:numRef>
          </c:yVal>
          <c:smooth val="0"/>
          <c:extLst>
            <c:ext xmlns:c16="http://schemas.microsoft.com/office/drawing/2014/chart" uri="{C3380CC4-5D6E-409C-BE32-E72D297353CC}">
              <c16:uniqueId val="{00000001-224D-4C5D-9638-87D4BF1AF418}"/>
            </c:ext>
          </c:extLst>
        </c:ser>
        <c:ser>
          <c:idx val="0"/>
          <c:order val="2"/>
          <c:tx>
            <c:v>Inductor Loss</c:v>
          </c:tx>
          <c:spPr>
            <a:ln w="38100">
              <a:solidFill>
                <a:srgbClr val="FF6600"/>
              </a:solidFill>
              <a:prstDash val="solid"/>
            </a:ln>
          </c:spPr>
          <c:marker>
            <c:symbol val="none"/>
          </c:marker>
          <c:xVal>
            <c:numRef>
              <c:f>'Power Calculations'!$H$9:$H$209</c:f>
              <c:numCache>
                <c:formatCode>General</c:formatCode>
                <c:ptCount val="201"/>
                <c:pt idx="0">
                  <c:v>0</c:v>
                </c:pt>
                <c:pt idx="1">
                  <c:v>7.4999999999999997E-2</c:v>
                </c:pt>
                <c:pt idx="2">
                  <c:v>0.15</c:v>
                </c:pt>
                <c:pt idx="3">
                  <c:v>0.22499999999999998</c:v>
                </c:pt>
                <c:pt idx="4">
                  <c:v>0.3</c:v>
                </c:pt>
                <c:pt idx="5">
                  <c:v>0.375</c:v>
                </c:pt>
                <c:pt idx="6">
                  <c:v>0.44999999999999996</c:v>
                </c:pt>
                <c:pt idx="7">
                  <c:v>0.52500000000000002</c:v>
                </c:pt>
                <c:pt idx="8">
                  <c:v>0.6</c:v>
                </c:pt>
                <c:pt idx="9">
                  <c:v>0.67499999999999993</c:v>
                </c:pt>
                <c:pt idx="10">
                  <c:v>0.75</c:v>
                </c:pt>
                <c:pt idx="11">
                  <c:v>0.82499999999999996</c:v>
                </c:pt>
                <c:pt idx="12">
                  <c:v>0.89999999999999991</c:v>
                </c:pt>
                <c:pt idx="13">
                  <c:v>0.97500000000000009</c:v>
                </c:pt>
                <c:pt idx="14">
                  <c:v>1.05</c:v>
                </c:pt>
                <c:pt idx="15">
                  <c:v>1.125</c:v>
                </c:pt>
                <c:pt idx="16">
                  <c:v>1.2</c:v>
                </c:pt>
                <c:pt idx="17">
                  <c:v>1.2750000000000001</c:v>
                </c:pt>
                <c:pt idx="18">
                  <c:v>1.3499999999999999</c:v>
                </c:pt>
                <c:pt idx="19">
                  <c:v>1.425</c:v>
                </c:pt>
                <c:pt idx="20">
                  <c:v>1.5</c:v>
                </c:pt>
                <c:pt idx="21">
                  <c:v>1.575</c:v>
                </c:pt>
                <c:pt idx="22">
                  <c:v>1.65</c:v>
                </c:pt>
                <c:pt idx="23">
                  <c:v>1.7250000000000001</c:v>
                </c:pt>
                <c:pt idx="24">
                  <c:v>1.7999999999999998</c:v>
                </c:pt>
                <c:pt idx="25">
                  <c:v>1.875</c:v>
                </c:pt>
                <c:pt idx="26">
                  <c:v>1.9500000000000002</c:v>
                </c:pt>
                <c:pt idx="27">
                  <c:v>2.0250000000000004</c:v>
                </c:pt>
                <c:pt idx="28">
                  <c:v>2.1</c:v>
                </c:pt>
                <c:pt idx="29">
                  <c:v>2.1749999999999998</c:v>
                </c:pt>
                <c:pt idx="30">
                  <c:v>2.25</c:v>
                </c:pt>
                <c:pt idx="31">
                  <c:v>2.3250000000000002</c:v>
                </c:pt>
                <c:pt idx="32">
                  <c:v>2.4</c:v>
                </c:pt>
                <c:pt idx="33">
                  <c:v>2.4750000000000001</c:v>
                </c:pt>
                <c:pt idx="34">
                  <c:v>2.5500000000000003</c:v>
                </c:pt>
                <c:pt idx="35">
                  <c:v>2.625</c:v>
                </c:pt>
                <c:pt idx="36">
                  <c:v>2.6999999999999997</c:v>
                </c:pt>
                <c:pt idx="37">
                  <c:v>2.7749999999999999</c:v>
                </c:pt>
                <c:pt idx="38">
                  <c:v>2.85</c:v>
                </c:pt>
                <c:pt idx="39">
                  <c:v>2.9250000000000003</c:v>
                </c:pt>
                <c:pt idx="40">
                  <c:v>3</c:v>
                </c:pt>
                <c:pt idx="41">
                  <c:v>3.0749999999999997</c:v>
                </c:pt>
                <c:pt idx="42">
                  <c:v>3.15</c:v>
                </c:pt>
                <c:pt idx="43">
                  <c:v>3.2250000000000001</c:v>
                </c:pt>
                <c:pt idx="44">
                  <c:v>3.3</c:v>
                </c:pt>
                <c:pt idx="45">
                  <c:v>3.375</c:v>
                </c:pt>
                <c:pt idx="46">
                  <c:v>3.45</c:v>
                </c:pt>
                <c:pt idx="47">
                  <c:v>3.5249999999999999</c:v>
                </c:pt>
                <c:pt idx="48">
                  <c:v>3.5999999999999996</c:v>
                </c:pt>
                <c:pt idx="49">
                  <c:v>3.6749999999999998</c:v>
                </c:pt>
                <c:pt idx="50">
                  <c:v>3.75</c:v>
                </c:pt>
                <c:pt idx="51">
                  <c:v>3.8250000000000002</c:v>
                </c:pt>
                <c:pt idx="52">
                  <c:v>3.9000000000000004</c:v>
                </c:pt>
                <c:pt idx="53">
                  <c:v>3.9750000000000001</c:v>
                </c:pt>
                <c:pt idx="54">
                  <c:v>4.0500000000000007</c:v>
                </c:pt>
                <c:pt idx="55">
                  <c:v>4.125</c:v>
                </c:pt>
                <c:pt idx="56">
                  <c:v>4.2</c:v>
                </c:pt>
                <c:pt idx="57">
                  <c:v>4.2749999999999995</c:v>
                </c:pt>
                <c:pt idx="58">
                  <c:v>4.3499999999999996</c:v>
                </c:pt>
                <c:pt idx="59">
                  <c:v>4.4249999999999998</c:v>
                </c:pt>
                <c:pt idx="60">
                  <c:v>4.5</c:v>
                </c:pt>
                <c:pt idx="61">
                  <c:v>4.5750000000000002</c:v>
                </c:pt>
                <c:pt idx="62">
                  <c:v>4.6500000000000004</c:v>
                </c:pt>
                <c:pt idx="63">
                  <c:v>4.7249999999999996</c:v>
                </c:pt>
                <c:pt idx="64">
                  <c:v>4.8</c:v>
                </c:pt>
                <c:pt idx="65">
                  <c:v>4.875</c:v>
                </c:pt>
                <c:pt idx="66">
                  <c:v>4.95</c:v>
                </c:pt>
                <c:pt idx="67">
                  <c:v>5.0250000000000004</c:v>
                </c:pt>
                <c:pt idx="68">
                  <c:v>5.1000000000000005</c:v>
                </c:pt>
                <c:pt idx="69">
                  <c:v>5.1749999999999998</c:v>
                </c:pt>
                <c:pt idx="70">
                  <c:v>5.25</c:v>
                </c:pt>
                <c:pt idx="71">
                  <c:v>5.3249999999999993</c:v>
                </c:pt>
                <c:pt idx="72">
                  <c:v>5.3999999999999995</c:v>
                </c:pt>
                <c:pt idx="73">
                  <c:v>5.4749999999999996</c:v>
                </c:pt>
                <c:pt idx="74">
                  <c:v>5.55</c:v>
                </c:pt>
                <c:pt idx="75">
                  <c:v>5.625</c:v>
                </c:pt>
                <c:pt idx="76">
                  <c:v>5.7</c:v>
                </c:pt>
                <c:pt idx="77">
                  <c:v>5.7750000000000004</c:v>
                </c:pt>
                <c:pt idx="78">
                  <c:v>5.8500000000000005</c:v>
                </c:pt>
                <c:pt idx="79">
                  <c:v>5.9250000000000007</c:v>
                </c:pt>
                <c:pt idx="80">
                  <c:v>6</c:v>
                </c:pt>
                <c:pt idx="81">
                  <c:v>6.0750000000000002</c:v>
                </c:pt>
                <c:pt idx="82">
                  <c:v>6.1499999999999995</c:v>
                </c:pt>
                <c:pt idx="83">
                  <c:v>6.2249999999999996</c:v>
                </c:pt>
                <c:pt idx="84">
                  <c:v>6.3</c:v>
                </c:pt>
                <c:pt idx="85">
                  <c:v>6.375</c:v>
                </c:pt>
                <c:pt idx="86">
                  <c:v>6.45</c:v>
                </c:pt>
                <c:pt idx="87">
                  <c:v>6.5250000000000004</c:v>
                </c:pt>
                <c:pt idx="88">
                  <c:v>6.6</c:v>
                </c:pt>
                <c:pt idx="89">
                  <c:v>6.6749999999999998</c:v>
                </c:pt>
                <c:pt idx="90">
                  <c:v>6.75</c:v>
                </c:pt>
                <c:pt idx="91">
                  <c:v>6.8250000000000002</c:v>
                </c:pt>
                <c:pt idx="92">
                  <c:v>6.9</c:v>
                </c:pt>
                <c:pt idx="93">
                  <c:v>6.9750000000000005</c:v>
                </c:pt>
                <c:pt idx="94">
                  <c:v>7.05</c:v>
                </c:pt>
                <c:pt idx="95">
                  <c:v>7.125</c:v>
                </c:pt>
                <c:pt idx="96">
                  <c:v>7.1999999999999993</c:v>
                </c:pt>
                <c:pt idx="97">
                  <c:v>7.2749999999999995</c:v>
                </c:pt>
                <c:pt idx="98">
                  <c:v>7.35</c:v>
                </c:pt>
                <c:pt idx="99">
                  <c:v>7.4249999999999998</c:v>
                </c:pt>
                <c:pt idx="100">
                  <c:v>7.5</c:v>
                </c:pt>
                <c:pt idx="101">
                  <c:v>7.5750000000000002</c:v>
                </c:pt>
                <c:pt idx="102">
                  <c:v>7.65</c:v>
                </c:pt>
                <c:pt idx="103">
                  <c:v>7.7250000000000005</c:v>
                </c:pt>
                <c:pt idx="104">
                  <c:v>7.8000000000000007</c:v>
                </c:pt>
                <c:pt idx="105">
                  <c:v>7.875</c:v>
                </c:pt>
                <c:pt idx="106">
                  <c:v>7.95</c:v>
                </c:pt>
                <c:pt idx="107">
                  <c:v>8.0250000000000004</c:v>
                </c:pt>
                <c:pt idx="108">
                  <c:v>8.1000000000000014</c:v>
                </c:pt>
                <c:pt idx="109">
                  <c:v>8.1750000000000007</c:v>
                </c:pt>
                <c:pt idx="110">
                  <c:v>8.25</c:v>
                </c:pt>
                <c:pt idx="111">
                  <c:v>8.3250000000000011</c:v>
                </c:pt>
                <c:pt idx="112">
                  <c:v>8.4</c:v>
                </c:pt>
                <c:pt idx="113">
                  <c:v>8.4749999999999996</c:v>
                </c:pt>
                <c:pt idx="114">
                  <c:v>8.5499999999999989</c:v>
                </c:pt>
                <c:pt idx="115">
                  <c:v>8.625</c:v>
                </c:pt>
                <c:pt idx="116">
                  <c:v>8.6999999999999993</c:v>
                </c:pt>
                <c:pt idx="117">
                  <c:v>8.7749999999999986</c:v>
                </c:pt>
                <c:pt idx="118">
                  <c:v>8.85</c:v>
                </c:pt>
                <c:pt idx="119">
                  <c:v>8.9249999999999989</c:v>
                </c:pt>
                <c:pt idx="120">
                  <c:v>9</c:v>
                </c:pt>
                <c:pt idx="121">
                  <c:v>9.0749999999999993</c:v>
                </c:pt>
                <c:pt idx="122">
                  <c:v>9.15</c:v>
                </c:pt>
                <c:pt idx="123">
                  <c:v>9.2249999999999996</c:v>
                </c:pt>
                <c:pt idx="124">
                  <c:v>9.3000000000000007</c:v>
                </c:pt>
                <c:pt idx="125">
                  <c:v>9.375</c:v>
                </c:pt>
                <c:pt idx="126">
                  <c:v>9.4499999999999993</c:v>
                </c:pt>
                <c:pt idx="127">
                  <c:v>9.5250000000000004</c:v>
                </c:pt>
                <c:pt idx="128">
                  <c:v>9.6</c:v>
                </c:pt>
                <c:pt idx="129">
                  <c:v>9.6750000000000007</c:v>
                </c:pt>
                <c:pt idx="130">
                  <c:v>9.75</c:v>
                </c:pt>
                <c:pt idx="131">
                  <c:v>9.8250000000000011</c:v>
                </c:pt>
                <c:pt idx="132">
                  <c:v>9.9</c:v>
                </c:pt>
                <c:pt idx="133">
                  <c:v>9.9750000000000014</c:v>
                </c:pt>
                <c:pt idx="134">
                  <c:v>10.050000000000001</c:v>
                </c:pt>
                <c:pt idx="135">
                  <c:v>10.125</c:v>
                </c:pt>
                <c:pt idx="136">
                  <c:v>10.200000000000001</c:v>
                </c:pt>
                <c:pt idx="137">
                  <c:v>10.275</c:v>
                </c:pt>
                <c:pt idx="138">
                  <c:v>10.35</c:v>
                </c:pt>
                <c:pt idx="139">
                  <c:v>10.424999999999999</c:v>
                </c:pt>
                <c:pt idx="140">
                  <c:v>10.5</c:v>
                </c:pt>
                <c:pt idx="141">
                  <c:v>10.574999999999999</c:v>
                </c:pt>
                <c:pt idx="142">
                  <c:v>10.649999999999999</c:v>
                </c:pt>
                <c:pt idx="143">
                  <c:v>10.725</c:v>
                </c:pt>
                <c:pt idx="144">
                  <c:v>10.799999999999999</c:v>
                </c:pt>
                <c:pt idx="145">
                  <c:v>10.875</c:v>
                </c:pt>
                <c:pt idx="146">
                  <c:v>10.95</c:v>
                </c:pt>
                <c:pt idx="147">
                  <c:v>11.025</c:v>
                </c:pt>
                <c:pt idx="148">
                  <c:v>11.1</c:v>
                </c:pt>
                <c:pt idx="149">
                  <c:v>11.175000000000001</c:v>
                </c:pt>
                <c:pt idx="150">
                  <c:v>11.25</c:v>
                </c:pt>
                <c:pt idx="151">
                  <c:v>11.324999999999999</c:v>
                </c:pt>
                <c:pt idx="152">
                  <c:v>11.4</c:v>
                </c:pt>
                <c:pt idx="153">
                  <c:v>11.475</c:v>
                </c:pt>
                <c:pt idx="154">
                  <c:v>11.55</c:v>
                </c:pt>
                <c:pt idx="155">
                  <c:v>11.625</c:v>
                </c:pt>
                <c:pt idx="156">
                  <c:v>11.700000000000001</c:v>
                </c:pt>
                <c:pt idx="157">
                  <c:v>11.775</c:v>
                </c:pt>
                <c:pt idx="158">
                  <c:v>11.850000000000001</c:v>
                </c:pt>
                <c:pt idx="159">
                  <c:v>11.925000000000001</c:v>
                </c:pt>
                <c:pt idx="160">
                  <c:v>12</c:v>
                </c:pt>
                <c:pt idx="161">
                  <c:v>12.075000000000001</c:v>
                </c:pt>
                <c:pt idx="162">
                  <c:v>12.15</c:v>
                </c:pt>
                <c:pt idx="163">
                  <c:v>12.225</c:v>
                </c:pt>
                <c:pt idx="164">
                  <c:v>12.299999999999999</c:v>
                </c:pt>
                <c:pt idx="165">
                  <c:v>12.375</c:v>
                </c:pt>
                <c:pt idx="166">
                  <c:v>12.45</c:v>
                </c:pt>
                <c:pt idx="167">
                  <c:v>12.524999999999999</c:v>
                </c:pt>
                <c:pt idx="168">
                  <c:v>12.6</c:v>
                </c:pt>
                <c:pt idx="169">
                  <c:v>12.674999999999999</c:v>
                </c:pt>
                <c:pt idx="170">
                  <c:v>12.75</c:v>
                </c:pt>
                <c:pt idx="171">
                  <c:v>12.824999999999999</c:v>
                </c:pt>
                <c:pt idx="172">
                  <c:v>12.9</c:v>
                </c:pt>
                <c:pt idx="173">
                  <c:v>12.975</c:v>
                </c:pt>
                <c:pt idx="174">
                  <c:v>13.05</c:v>
                </c:pt>
                <c:pt idx="175">
                  <c:v>13.125</c:v>
                </c:pt>
                <c:pt idx="176">
                  <c:v>13.2</c:v>
                </c:pt>
                <c:pt idx="177">
                  <c:v>13.275</c:v>
                </c:pt>
                <c:pt idx="178">
                  <c:v>13.35</c:v>
                </c:pt>
                <c:pt idx="179">
                  <c:v>13.425000000000001</c:v>
                </c:pt>
                <c:pt idx="180">
                  <c:v>13.5</c:v>
                </c:pt>
                <c:pt idx="181">
                  <c:v>13.575000000000001</c:v>
                </c:pt>
                <c:pt idx="182">
                  <c:v>13.65</c:v>
                </c:pt>
                <c:pt idx="183">
                  <c:v>13.725000000000001</c:v>
                </c:pt>
                <c:pt idx="184">
                  <c:v>13.8</c:v>
                </c:pt>
                <c:pt idx="185">
                  <c:v>13.875</c:v>
                </c:pt>
                <c:pt idx="186">
                  <c:v>13.950000000000001</c:v>
                </c:pt>
                <c:pt idx="187">
                  <c:v>14.025</c:v>
                </c:pt>
                <c:pt idx="188">
                  <c:v>14.1</c:v>
                </c:pt>
                <c:pt idx="189">
                  <c:v>14.174999999999999</c:v>
                </c:pt>
                <c:pt idx="190">
                  <c:v>14.25</c:v>
                </c:pt>
                <c:pt idx="191">
                  <c:v>14.324999999999999</c:v>
                </c:pt>
                <c:pt idx="192">
                  <c:v>14.399999999999999</c:v>
                </c:pt>
                <c:pt idx="193">
                  <c:v>14.475</c:v>
                </c:pt>
                <c:pt idx="194">
                  <c:v>14.549999999999999</c:v>
                </c:pt>
                <c:pt idx="195">
                  <c:v>14.625</c:v>
                </c:pt>
                <c:pt idx="196">
                  <c:v>14.7</c:v>
                </c:pt>
                <c:pt idx="197">
                  <c:v>14.775</c:v>
                </c:pt>
                <c:pt idx="198">
                  <c:v>14.85</c:v>
                </c:pt>
                <c:pt idx="199">
                  <c:v>14.925000000000001</c:v>
                </c:pt>
                <c:pt idx="200">
                  <c:v>15</c:v>
                </c:pt>
              </c:numCache>
            </c:numRef>
          </c:xVal>
          <c:yVal>
            <c:numRef>
              <c:f>'Power Calculations'!$Q$9:$Q$209</c:f>
              <c:numCache>
                <c:formatCode>0.0000</c:formatCode>
                <c:ptCount val="201"/>
                <c:pt idx="0">
                  <c:v>0.20958686837286453</c:v>
                </c:pt>
                <c:pt idx="1">
                  <c:v>0.2096286365514563</c:v>
                </c:pt>
                <c:pt idx="2">
                  <c:v>0.20973801595202382</c:v>
                </c:pt>
                <c:pt idx="3">
                  <c:v>0.20991501012654426</c:v>
                </c:pt>
                <c:pt idx="4">
                  <c:v>0.21015962481985942</c:v>
                </c:pt>
                <c:pt idx="5">
                  <c:v>0.21047186797014167</c:v>
                </c:pt>
                <c:pt idx="6">
                  <c:v>0.21085174970953777</c:v>
                </c:pt>
                <c:pt idx="7">
                  <c:v>0.2112992823649906</c:v>
                </c:pt>
                <c:pt idx="8">
                  <c:v>0.21181448045923901</c:v>
                </c:pt>
                <c:pt idx="9">
                  <c:v>0.21239736071199605</c:v>
                </c:pt>
                <c:pt idx="10">
                  <c:v>0.21304794204130537</c:v>
                </c:pt>
                <c:pt idx="11">
                  <c:v>0.21376624556507651</c:v>
                </c:pt>
                <c:pt idx="12">
                  <c:v>0.21455229460279893</c:v>
                </c:pt>
                <c:pt idx="13">
                  <c:v>0.21540611467743517</c:v>
                </c:pt>
                <c:pt idx="14">
                  <c:v>0.21632773351749346</c:v>
                </c:pt>
                <c:pt idx="15">
                  <c:v>0.21731718105928005</c:v>
                </c:pt>
                <c:pt idx="16">
                  <c:v>0.21837448944933158</c:v>
                </c:pt>
                <c:pt idx="17">
                  <c:v>0.21949969304702791</c:v>
                </c:pt>
                <c:pt idx="18">
                  <c:v>0.2206928284273858</c:v>
                </c:pt>
                <c:pt idx="19">
                  <c:v>0.22195393438403394</c:v>
                </c:pt>
                <c:pt idx="20">
                  <c:v>0.2232830519323693</c:v>
                </c:pt>
                <c:pt idx="21">
                  <c:v>0.22468022431289636</c:v>
                </c:pt>
                <c:pt idx="22">
                  <c:v>0.22614549699474826</c:v>
                </c:pt>
                <c:pt idx="23">
                  <c:v>0.22767891767939191</c:v>
                </c:pt>
                <c:pt idx="24">
                  <c:v>0.22928053630451628</c:v>
                </c:pt>
                <c:pt idx="25">
                  <c:v>0.23095040504810557</c:v>
                </c:pt>
                <c:pt idx="26">
                  <c:v>0.23268857833269704</c:v>
                </c:pt>
                <c:pt idx="27">
                  <c:v>0.23449511282982483</c:v>
                </c:pt>
                <c:pt idx="28">
                  <c:v>0.2363700674646497</c:v>
                </c:pt>
                <c:pt idx="29">
                  <c:v>0.23831350342077631</c:v>
                </c:pt>
                <c:pt idx="30">
                  <c:v>0.24032548414525801</c:v>
                </c:pt>
                <c:pt idx="31">
                  <c:v>0.24240607535379002</c:v>
                </c:pt>
                <c:pt idx="32">
                  <c:v>0.24455534503609244</c:v>
                </c:pt>
                <c:pt idx="33">
                  <c:v>0.2467733634614829</c:v>
                </c:pt>
                <c:pt idx="34">
                  <c:v>0.24906020318464078</c:v>
                </c:pt>
                <c:pt idx="35">
                  <c:v>0.25141593905156284</c:v>
                </c:pt>
                <c:pt idx="36">
                  <c:v>0.25384064820571195</c:v>
                </c:pt>
                <c:pt idx="37">
                  <c:v>0.25633441009435975</c:v>
                </c:pt>
                <c:pt idx="38">
                  <c:v>0.25889730647512355</c:v>
                </c:pt>
                <c:pt idx="39">
                  <c:v>0.26152942142269964</c:v>
                </c:pt>
                <c:pt idx="40">
                  <c:v>0.26423084133579289</c:v>
                </c:pt>
                <c:pt idx="41">
                  <c:v>0.26700165494424455</c:v>
                </c:pt>
                <c:pt idx="42">
                  <c:v>0.26984195331635885</c:v>
                </c:pt>
                <c:pt idx="43">
                  <c:v>0.27275182986642971</c:v>
                </c:pt>
                <c:pt idx="44">
                  <c:v>0.27573138036246897</c:v>
                </c:pt>
                <c:pt idx="45">
                  <c:v>0.2787807029341367</c:v>
                </c:pt>
                <c:pt idx="46">
                  <c:v>0.2818998980808759</c:v>
                </c:pt>
                <c:pt idx="47">
                  <c:v>0.28508906868025097</c:v>
                </c:pt>
                <c:pt idx="48">
                  <c:v>0.28834831999649413</c:v>
                </c:pt>
                <c:pt idx="49">
                  <c:v>0.29167775968925813</c:v>
                </c:pt>
                <c:pt idx="50">
                  <c:v>0.29507749782257831</c:v>
                </c:pt>
                <c:pt idx="51">
                  <c:v>0.29854764687404528</c:v>
                </c:pt>
                <c:pt idx="52">
                  <c:v>0.30208832174418937</c:v>
                </c:pt>
                <c:pt idx="53">
                  <c:v>0.30569963976607817</c:v>
                </c:pt>
                <c:pt idx="54">
                  <c:v>0.30938172071512915</c:v>
                </c:pt>
                <c:pt idx="55">
                  <c:v>0.31313468681913836</c:v>
                </c:pt>
                <c:pt idx="56">
                  <c:v>0.31695866276852735</c:v>
                </c:pt>
                <c:pt idx="57">
                  <c:v>0.32085377572680962</c:v>
                </c:pt>
                <c:pt idx="58">
                  <c:v>0.32482015534127806</c:v>
                </c:pt>
                <c:pt idx="59">
                  <c:v>0.32885793375391531</c:v>
                </c:pt>
                <c:pt idx="60">
                  <c:v>0.33296724561252938</c:v>
                </c:pt>
                <c:pt idx="61">
                  <c:v>0.33714822808211464</c:v>
                </c:pt>
                <c:pt idx="62">
                  <c:v>0.34140102085644214</c:v>
                </c:pt>
                <c:pt idx="63">
                  <c:v>0.34572576616987916</c:v>
                </c:pt>
                <c:pt idx="64">
                  <c:v>0.35012260880944129</c:v>
                </c:pt>
                <c:pt idx="65">
                  <c:v>0.35459169612707786</c:v>
                </c:pt>
                <c:pt idx="66">
                  <c:v>0.35913317805219391</c:v>
                </c:pt>
                <c:pt idx="67">
                  <c:v>0.36374720710440944</c:v>
                </c:pt>
                <c:pt idx="68">
                  <c:v>0.36843393840655914</c:v>
                </c:pt>
                <c:pt idx="69">
                  <c:v>0.3731935296979334</c:v>
                </c:pt>
                <c:pt idx="70">
                  <c:v>0.37802614134776485</c:v>
                </c:pt>
                <c:pt idx="71">
                  <c:v>0.38293193636895928</c:v>
                </c:pt>
                <c:pt idx="72">
                  <c:v>0.38791108043207723</c:v>
                </c:pt>
                <c:pt idx="73">
                  <c:v>0.39296374187956501</c:v>
                </c:pt>
                <c:pt idx="74">
                  <c:v>0.39809009174023946</c:v>
                </c:pt>
                <c:pt idx="75">
                  <c:v>0.40329030374402819</c:v>
                </c:pt>
                <c:pt idx="76">
                  <c:v>0.40856455433696814</c:v>
                </c:pt>
                <c:pt idx="77">
                  <c:v>0.41391302269646379</c:v>
                </c:pt>
                <c:pt idx="78">
                  <c:v>0.41933589074680888</c:v>
                </c:pt>
                <c:pt idx="79">
                  <c:v>0.42483334317497362</c:v>
                </c:pt>
                <c:pt idx="80">
                  <c:v>0.43040556744665975</c:v>
                </c:pt>
                <c:pt idx="81">
                  <c:v>0.43605275382262687</c:v>
                </c:pt>
                <c:pt idx="82">
                  <c:v>0.44177509537529092</c:v>
                </c:pt>
                <c:pt idx="83">
                  <c:v>0.44757278800560107</c:v>
                </c:pt>
                <c:pt idx="84">
                  <c:v>0.45344603046019338</c:v>
                </c:pt>
                <c:pt idx="85">
                  <c:v>0.45939502434882795</c:v>
                </c:pt>
                <c:pt idx="86">
                  <c:v>0.46541997416211006</c:v>
                </c:pt>
                <c:pt idx="87">
                  <c:v>0.47152108728949949</c:v>
                </c:pt>
                <c:pt idx="88">
                  <c:v>0.47769857403761046</c:v>
                </c:pt>
                <c:pt idx="89">
                  <c:v>0.48395264764880569</c:v>
                </c:pt>
                <c:pt idx="90">
                  <c:v>0.49028352432008732</c:v>
                </c:pt>
                <c:pt idx="91">
                  <c:v>0.49669142322228799</c:v>
                </c:pt>
                <c:pt idx="92">
                  <c:v>0.50317656651956555</c:v>
                </c:pt>
                <c:pt idx="93">
                  <c:v>0.50973917938920543</c:v>
                </c:pt>
                <c:pt idx="94">
                  <c:v>0.51637949004173123</c:v>
                </c:pt>
                <c:pt idx="95">
                  <c:v>0.52309772974133084</c:v>
                </c:pt>
                <c:pt idx="96">
                  <c:v>0.52989413282659892</c:v>
                </c:pt>
                <c:pt idx="97">
                  <c:v>0.53676893673160042</c:v>
                </c:pt>
                <c:pt idx="98">
                  <c:v>0.54372238200725798</c:v>
                </c:pt>
                <c:pt idx="99">
                  <c:v>0.5507547123430675</c:v>
                </c:pt>
                <c:pt idx="100">
                  <c:v>0.55786617458914622</c:v>
                </c:pt>
                <c:pt idx="101">
                  <c:v>0.56505701877861569</c:v>
                </c:pt>
                <c:pt idx="102">
                  <c:v>0.57232749815032447</c:v>
                </c:pt>
                <c:pt idx="103">
                  <c:v>0.57967786917191466</c:v>
                </c:pt>
                <c:pt idx="104">
                  <c:v>0.58710839156323558</c:v>
                </c:pt>
                <c:pt idx="105">
                  <c:v>0.59461932832010933</c:v>
                </c:pt>
                <c:pt idx="106">
                  <c:v>0.60221094573845302</c:v>
                </c:pt>
                <c:pt idx="107">
                  <c:v>0.60988351343875924</c:v>
                </c:pt>
                <c:pt idx="108">
                  <c:v>0.61763730439094278</c:v>
                </c:pt>
                <c:pt idx="109">
                  <c:v>0.62547259493955543</c:v>
                </c:pt>
                <c:pt idx="110">
                  <c:v>0.63338966482937509</c:v>
                </c:pt>
                <c:pt idx="111">
                  <c:v>0.64138879723137199</c:v>
                </c:pt>
                <c:pt idx="112">
                  <c:v>0.64947027876905672</c:v>
                </c:pt>
                <c:pt idx="113">
                  <c:v>0.65763439954521763</c:v>
                </c:pt>
                <c:pt idx="114">
                  <c:v>0.66588145316904956</c:v>
                </c:pt>
                <c:pt idx="115">
                  <c:v>0.67421173678367996</c:v>
                </c:pt>
                <c:pt idx="116">
                  <c:v>0.68262555109409495</c:v>
                </c:pt>
                <c:pt idx="117">
                  <c:v>0.6911232003954767</c:v>
                </c:pt>
                <c:pt idx="118">
                  <c:v>0.69970499260195007</c:v>
                </c:pt>
                <c:pt idx="119">
                  <c:v>0.70837123927574708</c:v>
                </c:pt>
                <c:pt idx="120">
                  <c:v>0.71712225565679577</c:v>
                </c:pt>
                <c:pt idx="121">
                  <c:v>0.72595836069273667</c:v>
                </c:pt>
                <c:pt idx="122">
                  <c:v>0.73487987706937496</c:v>
                </c:pt>
                <c:pt idx="123">
                  <c:v>0.74388713124156691</c:v>
                </c:pt>
                <c:pt idx="124">
                  <c:v>0.75298045346456055</c:v>
                </c:pt>
                <c:pt idx="125">
                  <c:v>0.76216017782577872</c:v>
                </c:pt>
                <c:pt idx="126">
                  <c:v>0.7714266422770657</c:v>
                </c:pt>
                <c:pt idx="127">
                  <c:v>0.7807801886673944</c:v>
                </c:pt>
                <c:pt idx="128">
                  <c:v>0.79022116277604226</c:v>
                </c:pt>
                <c:pt idx="129">
                  <c:v>0.79974991434624565</c:v>
                </c:pt>
                <c:pt idx="130">
                  <c:v>0.8093667971193339</c:v>
                </c:pt>
                <c:pt idx="131">
                  <c:v>0.81907216886935319</c:v>
                </c:pt>
                <c:pt idx="132">
                  <c:v>0.82886639143818575</c:v>
                </c:pt>
                <c:pt idx="133">
                  <c:v>0.83874983077117005</c:v>
                </c:pt>
                <c:pt idx="134">
                  <c:v>0.8487228569532308</c:v>
                </c:pt>
                <c:pt idx="135">
                  <c:v>0.8587858442455254</c:v>
                </c:pt>
                <c:pt idx="136">
                  <c:v>0.86893917112261176</c:v>
                </c:pt>
                <c:pt idx="137">
                  <c:v>0.87918322031014617</c:v>
                </c:pt>
                <c:pt idx="138">
                  <c:v>0.8895183788231209</c:v>
                </c:pt>
                <c:pt idx="139">
                  <c:v>0.89994503800464543</c:v>
                </c:pt>
                <c:pt idx="140">
                  <c:v>0.91046359356527984</c:v>
                </c:pt>
                <c:pt idx="141">
                  <c:v>0.92107444562292873</c:v>
                </c:pt>
                <c:pt idx="142">
                  <c:v>0.9317779987433048</c:v>
                </c:pt>
                <c:pt idx="143">
                  <c:v>0.94257466198096784</c:v>
                </c:pt>
                <c:pt idx="144">
                  <c:v>0.95346484892094696</c:v>
                </c:pt>
                <c:pt idx="145">
                  <c:v>0.96444897772095795</c:v>
                </c:pt>
                <c:pt idx="146">
                  <c:v>0.975527471154221</c:v>
                </c:pt>
                <c:pt idx="147">
                  <c:v>0.98670075665288826</c:v>
                </c:pt>
                <c:pt idx="148">
                  <c:v>0.99796926635208982</c:v>
                </c:pt>
                <c:pt idx="149">
                  <c:v>1.0093334371346083</c:v>
                </c:pt>
                <c:pt idx="150">
                  <c:v>1.0207937106761893</c:v>
                </c:pt>
                <c:pt idx="151">
                  <c:v>1.0323505334914991</c:v>
                </c:pt>
                <c:pt idx="152">
                  <c:v>1.0440043569807365</c:v>
                </c:pt>
                <c:pt idx="153">
                  <c:v>1.0557556374769108</c:v>
                </c:pt>
                <c:pt idx="154">
                  <c:v>1.0676048362937938</c:v>
                </c:pt>
                <c:pt idx="155">
                  <c:v>1.0795524197745587</c:v>
                </c:pt>
                <c:pt idx="156">
                  <c:v>1.0915988593411103</c:v>
                </c:pt>
                <c:pt idx="157">
                  <c:v>1.1037446315441248</c:v>
                </c:pt>
                <c:pt idx="158">
                  <c:v>1.1159902181138026</c:v>
                </c:pt>
                <c:pt idx="159">
                  <c:v>1.128336106011347</c:v>
                </c:pt>
                <c:pt idx="160">
                  <c:v>1.1407827874811853</c:v>
                </c:pt>
                <c:pt idx="161">
                  <c:v>1.1533307601039331</c:v>
                </c:pt>
                <c:pt idx="162">
                  <c:v>1.1659805268501189</c:v>
                </c:pt>
                <c:pt idx="163">
                  <c:v>1.1787325961346844</c:v>
                </c:pt>
                <c:pt idx="164">
                  <c:v>1.1915874818722636</c:v>
                </c:pt>
                <c:pt idx="165">
                  <c:v>1.2045457035332587</c:v>
                </c:pt>
                <c:pt idx="166">
                  <c:v>1.2176077862007233</c:v>
                </c:pt>
                <c:pt idx="167">
                  <c:v>1.2307742606280643</c:v>
                </c:pt>
                <c:pt idx="168">
                  <c:v>1.2440456632975783</c:v>
                </c:pt>
                <c:pt idx="169">
                  <c:v>1.2574225364798299</c:v>
                </c:pt>
                <c:pt idx="170">
                  <c:v>1.270905428293889</c:v>
                </c:pt>
                <c:pt idx="171">
                  <c:v>1.2844948927684425</c:v>
                </c:pt>
                <c:pt idx="172">
                  <c:v>1.2981914899037892</c:v>
                </c:pt>
                <c:pt idx="173">
                  <c:v>1.3119957857347297</c:v>
                </c:pt>
                <c:pt idx="174">
                  <c:v>1.3259083523943771</c:v>
                </c:pt>
                <c:pt idx="175">
                  <c:v>1.3399297681788882</c:v>
                </c:pt>
                <c:pt idx="176">
                  <c:v>1.3540606176131416</c:v>
                </c:pt>
                <c:pt idx="177">
                  <c:v>1.3683014915173695</c:v>
                </c:pt>
                <c:pt idx="178">
                  <c:v>1.3826529870747619</c:v>
                </c:pt>
                <c:pt idx="179">
                  <c:v>1.3971157079000605</c:v>
                </c:pt>
                <c:pt idx="180">
                  <c:v>1.4116902641091542</c:v>
                </c:pt>
                <c:pt idx="181">
                  <c:v>1.4263772723896957</c:v>
                </c:pt>
                <c:pt idx="182">
                  <c:v>1.4411773560727499</c:v>
                </c:pt>
                <c:pt idx="183">
                  <c:v>1.4560911452054988</c:v>
                </c:pt>
                <c:pt idx="184">
                  <c:v>1.4711192766250156</c:v>
                </c:pt>
                <c:pt idx="185">
                  <c:v>1.4862623940331239</c:v>
                </c:pt>
                <c:pt idx="186">
                  <c:v>1.5015211480723616</c:v>
                </c:pt>
                <c:pt idx="187">
                  <c:v>1.5168961964030669</c:v>
                </c:pt>
                <c:pt idx="188">
                  <c:v>1.5323882037816086</c:v>
                </c:pt>
                <c:pt idx="189">
                  <c:v>1.5479978421397693</c:v>
                </c:pt>
                <c:pt idx="190">
                  <c:v>1.5637257906653157</c:v>
                </c:pt>
                <c:pt idx="191">
                  <c:v>1.5795727358837566</c:v>
                </c:pt>
                <c:pt idx="192">
                  <c:v>1.5955393717413291</c:v>
                </c:pt>
                <c:pt idx="193">
                  <c:v>1.6116263996892153</c:v>
                </c:pt>
                <c:pt idx="194">
                  <c:v>1.6278345287690208</c:v>
                </c:pt>
                <c:pt idx="195">
                  <c:v>1.6441644756995315</c:v>
                </c:pt>
                <c:pt idx="196">
                  <c:v>1.6606169649647728</c:v>
                </c:pt>
                <c:pt idx="197">
                  <c:v>1.6771927289033912</c:v>
                </c:pt>
                <c:pt idx="198">
                  <c:v>1.6938925077993783</c:v>
                </c:pt>
                <c:pt idx="199">
                  <c:v>1.7107170499741655</c:v>
                </c:pt>
                <c:pt idx="200">
                  <c:v>1.7276671118801099</c:v>
                </c:pt>
              </c:numCache>
            </c:numRef>
          </c:yVal>
          <c:smooth val="0"/>
          <c:extLst>
            <c:ext xmlns:c16="http://schemas.microsoft.com/office/drawing/2014/chart" uri="{C3380CC4-5D6E-409C-BE32-E72D297353CC}">
              <c16:uniqueId val="{00000002-224D-4C5D-9638-87D4BF1AF418}"/>
            </c:ext>
          </c:extLst>
        </c:ser>
        <c:dLbls>
          <c:showLegendKey val="0"/>
          <c:showVal val="0"/>
          <c:showCatName val="0"/>
          <c:showSerName val="0"/>
          <c:showPercent val="0"/>
          <c:showBubbleSize val="0"/>
        </c:dLbls>
        <c:axId val="177296512"/>
        <c:axId val="177298432"/>
      </c:scatterChart>
      <c:valAx>
        <c:axId val="177296512"/>
        <c:scaling>
          <c:orientation val="minMax"/>
          <c:min val="0"/>
        </c:scaling>
        <c:delete val="0"/>
        <c:axPos val="b"/>
        <c:majorGridlines/>
        <c:title>
          <c:tx>
            <c:rich>
              <a:bodyPr/>
              <a:lstStyle/>
              <a:p>
                <a:pPr>
                  <a:defRPr sz="975" b="1" i="0" u="none" strike="noStrike" baseline="0">
                    <a:solidFill>
                      <a:srgbClr val="000000"/>
                    </a:solidFill>
                    <a:latin typeface="Arial"/>
                    <a:ea typeface="Arial"/>
                    <a:cs typeface="Arial"/>
                  </a:defRPr>
                </a:pPr>
                <a:r>
                  <a:rPr lang="en-US"/>
                  <a:t>Iout (A)</a:t>
                </a:r>
              </a:p>
            </c:rich>
          </c:tx>
          <c:layout>
            <c:manualLayout>
              <c:xMode val="edge"/>
              <c:yMode val="edge"/>
              <c:x val="0.47898089171975411"/>
              <c:y val="0.925404072474819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8432"/>
        <c:crosses val="autoZero"/>
        <c:crossBetween val="midCat"/>
      </c:valAx>
      <c:valAx>
        <c:axId val="177298432"/>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rgbClr val="000000"/>
                    </a:solidFill>
                    <a:latin typeface="Arial"/>
                    <a:ea typeface="Arial"/>
                    <a:cs typeface="Arial"/>
                  </a:defRPr>
                </a:pPr>
                <a:r>
                  <a:rPr lang="en-US"/>
                  <a:t>Power Disipation (W)</a:t>
                </a:r>
              </a:p>
            </c:rich>
          </c:tx>
          <c:layout>
            <c:manualLayout>
              <c:xMode val="edge"/>
              <c:yMode val="edge"/>
              <c:x val="1.9108280254777267E-2"/>
              <c:y val="0.3729842943019265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6512"/>
        <c:crosses val="autoZero"/>
        <c:crossBetween val="midCat"/>
      </c:valAx>
      <c:spPr>
        <a:solidFill>
          <a:srgbClr val="C0C0C0"/>
        </a:solidFill>
        <a:ln w="12700">
          <a:solidFill>
            <a:srgbClr val="808080"/>
          </a:solidFill>
          <a:prstDash val="solid"/>
        </a:ln>
      </c:spPr>
    </c:plotArea>
    <c:legend>
      <c:legendPos val="r"/>
      <c:layout>
        <c:manualLayout>
          <c:xMode val="edge"/>
          <c:yMode val="edge"/>
          <c:x val="0.84585987261148066"/>
          <c:y val="1.0080645161290319E-2"/>
          <c:w val="0.14904458598726408"/>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Overall Efficiency</a:t>
            </a:r>
          </a:p>
        </c:rich>
      </c:tx>
      <c:layout>
        <c:manualLayout>
          <c:xMode val="edge"/>
          <c:yMode val="edge"/>
          <c:x val="0.41192468827576079"/>
          <c:y val="3.0241935483871732E-2"/>
        </c:manualLayout>
      </c:layout>
      <c:overlay val="0"/>
      <c:spPr>
        <a:noFill/>
        <a:ln w="25400">
          <a:noFill/>
        </a:ln>
      </c:spPr>
    </c:title>
    <c:autoTitleDeleted val="0"/>
    <c:plotArea>
      <c:layout>
        <c:manualLayout>
          <c:layoutTarget val="inner"/>
          <c:xMode val="edge"/>
          <c:yMode val="edge"/>
          <c:x val="0.12330639622818776"/>
          <c:y val="0.15927435034411094"/>
          <c:w val="0.80758914452747144"/>
          <c:h val="0.72983942815909986"/>
        </c:manualLayout>
      </c:layout>
      <c:scatterChart>
        <c:scatterStyle val="lineMarker"/>
        <c:varyColors val="0"/>
        <c:ser>
          <c:idx val="0"/>
          <c:order val="0"/>
          <c:spPr>
            <a:ln w="38100">
              <a:solidFill>
                <a:srgbClr val="000080"/>
              </a:solidFill>
              <a:prstDash val="solid"/>
            </a:ln>
          </c:spPr>
          <c:marker>
            <c:symbol val="none"/>
          </c:marker>
          <c:xVal>
            <c:numRef>
              <c:f>'Power Calculations'!$H$9:$H$209</c:f>
              <c:numCache>
                <c:formatCode>General</c:formatCode>
                <c:ptCount val="201"/>
                <c:pt idx="0">
                  <c:v>0</c:v>
                </c:pt>
                <c:pt idx="1">
                  <c:v>7.4999999999999997E-2</c:v>
                </c:pt>
                <c:pt idx="2">
                  <c:v>0.15</c:v>
                </c:pt>
                <c:pt idx="3">
                  <c:v>0.22499999999999998</c:v>
                </c:pt>
                <c:pt idx="4">
                  <c:v>0.3</c:v>
                </c:pt>
                <c:pt idx="5">
                  <c:v>0.375</c:v>
                </c:pt>
                <c:pt idx="6">
                  <c:v>0.44999999999999996</c:v>
                </c:pt>
                <c:pt idx="7">
                  <c:v>0.52500000000000002</c:v>
                </c:pt>
                <c:pt idx="8">
                  <c:v>0.6</c:v>
                </c:pt>
                <c:pt idx="9">
                  <c:v>0.67499999999999993</c:v>
                </c:pt>
                <c:pt idx="10">
                  <c:v>0.75</c:v>
                </c:pt>
                <c:pt idx="11">
                  <c:v>0.82499999999999996</c:v>
                </c:pt>
                <c:pt idx="12">
                  <c:v>0.89999999999999991</c:v>
                </c:pt>
                <c:pt idx="13">
                  <c:v>0.97500000000000009</c:v>
                </c:pt>
                <c:pt idx="14">
                  <c:v>1.05</c:v>
                </c:pt>
                <c:pt idx="15">
                  <c:v>1.125</c:v>
                </c:pt>
                <c:pt idx="16">
                  <c:v>1.2</c:v>
                </c:pt>
                <c:pt idx="17">
                  <c:v>1.2750000000000001</c:v>
                </c:pt>
                <c:pt idx="18">
                  <c:v>1.3499999999999999</c:v>
                </c:pt>
                <c:pt idx="19">
                  <c:v>1.425</c:v>
                </c:pt>
                <c:pt idx="20">
                  <c:v>1.5</c:v>
                </c:pt>
                <c:pt idx="21">
                  <c:v>1.575</c:v>
                </c:pt>
                <c:pt idx="22">
                  <c:v>1.65</c:v>
                </c:pt>
                <c:pt idx="23">
                  <c:v>1.7250000000000001</c:v>
                </c:pt>
                <c:pt idx="24">
                  <c:v>1.7999999999999998</c:v>
                </c:pt>
                <c:pt idx="25">
                  <c:v>1.875</c:v>
                </c:pt>
                <c:pt idx="26">
                  <c:v>1.9500000000000002</c:v>
                </c:pt>
                <c:pt idx="27">
                  <c:v>2.0250000000000004</c:v>
                </c:pt>
                <c:pt idx="28">
                  <c:v>2.1</c:v>
                </c:pt>
                <c:pt idx="29">
                  <c:v>2.1749999999999998</c:v>
                </c:pt>
                <c:pt idx="30">
                  <c:v>2.25</c:v>
                </c:pt>
                <c:pt idx="31">
                  <c:v>2.3250000000000002</c:v>
                </c:pt>
                <c:pt idx="32">
                  <c:v>2.4</c:v>
                </c:pt>
                <c:pt idx="33">
                  <c:v>2.4750000000000001</c:v>
                </c:pt>
                <c:pt idx="34">
                  <c:v>2.5500000000000003</c:v>
                </c:pt>
                <c:pt idx="35">
                  <c:v>2.625</c:v>
                </c:pt>
                <c:pt idx="36">
                  <c:v>2.6999999999999997</c:v>
                </c:pt>
                <c:pt idx="37">
                  <c:v>2.7749999999999999</c:v>
                </c:pt>
                <c:pt idx="38">
                  <c:v>2.85</c:v>
                </c:pt>
                <c:pt idx="39">
                  <c:v>2.9250000000000003</c:v>
                </c:pt>
                <c:pt idx="40">
                  <c:v>3</c:v>
                </c:pt>
                <c:pt idx="41">
                  <c:v>3.0749999999999997</c:v>
                </c:pt>
                <c:pt idx="42">
                  <c:v>3.15</c:v>
                </c:pt>
                <c:pt idx="43">
                  <c:v>3.2250000000000001</c:v>
                </c:pt>
                <c:pt idx="44">
                  <c:v>3.3</c:v>
                </c:pt>
                <c:pt idx="45">
                  <c:v>3.375</c:v>
                </c:pt>
                <c:pt idx="46">
                  <c:v>3.45</c:v>
                </c:pt>
                <c:pt idx="47">
                  <c:v>3.5249999999999999</c:v>
                </c:pt>
                <c:pt idx="48">
                  <c:v>3.5999999999999996</c:v>
                </c:pt>
                <c:pt idx="49">
                  <c:v>3.6749999999999998</c:v>
                </c:pt>
                <c:pt idx="50">
                  <c:v>3.75</c:v>
                </c:pt>
                <c:pt idx="51">
                  <c:v>3.8250000000000002</c:v>
                </c:pt>
                <c:pt idx="52">
                  <c:v>3.9000000000000004</c:v>
                </c:pt>
                <c:pt idx="53">
                  <c:v>3.9750000000000001</c:v>
                </c:pt>
                <c:pt idx="54">
                  <c:v>4.0500000000000007</c:v>
                </c:pt>
                <c:pt idx="55">
                  <c:v>4.125</c:v>
                </c:pt>
                <c:pt idx="56">
                  <c:v>4.2</c:v>
                </c:pt>
                <c:pt idx="57">
                  <c:v>4.2749999999999995</c:v>
                </c:pt>
                <c:pt idx="58">
                  <c:v>4.3499999999999996</c:v>
                </c:pt>
                <c:pt idx="59">
                  <c:v>4.4249999999999998</c:v>
                </c:pt>
                <c:pt idx="60">
                  <c:v>4.5</c:v>
                </c:pt>
                <c:pt idx="61">
                  <c:v>4.5750000000000002</c:v>
                </c:pt>
                <c:pt idx="62">
                  <c:v>4.6500000000000004</c:v>
                </c:pt>
                <c:pt idx="63">
                  <c:v>4.7249999999999996</c:v>
                </c:pt>
                <c:pt idx="64">
                  <c:v>4.8</c:v>
                </c:pt>
                <c:pt idx="65">
                  <c:v>4.875</c:v>
                </c:pt>
                <c:pt idx="66">
                  <c:v>4.95</c:v>
                </c:pt>
                <c:pt idx="67">
                  <c:v>5.0250000000000004</c:v>
                </c:pt>
                <c:pt idx="68">
                  <c:v>5.1000000000000005</c:v>
                </c:pt>
                <c:pt idx="69">
                  <c:v>5.1749999999999998</c:v>
                </c:pt>
                <c:pt idx="70">
                  <c:v>5.25</c:v>
                </c:pt>
                <c:pt idx="71">
                  <c:v>5.3249999999999993</c:v>
                </c:pt>
                <c:pt idx="72">
                  <c:v>5.3999999999999995</c:v>
                </c:pt>
                <c:pt idx="73">
                  <c:v>5.4749999999999996</c:v>
                </c:pt>
                <c:pt idx="74">
                  <c:v>5.55</c:v>
                </c:pt>
                <c:pt idx="75">
                  <c:v>5.625</c:v>
                </c:pt>
                <c:pt idx="76">
                  <c:v>5.7</c:v>
                </c:pt>
                <c:pt idx="77">
                  <c:v>5.7750000000000004</c:v>
                </c:pt>
                <c:pt idx="78">
                  <c:v>5.8500000000000005</c:v>
                </c:pt>
                <c:pt idx="79">
                  <c:v>5.9250000000000007</c:v>
                </c:pt>
                <c:pt idx="80">
                  <c:v>6</c:v>
                </c:pt>
                <c:pt idx="81">
                  <c:v>6.0750000000000002</c:v>
                </c:pt>
                <c:pt idx="82">
                  <c:v>6.1499999999999995</c:v>
                </c:pt>
                <c:pt idx="83">
                  <c:v>6.2249999999999996</c:v>
                </c:pt>
                <c:pt idx="84">
                  <c:v>6.3</c:v>
                </c:pt>
                <c:pt idx="85">
                  <c:v>6.375</c:v>
                </c:pt>
                <c:pt idx="86">
                  <c:v>6.45</c:v>
                </c:pt>
                <c:pt idx="87">
                  <c:v>6.5250000000000004</c:v>
                </c:pt>
                <c:pt idx="88">
                  <c:v>6.6</c:v>
                </c:pt>
                <c:pt idx="89">
                  <c:v>6.6749999999999998</c:v>
                </c:pt>
                <c:pt idx="90">
                  <c:v>6.75</c:v>
                </c:pt>
                <c:pt idx="91">
                  <c:v>6.8250000000000002</c:v>
                </c:pt>
                <c:pt idx="92">
                  <c:v>6.9</c:v>
                </c:pt>
                <c:pt idx="93">
                  <c:v>6.9750000000000005</c:v>
                </c:pt>
                <c:pt idx="94">
                  <c:v>7.05</c:v>
                </c:pt>
                <c:pt idx="95">
                  <c:v>7.125</c:v>
                </c:pt>
                <c:pt idx="96">
                  <c:v>7.1999999999999993</c:v>
                </c:pt>
                <c:pt idx="97">
                  <c:v>7.2749999999999995</c:v>
                </c:pt>
                <c:pt idx="98">
                  <c:v>7.35</c:v>
                </c:pt>
                <c:pt idx="99">
                  <c:v>7.4249999999999998</c:v>
                </c:pt>
                <c:pt idx="100">
                  <c:v>7.5</c:v>
                </c:pt>
                <c:pt idx="101">
                  <c:v>7.5750000000000002</c:v>
                </c:pt>
                <c:pt idx="102">
                  <c:v>7.65</c:v>
                </c:pt>
                <c:pt idx="103">
                  <c:v>7.7250000000000005</c:v>
                </c:pt>
                <c:pt idx="104">
                  <c:v>7.8000000000000007</c:v>
                </c:pt>
                <c:pt idx="105">
                  <c:v>7.875</c:v>
                </c:pt>
                <c:pt idx="106">
                  <c:v>7.95</c:v>
                </c:pt>
                <c:pt idx="107">
                  <c:v>8.0250000000000004</c:v>
                </c:pt>
                <c:pt idx="108">
                  <c:v>8.1000000000000014</c:v>
                </c:pt>
                <c:pt idx="109">
                  <c:v>8.1750000000000007</c:v>
                </c:pt>
                <c:pt idx="110">
                  <c:v>8.25</c:v>
                </c:pt>
                <c:pt idx="111">
                  <c:v>8.3250000000000011</c:v>
                </c:pt>
                <c:pt idx="112">
                  <c:v>8.4</c:v>
                </c:pt>
                <c:pt idx="113">
                  <c:v>8.4749999999999996</c:v>
                </c:pt>
                <c:pt idx="114">
                  <c:v>8.5499999999999989</c:v>
                </c:pt>
                <c:pt idx="115">
                  <c:v>8.625</c:v>
                </c:pt>
                <c:pt idx="116">
                  <c:v>8.6999999999999993</c:v>
                </c:pt>
                <c:pt idx="117">
                  <c:v>8.7749999999999986</c:v>
                </c:pt>
                <c:pt idx="118">
                  <c:v>8.85</c:v>
                </c:pt>
                <c:pt idx="119">
                  <c:v>8.9249999999999989</c:v>
                </c:pt>
                <c:pt idx="120">
                  <c:v>9</c:v>
                </c:pt>
                <c:pt idx="121">
                  <c:v>9.0749999999999993</c:v>
                </c:pt>
                <c:pt idx="122">
                  <c:v>9.15</c:v>
                </c:pt>
                <c:pt idx="123">
                  <c:v>9.2249999999999996</c:v>
                </c:pt>
                <c:pt idx="124">
                  <c:v>9.3000000000000007</c:v>
                </c:pt>
                <c:pt idx="125">
                  <c:v>9.375</c:v>
                </c:pt>
                <c:pt idx="126">
                  <c:v>9.4499999999999993</c:v>
                </c:pt>
                <c:pt idx="127">
                  <c:v>9.5250000000000004</c:v>
                </c:pt>
                <c:pt idx="128">
                  <c:v>9.6</c:v>
                </c:pt>
                <c:pt idx="129">
                  <c:v>9.6750000000000007</c:v>
                </c:pt>
                <c:pt idx="130">
                  <c:v>9.75</c:v>
                </c:pt>
                <c:pt idx="131">
                  <c:v>9.8250000000000011</c:v>
                </c:pt>
                <c:pt idx="132">
                  <c:v>9.9</c:v>
                </c:pt>
                <c:pt idx="133">
                  <c:v>9.9750000000000014</c:v>
                </c:pt>
                <c:pt idx="134">
                  <c:v>10.050000000000001</c:v>
                </c:pt>
                <c:pt idx="135">
                  <c:v>10.125</c:v>
                </c:pt>
                <c:pt idx="136">
                  <c:v>10.200000000000001</c:v>
                </c:pt>
                <c:pt idx="137">
                  <c:v>10.275</c:v>
                </c:pt>
                <c:pt idx="138">
                  <c:v>10.35</c:v>
                </c:pt>
                <c:pt idx="139">
                  <c:v>10.424999999999999</c:v>
                </c:pt>
                <c:pt idx="140">
                  <c:v>10.5</c:v>
                </c:pt>
                <c:pt idx="141">
                  <c:v>10.574999999999999</c:v>
                </c:pt>
                <c:pt idx="142">
                  <c:v>10.649999999999999</c:v>
                </c:pt>
                <c:pt idx="143">
                  <c:v>10.725</c:v>
                </c:pt>
                <c:pt idx="144">
                  <c:v>10.799999999999999</c:v>
                </c:pt>
                <c:pt idx="145">
                  <c:v>10.875</c:v>
                </c:pt>
                <c:pt idx="146">
                  <c:v>10.95</c:v>
                </c:pt>
                <c:pt idx="147">
                  <c:v>11.025</c:v>
                </c:pt>
                <c:pt idx="148">
                  <c:v>11.1</c:v>
                </c:pt>
                <c:pt idx="149">
                  <c:v>11.175000000000001</c:v>
                </c:pt>
                <c:pt idx="150">
                  <c:v>11.25</c:v>
                </c:pt>
                <c:pt idx="151">
                  <c:v>11.324999999999999</c:v>
                </c:pt>
                <c:pt idx="152">
                  <c:v>11.4</c:v>
                </c:pt>
                <c:pt idx="153">
                  <c:v>11.475</c:v>
                </c:pt>
                <c:pt idx="154">
                  <c:v>11.55</c:v>
                </c:pt>
                <c:pt idx="155">
                  <c:v>11.625</c:v>
                </c:pt>
                <c:pt idx="156">
                  <c:v>11.700000000000001</c:v>
                </c:pt>
                <c:pt idx="157">
                  <c:v>11.775</c:v>
                </c:pt>
                <c:pt idx="158">
                  <c:v>11.850000000000001</c:v>
                </c:pt>
                <c:pt idx="159">
                  <c:v>11.925000000000001</c:v>
                </c:pt>
                <c:pt idx="160">
                  <c:v>12</c:v>
                </c:pt>
                <c:pt idx="161">
                  <c:v>12.075000000000001</c:v>
                </c:pt>
                <c:pt idx="162">
                  <c:v>12.15</c:v>
                </c:pt>
                <c:pt idx="163">
                  <c:v>12.225</c:v>
                </c:pt>
                <c:pt idx="164">
                  <c:v>12.299999999999999</c:v>
                </c:pt>
                <c:pt idx="165">
                  <c:v>12.375</c:v>
                </c:pt>
                <c:pt idx="166">
                  <c:v>12.45</c:v>
                </c:pt>
                <c:pt idx="167">
                  <c:v>12.524999999999999</c:v>
                </c:pt>
                <c:pt idx="168">
                  <c:v>12.6</c:v>
                </c:pt>
                <c:pt idx="169">
                  <c:v>12.674999999999999</c:v>
                </c:pt>
                <c:pt idx="170">
                  <c:v>12.75</c:v>
                </c:pt>
                <c:pt idx="171">
                  <c:v>12.824999999999999</c:v>
                </c:pt>
                <c:pt idx="172">
                  <c:v>12.9</c:v>
                </c:pt>
                <c:pt idx="173">
                  <c:v>12.975</c:v>
                </c:pt>
                <c:pt idx="174">
                  <c:v>13.05</c:v>
                </c:pt>
                <c:pt idx="175">
                  <c:v>13.125</c:v>
                </c:pt>
                <c:pt idx="176">
                  <c:v>13.2</c:v>
                </c:pt>
                <c:pt idx="177">
                  <c:v>13.275</c:v>
                </c:pt>
                <c:pt idx="178">
                  <c:v>13.35</c:v>
                </c:pt>
                <c:pt idx="179">
                  <c:v>13.425000000000001</c:v>
                </c:pt>
                <c:pt idx="180">
                  <c:v>13.5</c:v>
                </c:pt>
                <c:pt idx="181">
                  <c:v>13.575000000000001</c:v>
                </c:pt>
                <c:pt idx="182">
                  <c:v>13.65</c:v>
                </c:pt>
                <c:pt idx="183">
                  <c:v>13.725000000000001</c:v>
                </c:pt>
                <c:pt idx="184">
                  <c:v>13.8</c:v>
                </c:pt>
                <c:pt idx="185">
                  <c:v>13.875</c:v>
                </c:pt>
                <c:pt idx="186">
                  <c:v>13.950000000000001</c:v>
                </c:pt>
                <c:pt idx="187">
                  <c:v>14.025</c:v>
                </c:pt>
                <c:pt idx="188">
                  <c:v>14.1</c:v>
                </c:pt>
                <c:pt idx="189">
                  <c:v>14.174999999999999</c:v>
                </c:pt>
                <c:pt idx="190">
                  <c:v>14.25</c:v>
                </c:pt>
                <c:pt idx="191">
                  <c:v>14.324999999999999</c:v>
                </c:pt>
                <c:pt idx="192">
                  <c:v>14.399999999999999</c:v>
                </c:pt>
                <c:pt idx="193">
                  <c:v>14.475</c:v>
                </c:pt>
                <c:pt idx="194">
                  <c:v>14.549999999999999</c:v>
                </c:pt>
                <c:pt idx="195">
                  <c:v>14.625</c:v>
                </c:pt>
                <c:pt idx="196">
                  <c:v>14.7</c:v>
                </c:pt>
                <c:pt idx="197">
                  <c:v>14.775</c:v>
                </c:pt>
                <c:pt idx="198">
                  <c:v>14.85</c:v>
                </c:pt>
                <c:pt idx="199">
                  <c:v>14.925000000000001</c:v>
                </c:pt>
                <c:pt idx="200">
                  <c:v>15</c:v>
                </c:pt>
              </c:numCache>
            </c:numRef>
          </c:xVal>
          <c:yVal>
            <c:numRef>
              <c:f>'Power Calculations'!$AQ$9:$AQ$209</c:f>
              <c:numCache>
                <c:formatCode>0.00%</c:formatCode>
                <c:ptCount val="201"/>
                <c:pt idx="0">
                  <c:v>0</c:v>
                </c:pt>
                <c:pt idx="1">
                  <c:v>0.39473514059089376</c:v>
                </c:pt>
                <c:pt idx="2">
                  <c:v>0.56567967963317101</c:v>
                </c:pt>
                <c:pt idx="3">
                  <c:v>0.66098928398079659</c:v>
                </c:pt>
                <c:pt idx="4">
                  <c:v>0.72168425717577445</c:v>
                </c:pt>
                <c:pt idx="5">
                  <c:v>0.76366349022158742</c:v>
                </c:pt>
                <c:pt idx="6">
                  <c:v>0.79438195135242018</c:v>
                </c:pt>
                <c:pt idx="7">
                  <c:v>0.81779934113571806</c:v>
                </c:pt>
                <c:pt idx="8">
                  <c:v>0.83621362107548824</c:v>
                </c:pt>
                <c:pt idx="9">
                  <c:v>0.85104994863220274</c:v>
                </c:pt>
                <c:pt idx="10">
                  <c:v>0.86323911953347465</c:v>
                </c:pt>
                <c:pt idx="11">
                  <c:v>0.87341481485973815</c:v>
                </c:pt>
                <c:pt idx="12">
                  <c:v>0.88202338704319716</c:v>
                </c:pt>
                <c:pt idx="13">
                  <c:v>0.88938831575215205</c:v>
                </c:pt>
                <c:pt idx="14">
                  <c:v>0.8957497637627464</c:v>
                </c:pt>
                <c:pt idx="15">
                  <c:v>0.90128977631030049</c:v>
                </c:pt>
                <c:pt idx="16">
                  <c:v>0.90614885619948438</c:v>
                </c:pt>
                <c:pt idx="17">
                  <c:v>0.91043717234703347</c:v>
                </c:pt>
                <c:pt idx="18">
                  <c:v>0.91424232510688763</c:v>
                </c:pt>
                <c:pt idx="19">
                  <c:v>0.91763484230481795</c:v>
                </c:pt>
                <c:pt idx="20">
                  <c:v>0.92067214373924411</c:v>
                </c:pt>
                <c:pt idx="21">
                  <c:v>0.92340144995855289</c:v>
                </c:pt>
                <c:pt idx="22">
                  <c:v>0.92545242927996207</c:v>
                </c:pt>
                <c:pt idx="23">
                  <c:v>0.92659462741746479</c:v>
                </c:pt>
                <c:pt idx="24">
                  <c:v>0.92767472313546606</c:v>
                </c:pt>
                <c:pt idx="25">
                  <c:v>0.92870000955501486</c:v>
                </c:pt>
                <c:pt idx="26">
                  <c:v>0.92967668394123137</c:v>
                </c:pt>
                <c:pt idx="27">
                  <c:v>0.93061004759747235</c:v>
                </c:pt>
                <c:pt idx="28">
                  <c:v>0.93150466356491335</c:v>
                </c:pt>
                <c:pt idx="29">
                  <c:v>0.93236448216676915</c:v>
                </c:pt>
                <c:pt idx="30">
                  <c:v>0.93335245881833206</c:v>
                </c:pt>
                <c:pt idx="31">
                  <c:v>0.93444748883615514</c:v>
                </c:pt>
                <c:pt idx="32">
                  <c:v>0.93545051464885232</c:v>
                </c:pt>
                <c:pt idx="33">
                  <c:v>0.93636941058781031</c:v>
                </c:pt>
                <c:pt idx="34">
                  <c:v>0.93721116162666285</c:v>
                </c:pt>
                <c:pt idx="35">
                  <c:v>0.93798198488285867</c:v>
                </c:pt>
                <c:pt idx="36">
                  <c:v>0.93868743171852853</c:v>
                </c:pt>
                <c:pt idx="37">
                  <c:v>0.93933247396056874</c:v>
                </c:pt>
                <c:pt idx="38">
                  <c:v>0.93992157704841595</c:v>
                </c:pt>
                <c:pt idx="39">
                  <c:v>0.94045876236434156</c:v>
                </c:pt>
                <c:pt idx="40">
                  <c:v>0.9409476605672652</c:v>
                </c:pt>
                <c:pt idx="41">
                  <c:v>0.94139155740896652</c:v>
                </c:pt>
                <c:pt idx="42">
                  <c:v>0.94179343324009646</c:v>
                </c:pt>
                <c:pt idx="43">
                  <c:v>0.94215599719672194</c:v>
                </c:pt>
                <c:pt idx="44">
                  <c:v>0.94248171688424676</c:v>
                </c:pt>
                <c:pt idx="45">
                  <c:v>0.94277284423526519</c:v>
                </c:pt>
                <c:pt idx="46">
                  <c:v>0.94303143810414314</c:v>
                </c:pt>
                <c:pt idx="47">
                  <c:v>0.94325938406844623</c:v>
                </c:pt>
                <c:pt idx="48">
                  <c:v>0.94345841183147361</c:v>
                </c:pt>
                <c:pt idx="49">
                  <c:v>0.94363011055779433</c:v>
                </c:pt>
                <c:pt idx="50">
                  <c:v>0.94377594242220531</c:v>
                </c:pt>
                <c:pt idx="51">
                  <c:v>0.94389725460986085</c:v>
                </c:pt>
                <c:pt idx="52">
                  <c:v>0.94399528996982129</c:v>
                </c:pt>
                <c:pt idx="53">
                  <c:v>0.94407119649462123</c:v>
                </c:pt>
                <c:pt idx="54">
                  <c:v>0.94412603577360699</c:v>
                </c:pt>
                <c:pt idx="55">
                  <c:v>0.94416079054690405</c:v>
                </c:pt>
                <c:pt idx="56">
                  <c:v>0.94417637146923994</c:v>
                </c:pt>
                <c:pt idx="57">
                  <c:v>0.94417362317792597</c:v>
                </c:pt>
                <c:pt idx="58">
                  <c:v>0.94415332974664046</c:v>
                </c:pt>
                <c:pt idx="59">
                  <c:v>0.94411621959586356</c:v>
                </c:pt>
                <c:pt idx="60">
                  <c:v>0.94406296992160377</c:v>
                </c:pt>
                <c:pt idx="61">
                  <c:v>0.94399421069617639</c:v>
                </c:pt>
                <c:pt idx="62">
                  <c:v>0.94391052828801847</c:v>
                </c:pt>
                <c:pt idx="63">
                  <c:v>0.94381246874169966</c:v>
                </c:pt>
                <c:pt idx="64">
                  <c:v>0.94370054075426413</c:v>
                </c:pt>
                <c:pt idx="65">
                  <c:v>0.94357521837968517</c:v>
                </c:pt>
                <c:pt idx="66">
                  <c:v>0.94343694348945084</c:v>
                </c:pt>
                <c:pt idx="67">
                  <c:v>0.94328612801401657</c:v>
                </c:pt>
                <c:pt idx="68">
                  <c:v>0.94312315598701812</c:v>
                </c:pt>
                <c:pt idx="69">
                  <c:v>0.94294838541163917</c:v>
                </c:pt>
                <c:pt idx="70">
                  <c:v>0.94276214996636021</c:v>
                </c:pt>
                <c:pt idx="71">
                  <c:v>0.94256476056540417</c:v>
                </c:pt>
                <c:pt idx="72">
                  <c:v>0.9423565067875217</c:v>
                </c:pt>
                <c:pt idx="73">
                  <c:v>0.94213765818528594</c:v>
                </c:pt>
                <c:pt idx="74">
                  <c:v>0.94190846548576912</c:v>
                </c:pt>
                <c:pt idx="75">
                  <c:v>0.94166916169232762</c:v>
                </c:pt>
                <c:pt idx="76">
                  <c:v>0.94141996309621001</c:v>
                </c:pt>
                <c:pt idx="77">
                  <c:v>0.94116107020580209</c:v>
                </c:pt>
                <c:pt idx="78">
                  <c:v>0.94089266860052889</c:v>
                </c:pt>
                <c:pt idx="79">
                  <c:v>0.94061492971572158</c:v>
                </c:pt>
                <c:pt idx="80">
                  <c:v>0.94032801156413115</c:v>
                </c:pt>
                <c:pt idx="81">
                  <c:v>0.9400320593992012</c:v>
                </c:pt>
                <c:pt idx="82">
                  <c:v>0.93972720632471651</c:v>
                </c:pt>
                <c:pt idx="83">
                  <c:v>0.93941357385498381</c:v>
                </c:pt>
                <c:pt idx="84">
                  <c:v>0.93909127242930934</c:v>
                </c:pt>
                <c:pt idx="85">
                  <c:v>0.93876040188416365</c:v>
                </c:pt>
                <c:pt idx="86">
                  <c:v>0.93842105188610414</c:v>
                </c:pt>
                <c:pt idx="87">
                  <c:v>0.93807330232822939</c:v>
                </c:pt>
                <c:pt idx="88">
                  <c:v>0.93771722369267496</c:v>
                </c:pt>
                <c:pt idx="89">
                  <c:v>0.93735287738141593</c:v>
                </c:pt>
                <c:pt idx="90">
                  <c:v>0.9369803160174287</c:v>
                </c:pt>
                <c:pt idx="91">
                  <c:v>0.93659958371806129</c:v>
                </c:pt>
                <c:pt idx="92">
                  <c:v>0.9362107163422857</c:v>
                </c:pt>
                <c:pt idx="93">
                  <c:v>0.93581374171333453</c:v>
                </c:pt>
                <c:pt idx="94">
                  <c:v>0.93540867981808329</c:v>
                </c:pt>
                <c:pt idx="95">
                  <c:v>0.93499554298438892</c:v>
                </c:pt>
                <c:pt idx="96">
                  <c:v>0.93457433603748041</c:v>
                </c:pt>
                <c:pt idx="97">
                  <c:v>0.9341450564363698</c:v>
                </c:pt>
                <c:pt idx="98">
                  <c:v>0.93370769439114865</c:v>
                </c:pt>
                <c:pt idx="99">
                  <c:v>0.933262232961933</c:v>
                </c:pt>
                <c:pt idx="100">
                  <c:v>0.93280864814012399</c:v>
                </c:pt>
                <c:pt idx="101">
                  <c:v>0.93234690891256322</c:v>
                </c:pt>
                <c:pt idx="102">
                  <c:v>0.93187697730908126</c:v>
                </c:pt>
                <c:pt idx="103">
                  <c:v>0.93139880843385425</c:v>
                </c:pt>
                <c:pt idx="104">
                  <c:v>0.93091235048091225</c:v>
                </c:pt>
                <c:pt idx="105">
                  <c:v>0.93041754473407057</c:v>
                </c:pt>
                <c:pt idx="106">
                  <c:v>0.92991432555148545</c:v>
                </c:pt>
                <c:pt idx="107">
                  <c:v>0.92940262033496812</c:v>
                </c:pt>
                <c:pt idx="108">
                  <c:v>0.92888234948412962</c:v>
                </c:pt>
                <c:pt idx="109">
                  <c:v>0.92835342633536</c:v>
                </c:pt>
                <c:pt idx="110">
                  <c:v>0.92781575708558683</c:v>
                </c:pt>
                <c:pt idx="111">
                  <c:v>0.92726924070069361</c:v>
                </c:pt>
                <c:pt idx="112">
                  <c:v>0.9267137688084135</c:v>
                </c:pt>
                <c:pt idx="113">
                  <c:v>0.92614922557545898</c:v>
                </c:pt>
                <c:pt idx="114">
                  <c:v>0.92557548756857044</c:v>
                </c:pt>
                <c:pt idx="115">
                  <c:v>0.92499242359911704</c:v>
                </c:pt>
                <c:pt idx="116">
                  <c:v>0.92439989455080374</c:v>
                </c:pt>
                <c:pt idx="117">
                  <c:v>0.92379775318997548</c:v>
                </c:pt>
                <c:pt idx="118">
                  <c:v>0.92318584395793735</c:v>
                </c:pt>
                <c:pt idx="119">
                  <c:v>0.92256400274463224</c:v>
                </c:pt>
                <c:pt idx="120">
                  <c:v>0.92193205664294131</c:v>
                </c:pt>
                <c:pt idx="121">
                  <c:v>0.92128982368278955</c:v>
                </c:pt>
                <c:pt idx="122">
                  <c:v>0.9206371125441517</c:v>
                </c:pt>
                <c:pt idx="123">
                  <c:v>0.91997372224795859</c:v>
                </c:pt>
                <c:pt idx="124">
                  <c:v>0.91929944182381174</c:v>
                </c:pt>
                <c:pt idx="125">
                  <c:v>0.91861404995330076</c:v>
                </c:pt>
                <c:pt idx="126">
                  <c:v>0.91791731458761272</c:v>
                </c:pt>
                <c:pt idx="127">
                  <c:v>0.91720899253799693</c:v>
                </c:pt>
                <c:pt idx="128">
                  <c:v>0.91648882903752316</c:v>
                </c:pt>
                <c:pt idx="129">
                  <c:v>0.91575655727242389</c:v>
                </c:pt>
                <c:pt idx="130">
                  <c:v>0.91501189788116966</c:v>
                </c:pt>
                <c:pt idx="131">
                  <c:v>0.91425455841925241</c:v>
                </c:pt>
                <c:pt idx="132">
                  <c:v>0.91348423278748081</c:v>
                </c:pt>
                <c:pt idx="133">
                  <c:v>0.91270060062139657</c:v>
                </c:pt>
                <c:pt idx="134">
                  <c:v>0.91190332663920681</c:v>
                </c:pt>
                <c:pt idx="135">
                  <c:v>0.91109205994540399</c:v>
                </c:pt>
                <c:pt idx="136">
                  <c:v>0.91026643328699142</c:v>
                </c:pt>
                <c:pt idx="137">
                  <c:v>0.90942606225895761</c:v>
                </c:pt>
                <c:pt idx="138">
                  <c:v>0.90857054445534746</c:v>
                </c:pt>
                <c:pt idx="139">
                  <c:v>0.907699458561948</c:v>
                </c:pt>
                <c:pt idx="140">
                  <c:v>0.90681236338624649</c:v>
                </c:pt>
                <c:pt idx="141">
                  <c:v>0.90590879681992442</c:v>
                </c:pt>
                <c:pt idx="142">
                  <c:v>0.90498827472871701</c:v>
                </c:pt>
                <c:pt idx="143">
                  <c:v>0.90405028976398638</c:v>
                </c:pt>
                <c:pt idx="144">
                  <c:v>0.90309431008983376</c:v>
                </c:pt>
                <c:pt idx="145">
                  <c:v>0.9021197780189889</c:v>
                </c:pt>
                <c:pt idx="146">
                  <c:v>0.9011261085500738</c:v>
                </c:pt>
                <c:pt idx="147">
                  <c:v>0.90011268779812381</c:v>
                </c:pt>
                <c:pt idx="148">
                  <c:v>0.89907887130946251</c:v>
                </c:pt>
                <c:pt idx="149">
                  <c:v>0.89802398225114699</c:v>
                </c:pt>
                <c:pt idx="150">
                  <c:v>0.89694730946422996</c:v>
                </c:pt>
                <c:pt idx="151">
                  <c:v>0.89584810536900261</c:v>
                </c:pt>
                <c:pt idx="152">
                  <c:v>0.8947255837091761</c:v>
                </c:pt>
                <c:pt idx="153">
                  <c:v>0.89357891712061344</c:v>
                </c:pt>
                <c:pt idx="154">
                  <c:v>0.89240723450872839</c:v>
                </c:pt>
                <c:pt idx="155">
                  <c:v>0.89120961821697653</c:v>
                </c:pt>
                <c:pt idx="156">
                  <c:v>0.88998510096699812</c:v>
                </c:pt>
                <c:pt idx="157">
                  <c:v>0.88873266254884942</c:v>
                </c:pt>
                <c:pt idx="158">
                  <c:v>0.88745122623739481</c:v>
                </c:pt>
                <c:pt idx="159">
                  <c:v>0.88613965490826352</c:v>
                </c:pt>
                <c:pt idx="160">
                  <c:v>0.88479674682377407</c:v>
                </c:pt>
                <c:pt idx="161">
                  <c:v>0.88342123105582604</c:v>
                </c:pt>
                <c:pt idx="162">
                  <c:v>0.88201176250893853</c:v>
                </c:pt>
                <c:pt idx="163">
                  <c:v>0.8805669165022576</c:v>
                </c:pt>
                <c:pt idx="164">
                  <c:v>0.87908518286443538</c:v>
                </c:pt>
                <c:pt idx="165">
                  <c:v>0.87756495948967828</c:v>
                </c:pt>
                <c:pt idx="166">
                  <c:v>0.87600454529688454</c:v>
                </c:pt>
                <c:pt idx="167">
                  <c:v>0.874402132526517</c:v>
                </c:pt>
                <c:pt idx="168">
                  <c:v>0.87275579830153249</c:v>
                </c:pt>
                <c:pt idx="169">
                  <c:v>0.87106349536917083</c:v>
                </c:pt>
                <c:pt idx="170">
                  <c:v>0.86932304192945975</c:v>
                </c:pt>
                <c:pt idx="171">
                  <c:v>0.86753211044371992</c:v>
                </c:pt>
                <c:pt idx="172">
                  <c:v>0.86568821530184425</c:v>
                </c:pt>
                <c:pt idx="173">
                  <c:v>0.8637886992103756</c:v>
                </c:pt>
                <c:pt idx="174">
                  <c:v>0.86183071814398426</c:v>
                </c:pt>
                <c:pt idx="175">
                  <c:v>0.85981122468042359</c:v>
                </c:pt>
                <c:pt idx="176">
                  <c:v>0.85772694951279549</c:v>
                </c:pt>
                <c:pt idx="177">
                  <c:v>0.85557438090235227</c:v>
                </c:pt>
                <c:pt idx="178">
                  <c:v>0.8533497417992294</c:v>
                </c:pt>
                <c:pt idx="179">
                  <c:v>0.85104896431646038</c:v>
                </c:pt>
                <c:pt idx="180">
                  <c:v>0.84866766119314863</c:v>
                </c:pt>
                <c:pt idx="181">
                  <c:v>0.84620109382425512</c:v>
                </c:pt>
                <c:pt idx="182">
                  <c:v>0.84364413636530589</c:v>
                </c:pt>
                <c:pt idx="183">
                  <c:v>0.84099123533814246</c:v>
                </c:pt>
                <c:pt idx="184">
                  <c:v>0.83823636406590407</c:v>
                </c:pt>
                <c:pt idx="185">
                  <c:v>0.83537297114826625</c:v>
                </c:pt>
                <c:pt idx="186">
                  <c:v>0.83239392204729856</c:v>
                </c:pt>
                <c:pt idx="187">
                  <c:v>0.82929143268479977</c:v>
                </c:pt>
                <c:pt idx="188">
                  <c:v>0.82605699374686092</c:v>
                </c:pt>
                <c:pt idx="189">
                  <c:v>0.82268128414223951</c:v>
                </c:pt>
                <c:pt idx="190">
                  <c:v>0.81915407175707378</c:v>
                </c:pt>
                <c:pt idx="191">
                  <c:v>0.81546409927579666</c:v>
                </c:pt>
                <c:pt idx="192">
                  <c:v>0.81159895237915325</c:v>
                </c:pt>
                <c:pt idx="193">
                  <c:v>0.80754490706221049</c:v>
                </c:pt>
                <c:pt idx="194">
                  <c:v>0.80328675210858225</c:v>
                </c:pt>
                <c:pt idx="195">
                  <c:v>0.79880758187315826</c:v>
                </c:pt>
                <c:pt idx="196">
                  <c:v>0.79408855341354379</c:v>
                </c:pt>
                <c:pt idx="197">
                  <c:v>0.78910860060287469</c:v>
                </c:pt>
                <c:pt idx="198">
                  <c:v>0.78384409606378813</c:v>
                </c:pt>
                <c:pt idx="199">
                  <c:v>0.77826844946415341</c:v>
                </c:pt>
                <c:pt idx="200">
                  <c:v>0.77235162774580879</c:v>
                </c:pt>
              </c:numCache>
            </c:numRef>
          </c:yVal>
          <c:smooth val="0"/>
          <c:extLst>
            <c:ext xmlns:c16="http://schemas.microsoft.com/office/drawing/2014/chart" uri="{C3380CC4-5D6E-409C-BE32-E72D297353CC}">
              <c16:uniqueId val="{00000000-63C5-4D6A-B9BD-1C49DB4002EC}"/>
            </c:ext>
          </c:extLst>
        </c:ser>
        <c:dLbls>
          <c:showLegendKey val="0"/>
          <c:showVal val="0"/>
          <c:showCatName val="0"/>
          <c:showSerName val="0"/>
          <c:showPercent val="0"/>
          <c:showBubbleSize val="0"/>
        </c:dLbls>
        <c:axId val="177307008"/>
        <c:axId val="177313280"/>
      </c:scatterChart>
      <c:valAx>
        <c:axId val="177307008"/>
        <c:scaling>
          <c:orientation val="minMax"/>
          <c:min val="0"/>
        </c:scaling>
        <c:delete val="0"/>
        <c:axPos val="b"/>
        <c:majorGridlines/>
        <c:title>
          <c:tx>
            <c:rich>
              <a:bodyPr/>
              <a:lstStyle/>
              <a:p>
                <a:pPr>
                  <a:defRPr sz="1025" b="1" i="0" u="none" strike="noStrike" baseline="0">
                    <a:solidFill>
                      <a:srgbClr val="000000"/>
                    </a:solidFill>
                    <a:latin typeface="Arial"/>
                    <a:ea typeface="Arial"/>
                    <a:cs typeface="Arial"/>
                  </a:defRPr>
                </a:pPr>
                <a:r>
                  <a:rPr lang="en-US"/>
                  <a:t>Iout (A)</a:t>
                </a:r>
              </a:p>
            </c:rich>
          </c:tx>
          <c:layout>
            <c:manualLayout>
              <c:xMode val="edge"/>
              <c:yMode val="edge"/>
              <c:x val="0.49051561644225661"/>
              <c:y val="0.943549233765139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13280"/>
        <c:crosses val="autoZero"/>
        <c:crossBetween val="midCat"/>
      </c:valAx>
      <c:valAx>
        <c:axId val="177313280"/>
        <c:scaling>
          <c:orientation val="minMax"/>
          <c:min val="0.5"/>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5965E-3"/>
              <c:y val="0.4274197781728962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07008"/>
        <c:crosses val="autoZero"/>
        <c:crossBetween val="midCat"/>
      </c:valAx>
      <c:spPr>
        <a:solidFill>
          <a:srgbClr val="C0C0C0"/>
        </a:solidFill>
        <a:ln w="12700">
          <a:solidFill>
            <a:srgbClr val="808080"/>
          </a:solidFill>
          <a:prstDash val="solid"/>
        </a:ln>
      </c:spPr>
    </c:plotArea>
    <c:legend>
      <c:legendPos val="r"/>
      <c:layout>
        <c:manualLayout>
          <c:xMode val="edge"/>
          <c:yMode val="edge"/>
          <c:x val="0.85636970175475957"/>
          <c:y val="3.6290322580645677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22" fmlaRange="$1:$1048576" noThreeD="1" sel="0" val="0"/>
</file>

<file path=xl/ctrlProps/ctrlProp4.xml><?xml version="1.0" encoding="utf-8"?>
<formControlPr xmlns="http://schemas.microsoft.com/office/spreadsheetml/2009/9/main" objectType="Spin" dx="16" fmlaLink="$E$61" max="150" min="10" page="10" val="35"/>
</file>

<file path=xl/ctrlProps/ctrlProp5.xml><?xml version="1.0" encoding="utf-8"?>
<formControlPr xmlns="http://schemas.microsoft.com/office/spreadsheetml/2009/9/main" objectType="Spin" dx="16" fmlaLink="$E$67" max="100" min="1" page="10" val="2"/>
</file>

<file path=xl/ctrlProps/ctrlProp6.xml><?xml version="1.0" encoding="utf-8"?>
<formControlPr xmlns="http://schemas.microsoft.com/office/spreadsheetml/2009/9/main" objectType="Spin" dx="16" fmlaLink="$E$68" max="100" min="1" page="10" val="2"/>
</file>

<file path=xl/ctrlProps/ctrlProp7.xml><?xml version="1.0" encoding="utf-8"?>
<formControlPr xmlns="http://schemas.microsoft.com/office/spreadsheetml/2009/9/main" objectType="Spin" dx="16" fmlaLink="$E$69" inc="10" max="1000" min="100" page="10" val="198"/>
</file>

<file path=xl/ctrlProps/ctrlProp8.xml><?xml version="1.0" encoding="utf-8"?>
<formControlPr xmlns="http://schemas.microsoft.com/office/spreadsheetml/2009/9/main" objectType="Spin" dx="16" fmlaLink="$E$70" inc="10" max="1000" min="100" page="10" val="125"/>
</file>

<file path=xl/ctrlProps/ctrlProp9.xml><?xml version="1.0" encoding="utf-8"?>
<formControlPr xmlns="http://schemas.microsoft.com/office/spreadsheetml/2009/9/main" objectType="Drop" dropLines="2" dropStyle="combo" dx="16" fmlaLink="'Variable Management'!$M$56" fmlaRange="'Variable Management'!$L$54:$L$55" noThreeD="1" sel="1" val="0"/>
</file>

<file path=xl/ctrlProps/ctrlProp10.xml><?xml version="1.0" encoding="utf-8"?>
<formControlPr xmlns="http://schemas.microsoft.com/office/spreadsheetml/2009/9/main" objectType="Drop" dropLines="5" dropStyle="combo" dx="16" fmlaLink="'Variable Management'!$V$12" fmlaRange="'Variable Management'!$U$7:$U$11" noThreeD="1" sel="5" val="0"/>
</file>

<file path=xl/ctrlProps/ctrlProp11.xml><?xml version="1.0" encoding="utf-8"?>
<formControlPr xmlns="http://schemas.microsoft.com/office/spreadsheetml/2009/9/main" objectType="Drop" dropLines="2" dropStyle="combo" dx="16" fmlaLink="'Variable Management'!$V$21" fmlaRange="'Variable Management'!$U$19:$U$20" noThreeD="1" sel="1" val="0"/>
</file>

<file path=xl/ctrlProps/ctrlProp12.xml><?xml version="1.0" encoding="utf-8"?>
<formControlPr xmlns="http://schemas.microsoft.com/office/spreadsheetml/2009/9/main" objectType="Drop" dropLines="4" dropStyle="combo" dx="16" fmlaLink="'Schematic &amp; BOM'!$Q$49" fmlaRange="'Variable Management'!$L$48:$L$51" noThreeD="1" sel="1" val="0"/>
</file>

<file path=xl/ctrlProps/ctrlProp13.xml><?xml version="1.0" encoding="utf-8"?>
<formControlPr xmlns="http://schemas.microsoft.com/office/spreadsheetml/2009/9/main" objectType="Drop" dropStyle="combo" dx="16" fmlaLink="$Q$50" fmlaRange="'Variable Management'!$L$48:$L$51" noThreeD="1" sel="1" val="0"/>
</file>

<file path=xl/ctrlProps/ctrlProp14.xml><?xml version="1.0" encoding="utf-8"?>
<formControlPr xmlns="http://schemas.microsoft.com/office/spreadsheetml/2009/9/main" objectType="Drop" dropLines="3" dropStyle="combo" dx="16" fmlaLink="$Q$38" fmlaRange="'Variable Management'!$L$69:$L$71" noThreeD="1" sel="2" val="0"/>
</file>

<file path=xl/ctrlProps/ctrlProp15.xml><?xml version="1.0" encoding="utf-8"?>
<formControlPr xmlns="http://schemas.microsoft.com/office/spreadsheetml/2009/9/main" objectType="Drop" dropLines="3" dropStyle="combo" dx="16" fmlaLink="$Q$39" fmlaRange="'Variable Management'!$L$69:$L$71" noThreeD="1" sel="1" val="0"/>
</file>

<file path=xl/ctrlProps/ctrlProp16.xml><?xml version="1.0" encoding="utf-8"?>
<formControlPr xmlns="http://schemas.microsoft.com/office/spreadsheetml/2009/9/main" objectType="Drop" dropLines="3" dropStyle="combo" dx="16" fmlaLink="$Q$40" fmlaRange="'Variable Management'!$L$69:$L$71" noThreeD="1" sel="1" val="0"/>
</file>

<file path=xl/ctrlProps/ctrlProp17.xml><?xml version="1.0" encoding="utf-8"?>
<formControlPr xmlns="http://schemas.microsoft.com/office/spreadsheetml/2009/9/main" objectType="Drop" dropLines="3" dropStyle="combo" dx="16" fmlaLink="$Q$41" fmlaRange="'Variable Management'!$L$69:$L$71" noThreeD="1" sel="1" val="0"/>
</file>

<file path=xl/ctrlProps/ctrlProp18.xml><?xml version="1.0" encoding="utf-8"?>
<formControlPr xmlns="http://schemas.microsoft.com/office/spreadsheetml/2009/9/main" objectType="Drop" dropLines="3" dropStyle="combo" dx="16" fmlaLink="$Q$42" fmlaRange="'Variable Management'!$L$69:$L$71" noThreeD="1" sel="2" val="0"/>
</file>

<file path=xl/ctrlProps/ctrlProp19.xml><?xml version="1.0" encoding="utf-8"?>
<formControlPr xmlns="http://schemas.microsoft.com/office/spreadsheetml/2009/9/main" objectType="Drop" dropLines="3" dropStyle="combo" dx="16" fmlaLink="$Q$45" fmlaRange="'Variable Management'!$L$69:$L$71" noThreeD="1" sel="2" val="0"/>
</file>

<file path=xl/ctrlProps/ctrlProp20.xml><?xml version="1.0" encoding="utf-8"?>
<formControlPr xmlns="http://schemas.microsoft.com/office/spreadsheetml/2009/9/main" objectType="Drop" dropLines="3" dropStyle="combo" dx="16" fmlaLink="$Q$46" fmlaRange="'Variable Management'!$L$69:$L$71" noThreeD="1" sel="3" val="0"/>
</file>

<file path=xl/ctrlProps/ctrlProp21.xml><?xml version="1.0" encoding="utf-8"?>
<formControlPr xmlns="http://schemas.microsoft.com/office/spreadsheetml/2009/9/main" objectType="Drop" dropLines="3" dropStyle="combo" dx="16" fmlaLink="$Q$47" fmlaRange="'Variable Management'!$L$69:$L$71" noThreeD="1" sel="2" val="0"/>
</file>

<file path=xl/ctrlProps/ctrlProp22.xml><?xml version="1.0" encoding="utf-8"?>
<formControlPr xmlns="http://schemas.microsoft.com/office/spreadsheetml/2009/9/main" objectType="Drop" dropLines="3" dropStyle="combo" dx="16" fmlaLink="$Q$52" fmlaRange="'Variable Management'!$L$69:$L$71" noThreeD="1" sel="1" val="0"/>
</file>

<file path=xl/ctrlProps/ctrlProp23.xml><?xml version="1.0" encoding="utf-8"?>
<formControlPr xmlns="http://schemas.microsoft.com/office/spreadsheetml/2009/9/main" objectType="Drop" dropLines="3" dropStyle="combo" dx="16" fmlaLink="$Q$53" fmlaRange="'Variable Management'!$L$69:$L$71" noThreeD="1" sel="1" val="0"/>
</file>

<file path=xl/ctrlProps/ctrlProp24.xml><?xml version="1.0" encoding="utf-8"?>
<formControlPr xmlns="http://schemas.microsoft.com/office/spreadsheetml/2009/9/main" objectType="Drop" dropLines="3" dropStyle="combo" dx="16" fmlaLink="$Q$54" fmlaRange="'Variable Management'!$L$69:$L$71" noThreeD="1" sel="3" val="0"/>
</file>

<file path=xl/ctrlProps/ctrlProp25.xml><?xml version="1.0" encoding="utf-8"?>
<formControlPr xmlns="http://schemas.microsoft.com/office/spreadsheetml/2009/9/main" objectType="Drop" dropLines="3" dropStyle="combo" dx="16" fmlaLink="$Q$55" fmlaRange="'Variable Management'!$L$69:$L$71" noThreeD="1" sel="1" val="0"/>
</file>

<file path=xl/ctrlProps/ctrlProp26.xml><?xml version="1.0" encoding="utf-8"?>
<formControlPr xmlns="http://schemas.microsoft.com/office/spreadsheetml/2009/9/main" objectType="Drop" dropLines="3" dropStyle="combo" dx="16" fmlaLink="$Q$56" fmlaRange="'Variable Management'!$L$69:$L$71" noThreeD="1" sel="1" val="0"/>
</file>

<file path=xl/ctrlProps/ctrlProp27.xml><?xml version="1.0" encoding="utf-8"?>
<formControlPr xmlns="http://schemas.microsoft.com/office/spreadsheetml/2009/9/main" objectType="Drop" dropLines="3" dropStyle="combo" dx="16" fmlaLink="$Q$57" fmlaRange="'Variable Management'!$L$69:$L$71" noThreeD="1" sel="1" val="0"/>
</file>

<file path=xl/ctrlProps/ctrlProp28.xml><?xml version="1.0" encoding="utf-8"?>
<formControlPr xmlns="http://schemas.microsoft.com/office/spreadsheetml/2009/9/main" objectType="Drop" dropLines="3" dropStyle="combo" dx="16" fmlaLink="$Q$58" fmlaRange="'Variable Management'!$L$69:$L$71" noThreeD="1" sel="1" val="0"/>
</file>

<file path=xl/ctrlProps/ctrlProp29.xml><?xml version="1.0" encoding="utf-8"?>
<formControlPr xmlns="http://schemas.microsoft.com/office/spreadsheetml/2009/9/main" objectType="Drop" dropLines="3" dropStyle="combo" dx="16" fmlaLink="$Q$60" fmlaRange="'Variable Management'!$L$69:$L$71" noThreeD="1" sel="2" val="0"/>
</file>

<file path=xl/ctrlProps/ctrlProp30.xml><?xml version="1.0" encoding="utf-8"?>
<formControlPr xmlns="http://schemas.microsoft.com/office/spreadsheetml/2009/9/main" objectType="Drop" dropLines="3" dropStyle="combo" dx="16" fmlaLink="$Q$61" fmlaRange="'Variable Management'!$L$69:$L$71" noThreeD="1" sel="1" val="0"/>
</file>

<file path=xl/ctrlProps/ctrlProp31.xml><?xml version="1.0" encoding="utf-8"?>
<formControlPr xmlns="http://schemas.microsoft.com/office/spreadsheetml/2009/9/main" objectType="Drop" dropLines="3" dropStyle="combo" dx="16" fmlaLink="$Q$62" fmlaRange="'Variable Management'!$L$69:$L$71" noThreeD="1" sel="1" val="0"/>
</file>

<file path=xl/ctrlProps/ctrlProp32.xml><?xml version="1.0" encoding="utf-8"?>
<formControlPr xmlns="http://schemas.microsoft.com/office/spreadsheetml/2009/9/main" objectType="Drop" dropStyle="combo" dx="16" fmlaLink="$Q$48" fmlaRange="'Variable Management'!$L$78:$L$85" noThreeD="1" sel="7" val="0"/>
</file>

<file path=xl/ctrlProps/ctrlProp33.xml><?xml version="1.0" encoding="utf-8"?>
<formControlPr xmlns="http://schemas.microsoft.com/office/spreadsheetml/2009/9/main" objectType="Drop" dropLines="5" dropStyle="combo" dx="16" fmlaLink="$Q$43" fmlaRange="'Variable Management'!$L$69:$L$73" noThreeD="1" sel="5" val="0"/>
</file>

<file path=xl/ctrlProps/ctrlProp34.xml><?xml version="1.0" encoding="utf-8"?>
<formControlPr xmlns="http://schemas.microsoft.com/office/spreadsheetml/2009/9/main" objectType="Drop" dropLines="5" dropStyle="combo" dx="16" fmlaLink="$Q$44" fmlaRange="'Variable Management'!$L$69:$L$73" noThreeD="1" sel="5" val="0"/>
</file>

<file path=xl/ctrlProps/ctrlProp35.xml><?xml version="1.0" encoding="utf-8"?>
<formControlPr xmlns="http://schemas.microsoft.com/office/spreadsheetml/2009/9/main" objectType="Drop" dropLines="2" dropStyle="combo" dx="16" fmlaLink="'Schematic &amp; BOM'!$R$49" fmlaRange="'Variable Management'!$Q$44:$Q$45" noThreeD="1" sel="1" val="0"/>
</file>

<file path=xl/ctrlProps/ctrlProp36.xml><?xml version="1.0" encoding="utf-8"?>
<formControlPr xmlns="http://schemas.microsoft.com/office/spreadsheetml/2009/9/main" objectType="Drop" dropLines="2" dropStyle="combo" dx="16" fmlaLink="$R$50" fmlaRange="'Variable Management'!$Q$44:$Q$45"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2.xml"/><Relationship Id="rId7" Type="http://schemas.openxmlformats.org/officeDocument/2006/relationships/hyperlink" Target="http://www.ti.com/widevin" TargetMode="External"/><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image" Target="../media/image3.jpg"/><Relationship Id="rId5" Type="http://schemas.openxmlformats.org/officeDocument/2006/relationships/image" Target="../media/image2.jpg"/><Relationship Id="rId4" Type="http://schemas.openxmlformats.org/officeDocument/2006/relationships/hyperlink" Target="http://www.ti.com/power" TargetMode="External"/><Relationship Id="rId9" Type="http://schemas.openxmlformats.org/officeDocument/2006/relationships/image" Target="../media/image5.jpg"/></Relationships>
</file>

<file path=xl/drawings/_rels/drawing3.xml.rels><?xml version="1.0" encoding="UTF-8" standalone="yes"?>
<Relationships xmlns="http://schemas.openxmlformats.org/package/2006/relationships"><Relationship Id="rId1" Type="http://schemas.openxmlformats.org/officeDocument/2006/relationships/image" Target="../media/image7.emf"/></Relationships>
</file>

<file path=xl/drawings/_rels/drawing4.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image" Target="../media/image11.jpeg"/><Relationship Id="rId7" Type="http://schemas.openxmlformats.org/officeDocument/2006/relationships/image" Target="../media/image15.emf"/><Relationship Id="rId2" Type="http://schemas.openxmlformats.org/officeDocument/2006/relationships/image" Target="../media/image10.emf"/><Relationship Id="rId1" Type="http://schemas.openxmlformats.org/officeDocument/2006/relationships/image" Target="../media/image8.jpeg"/><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7.emf"/></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393700</xdr:colOff>
          <xdr:row>74</xdr:row>
          <xdr:rowOff>12700</xdr:rowOff>
        </xdr:from>
        <xdr:to>
          <xdr:col>3</xdr:col>
          <xdr:colOff>12700</xdr:colOff>
          <xdr:row>77</xdr:row>
          <xdr:rowOff>25400</xdr:rowOff>
        </xdr:to>
        <xdr:sp macro="" textlink="">
          <xdr:nvSpPr>
            <xdr:cNvPr id="673565" name="Button 797" hidden="1">
              <a:extLst>
                <a:ext uri="{63B3BB69-23CF-44E3-9099-C40C66FF867C}">
                  <a14:compatExt spid="_x0000_s673565"/>
                </a:ext>
                <a:ext uri="{FF2B5EF4-FFF2-40B4-BE49-F238E27FC236}">
                  <a16:creationId xmlns:a16="http://schemas.microsoft.com/office/drawing/2014/main" id="{00000000-0008-0000-0000-00001D470A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0" u="none" strike="noStrike" baseline="0">
                  <a:solidFill>
                    <a:srgbClr val="000000"/>
                  </a:solidFill>
                  <a:latin typeface="Arial" pitchFamily="2" charset="0"/>
                  <a:cs typeface="Arial" pitchFamily="2" charset="0"/>
                </a:rPr>
                <a:t>FIX</a:t>
              </a:r>
            </a:p>
            <a:p>
              <a:pPr algn="ctr" rtl="0">
                <a:defRPr sz="1000"/>
              </a:pPr>
              <a:r>
                <a:rPr lang="en-US" sz="900" b="1" i="0" u="none" strike="noStrike" baseline="0">
                  <a:solidFill>
                    <a:srgbClr val="000000"/>
                  </a:solidFill>
                  <a:latin typeface="Arial" pitchFamily="2" charset="0"/>
                  <a:cs typeface="Arial" pitchFamily="2" charset="0"/>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393700</xdr:colOff>
          <xdr:row>74</xdr:row>
          <xdr:rowOff>12700</xdr:rowOff>
        </xdr:from>
        <xdr:to>
          <xdr:col>3</xdr:col>
          <xdr:colOff>12700</xdr:colOff>
          <xdr:row>77</xdr:row>
          <xdr:rowOff>25400</xdr:rowOff>
        </xdr:to>
        <xdr:sp macro="" textlink="">
          <xdr:nvSpPr>
            <xdr:cNvPr id="673566" name="Button 798" hidden="1">
              <a:extLst>
                <a:ext uri="{63B3BB69-23CF-44E3-9099-C40C66FF867C}">
                  <a14:compatExt spid="_x0000_s673566"/>
                </a:ext>
                <a:ext uri="{FF2B5EF4-FFF2-40B4-BE49-F238E27FC236}">
                  <a16:creationId xmlns:a16="http://schemas.microsoft.com/office/drawing/2014/main" id="{00000000-0008-0000-0000-00001E470A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0" u="none" strike="noStrike" baseline="0">
                  <a:solidFill>
                    <a:srgbClr val="000000"/>
                  </a:solidFill>
                  <a:latin typeface="Arial" pitchFamily="2" charset="0"/>
                  <a:cs typeface="Arial" pitchFamily="2" charset="0"/>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1701800</xdr:colOff>
          <xdr:row>0</xdr:row>
          <xdr:rowOff>444500</xdr:rowOff>
        </xdr:from>
        <xdr:to>
          <xdr:col>16</xdr:col>
          <xdr:colOff>2082800</xdr:colOff>
          <xdr:row>1</xdr:row>
          <xdr:rowOff>25400</xdr:rowOff>
        </xdr:to>
        <xdr:sp macro="" textlink="">
          <xdr:nvSpPr>
            <xdr:cNvPr id="683100" name="Drop Down 1116" hidden="1">
              <a:extLst>
                <a:ext uri="{63B3BB69-23CF-44E3-9099-C40C66FF867C}">
                  <a14:compatExt spid="_x0000_s683100"/>
                </a:ext>
                <a:ext uri="{FF2B5EF4-FFF2-40B4-BE49-F238E27FC236}">
                  <a16:creationId xmlns:a16="http://schemas.microsoft.com/office/drawing/2014/main" id="{00000000-0008-0000-0000-00005C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408044</xdr:colOff>
          <xdr:row>4</xdr:row>
          <xdr:rowOff>244629</xdr:rowOff>
        </xdr:from>
        <xdr:to>
          <xdr:col>16</xdr:col>
          <xdr:colOff>2545342</xdr:colOff>
          <xdr:row>33</xdr:row>
          <xdr:rowOff>46285</xdr:rowOff>
        </xdr:to>
        <xdr:pic>
          <xdr:nvPicPr>
            <xdr:cNvPr id="3" name="Picture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PICTURE10" spid="_x0000_s683208"/>
                </a:ext>
              </a:extLst>
            </xdr:cNvPicPr>
          </xdr:nvPicPr>
          <xdr:blipFill>
            <a:blip xmlns:r="http://schemas.openxmlformats.org/officeDocument/2006/relationships" r:embed="rId1"/>
            <a:stretch>
              <a:fillRect/>
            </a:stretch>
          </xdr:blipFill>
          <xdr:spPr>
            <a:xfrm>
              <a:off x="4145157" y="1377690"/>
              <a:ext cx="9094689" cy="5241673"/>
            </a:xfrm>
            <a:prstGeom prst="rect">
              <a:avLst/>
            </a:prstGeom>
          </xdr:spPr>
        </xdr:pic>
        <xdr:clientData/>
      </xdr:twoCellAnchor>
    </mc:Choice>
    <mc:Fallback/>
  </mc:AlternateContent>
  <xdr:twoCellAnchor editAs="absolute">
    <xdr:from>
      <xdr:col>6</xdr:col>
      <xdr:colOff>228601</xdr:colOff>
      <xdr:row>42</xdr:row>
      <xdr:rowOff>29120</xdr:rowOff>
    </xdr:from>
    <xdr:to>
      <xdr:col>16</xdr:col>
      <xdr:colOff>2217468</xdr:colOff>
      <xdr:row>69</xdr:row>
      <xdr:rowOff>20955</xdr:rowOff>
    </xdr:to>
    <xdr:graphicFrame macro="">
      <xdr:nvGraphicFramePr>
        <xdr:cNvPr id="65" name="Chart 12">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556558</xdr:colOff>
      <xdr:row>61</xdr:row>
      <xdr:rowOff>168096</xdr:rowOff>
    </xdr:from>
    <xdr:to>
      <xdr:col>10</xdr:col>
      <xdr:colOff>395010</xdr:colOff>
      <xdr:row>63</xdr:row>
      <xdr:rowOff>7107</xdr:rowOff>
    </xdr:to>
    <xdr:sp macro="" textlink="'Variable Management'!A260">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4922818" y="11940996"/>
          <a:ext cx="2132072" cy="21239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050" b="1" i="0" u="none" strike="noStrike" baseline="0">
              <a:solidFill>
                <a:srgbClr val="FF0000"/>
              </a:solidFill>
              <a:latin typeface="Arial"/>
              <a:cs typeface="Arial"/>
            </a:rPr>
            <a:pPr algn="l" rtl="0">
              <a:defRPr sz="1000"/>
            </a:pPr>
            <a:t>Crossover Frequency = 40 kHz</a:t>
          </a:fld>
          <a:endParaRPr lang="en-US" sz="1050" b="1" i="0" u="none" strike="noStrike" baseline="0">
            <a:solidFill>
              <a:srgbClr val="FF0000"/>
            </a:solidFill>
            <a:latin typeface="Arial"/>
            <a:cs typeface="Arial"/>
          </a:endParaRPr>
        </a:p>
      </xdr:txBody>
    </xdr:sp>
    <xdr:clientData/>
  </xdr:twoCellAnchor>
  <xdr:twoCellAnchor>
    <xdr:from>
      <xdr:col>7</xdr:col>
      <xdr:colOff>552320</xdr:colOff>
      <xdr:row>63</xdr:row>
      <xdr:rowOff>130042</xdr:rowOff>
    </xdr:from>
    <xdr:to>
      <xdr:col>9</xdr:col>
      <xdr:colOff>472440</xdr:colOff>
      <xdr:row>64</xdr:row>
      <xdr:rowOff>187504</xdr:rowOff>
    </xdr:to>
    <xdr:sp macro="" textlink="'Variable Management'!A261">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4918580" y="12276322"/>
          <a:ext cx="1360300" cy="255582"/>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050" b="1" i="0" u="none" strike="noStrike" baseline="0">
              <a:solidFill>
                <a:srgbClr val="002060"/>
              </a:solidFill>
              <a:latin typeface="Arial"/>
              <a:cs typeface="Arial"/>
            </a:rPr>
            <a:pPr algn="l" rtl="0">
              <a:defRPr sz="1000"/>
            </a:pPr>
            <a:t>Phase Margin = 60°</a:t>
          </a:fld>
          <a:endParaRPr lang="en-US" sz="1050" b="1" i="0" u="none" strike="noStrike" baseline="0">
            <a:solidFill>
              <a:srgbClr val="002060"/>
            </a:solidFill>
            <a:latin typeface="Arial"/>
            <a:cs typeface="Arial"/>
          </a:endParaRPr>
        </a:p>
      </xdr:txBody>
    </xdr:sp>
    <xdr:clientData/>
  </xdr:twoCellAnchor>
  <xdr:twoCellAnchor>
    <xdr:from>
      <xdr:col>6</xdr:col>
      <xdr:colOff>295274</xdr:colOff>
      <xdr:row>80</xdr:row>
      <xdr:rowOff>135255</xdr:rowOff>
    </xdr:from>
    <xdr:to>
      <xdr:col>16</xdr:col>
      <xdr:colOff>2343149</xdr:colOff>
      <xdr:row>107</xdr:row>
      <xdr:rowOff>49357</xdr:rowOff>
    </xdr:to>
    <xdr:graphicFrame macro="">
      <xdr:nvGraphicFramePr>
        <xdr:cNvPr id="22339318" name="Chart 253">
          <a:extLst>
            <a:ext uri="{FF2B5EF4-FFF2-40B4-BE49-F238E27FC236}">
              <a16:creationId xmlns:a16="http://schemas.microsoft.com/office/drawing/2014/main" id="{00000000-0008-0000-0000-0000F6DE5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596595</xdr:colOff>
      <xdr:row>13</xdr:row>
      <xdr:rowOff>151039</xdr:rowOff>
    </xdr:from>
    <xdr:to>
      <xdr:col>7</xdr:col>
      <xdr:colOff>243939</xdr:colOff>
      <xdr:row>14</xdr:row>
      <xdr:rowOff>203796</xdr:rowOff>
    </xdr:to>
    <xdr:sp macro="" textlink="">
      <xdr:nvSpPr>
        <xdr:cNvPr id="2272" name="Text Box 224">
          <a:extLst>
            <a:ext uri="{FF2B5EF4-FFF2-40B4-BE49-F238E27FC236}">
              <a16:creationId xmlns:a16="http://schemas.microsoft.com/office/drawing/2014/main" id="{00000000-0008-0000-0000-0000E0080000}"/>
            </a:ext>
          </a:extLst>
        </xdr:cNvPr>
        <xdr:cNvSpPr txBox="1">
          <a:spLocks noChangeArrowheads="1"/>
        </xdr:cNvSpPr>
      </xdr:nvSpPr>
      <xdr:spPr bwMode="auto">
        <a:xfrm>
          <a:off x="4347980" y="2982162"/>
          <a:ext cx="274528" cy="22860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7</xdr:col>
      <xdr:colOff>759806</xdr:colOff>
      <xdr:row>11</xdr:row>
      <xdr:rowOff>40097</xdr:rowOff>
    </xdr:from>
    <xdr:to>
      <xdr:col>8</xdr:col>
      <xdr:colOff>312532</xdr:colOff>
      <xdr:row>12</xdr:row>
      <xdr:rowOff>70462</xdr:rowOff>
    </xdr:to>
    <xdr:sp macro="" textlink="">
      <xdr:nvSpPr>
        <xdr:cNvPr id="2273" name="Text Box 225">
          <a:extLst>
            <a:ext uri="{FF2B5EF4-FFF2-40B4-BE49-F238E27FC236}">
              <a16:creationId xmlns:a16="http://schemas.microsoft.com/office/drawing/2014/main" id="{00000000-0008-0000-0000-0000E1080000}"/>
            </a:ext>
          </a:extLst>
        </xdr:cNvPr>
        <xdr:cNvSpPr txBox="1">
          <a:spLocks noChangeArrowheads="1"/>
        </xdr:cNvSpPr>
      </xdr:nvSpPr>
      <xdr:spPr bwMode="auto">
        <a:xfrm>
          <a:off x="5134582" y="2523321"/>
          <a:ext cx="368515" cy="20965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7</xdr:col>
      <xdr:colOff>4833</xdr:colOff>
      <xdr:row>11</xdr:row>
      <xdr:rowOff>3919</xdr:rowOff>
    </xdr:from>
    <xdr:to>
      <xdr:col>7</xdr:col>
      <xdr:colOff>283187</xdr:colOff>
      <xdr:row>12</xdr:row>
      <xdr:rowOff>74398</xdr:rowOff>
    </xdr:to>
    <xdr:sp macro="" textlink="">
      <xdr:nvSpPr>
        <xdr:cNvPr id="2275" name="Text Box 227">
          <a:extLst>
            <a:ext uri="{FF2B5EF4-FFF2-40B4-BE49-F238E27FC236}">
              <a16:creationId xmlns:a16="http://schemas.microsoft.com/office/drawing/2014/main" id="{00000000-0008-0000-0000-0000E3080000}"/>
            </a:ext>
          </a:extLst>
        </xdr:cNvPr>
        <xdr:cNvSpPr txBox="1">
          <a:spLocks noChangeArrowheads="1"/>
        </xdr:cNvSpPr>
      </xdr:nvSpPr>
      <xdr:spPr bwMode="auto">
        <a:xfrm>
          <a:off x="4383402" y="2459904"/>
          <a:ext cx="278354" cy="24632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16</xdr:col>
      <xdr:colOff>1918678</xdr:colOff>
      <xdr:row>20</xdr:row>
      <xdr:rowOff>55039</xdr:rowOff>
    </xdr:from>
    <xdr:to>
      <xdr:col>16</xdr:col>
      <xdr:colOff>2340467</xdr:colOff>
      <xdr:row>21</xdr:row>
      <xdr:rowOff>94916</xdr:rowOff>
    </xdr:to>
    <xdr:sp macro="" textlink="">
      <xdr:nvSpPr>
        <xdr:cNvPr id="2276" name="Text Box 228">
          <a:extLst>
            <a:ext uri="{FF2B5EF4-FFF2-40B4-BE49-F238E27FC236}">
              <a16:creationId xmlns:a16="http://schemas.microsoft.com/office/drawing/2014/main" id="{00000000-0008-0000-0000-0000E4080000}"/>
            </a:ext>
          </a:extLst>
        </xdr:cNvPr>
        <xdr:cNvSpPr txBox="1">
          <a:spLocks noChangeArrowheads="1"/>
        </xdr:cNvSpPr>
      </xdr:nvSpPr>
      <xdr:spPr bwMode="auto">
        <a:xfrm>
          <a:off x="12613182" y="4169839"/>
          <a:ext cx="421789" cy="23203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13</xdr:col>
      <xdr:colOff>500911</xdr:colOff>
      <xdr:row>29</xdr:row>
      <xdr:rowOff>74937</xdr:rowOff>
    </xdr:from>
    <xdr:to>
      <xdr:col>14</xdr:col>
      <xdr:colOff>363846</xdr:colOff>
      <xdr:row>30</xdr:row>
      <xdr:rowOff>114031</xdr:rowOff>
    </xdr:to>
    <xdr:sp macro="" textlink="">
      <xdr:nvSpPr>
        <xdr:cNvPr id="2279" name="Text Box 231">
          <a:extLst>
            <a:ext uri="{FF2B5EF4-FFF2-40B4-BE49-F238E27FC236}">
              <a16:creationId xmlns:a16="http://schemas.microsoft.com/office/drawing/2014/main" id="{00000000-0008-0000-0000-0000E7080000}"/>
            </a:ext>
          </a:extLst>
        </xdr:cNvPr>
        <xdr:cNvSpPr txBox="1">
          <a:spLocks noChangeArrowheads="1"/>
        </xdr:cNvSpPr>
      </xdr:nvSpPr>
      <xdr:spPr bwMode="auto">
        <a:xfrm>
          <a:off x="9287357" y="5977506"/>
          <a:ext cx="490120" cy="26769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16</xdr:col>
      <xdr:colOff>996587</xdr:colOff>
      <xdr:row>14</xdr:row>
      <xdr:rowOff>242483</xdr:rowOff>
    </xdr:from>
    <xdr:to>
      <xdr:col>16</xdr:col>
      <xdr:colOff>1341658</xdr:colOff>
      <xdr:row>16</xdr:row>
      <xdr:rowOff>96723</xdr:rowOff>
    </xdr:to>
    <xdr:sp macro="" textlink="">
      <xdr:nvSpPr>
        <xdr:cNvPr id="2283" name="Text Box 235">
          <a:extLst>
            <a:ext uri="{FF2B5EF4-FFF2-40B4-BE49-F238E27FC236}">
              <a16:creationId xmlns:a16="http://schemas.microsoft.com/office/drawing/2014/main" id="{00000000-0008-0000-0000-0000EB080000}"/>
            </a:ext>
          </a:extLst>
        </xdr:cNvPr>
        <xdr:cNvSpPr txBox="1">
          <a:spLocks noChangeArrowheads="1"/>
        </xdr:cNvSpPr>
      </xdr:nvSpPr>
      <xdr:spPr bwMode="auto">
        <a:xfrm>
          <a:off x="11691091" y="3204344"/>
          <a:ext cx="345071" cy="27830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a:t>
          </a:r>
        </a:p>
      </xdr:txBody>
    </xdr:sp>
    <xdr:clientData/>
  </xdr:twoCellAnchor>
  <xdr:twoCellAnchor>
    <xdr:from>
      <xdr:col>16</xdr:col>
      <xdr:colOff>866398</xdr:colOff>
      <xdr:row>20</xdr:row>
      <xdr:rowOff>87726</xdr:rowOff>
    </xdr:from>
    <xdr:to>
      <xdr:col>16</xdr:col>
      <xdr:colOff>1192164</xdr:colOff>
      <xdr:row>21</xdr:row>
      <xdr:rowOff>126803</xdr:rowOff>
    </xdr:to>
    <xdr:sp macro="" textlink="">
      <xdr:nvSpPr>
        <xdr:cNvPr id="2292" name="Text Box 244">
          <a:extLst>
            <a:ext uri="{FF2B5EF4-FFF2-40B4-BE49-F238E27FC236}">
              <a16:creationId xmlns:a16="http://schemas.microsoft.com/office/drawing/2014/main" id="{00000000-0008-0000-0000-0000F4080000}"/>
            </a:ext>
          </a:extLst>
        </xdr:cNvPr>
        <xdr:cNvSpPr txBox="1">
          <a:spLocks noChangeArrowheads="1"/>
        </xdr:cNvSpPr>
      </xdr:nvSpPr>
      <xdr:spPr bwMode="auto">
        <a:xfrm>
          <a:off x="11560902" y="4202526"/>
          <a:ext cx="325766" cy="23123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15</xdr:col>
      <xdr:colOff>359741</xdr:colOff>
      <xdr:row>26</xdr:row>
      <xdr:rowOff>21177</xdr:rowOff>
    </xdr:from>
    <xdr:to>
      <xdr:col>16</xdr:col>
      <xdr:colOff>41176</xdr:colOff>
      <xdr:row>27</xdr:row>
      <xdr:rowOff>73564</xdr:rowOff>
    </xdr:to>
    <xdr:sp macro="" textlink="">
      <xdr:nvSpPr>
        <xdr:cNvPr id="2297" name="Text Box 249">
          <a:extLst>
            <a:ext uri="{FF2B5EF4-FFF2-40B4-BE49-F238E27FC236}">
              <a16:creationId xmlns:a16="http://schemas.microsoft.com/office/drawing/2014/main" id="{00000000-0008-0000-0000-0000F9080000}"/>
            </a:ext>
          </a:extLst>
        </xdr:cNvPr>
        <xdr:cNvSpPr txBox="1">
          <a:spLocks noChangeArrowheads="1"/>
        </xdr:cNvSpPr>
      </xdr:nvSpPr>
      <xdr:spPr bwMode="auto">
        <a:xfrm>
          <a:off x="10400556" y="5396208"/>
          <a:ext cx="373097" cy="228233"/>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9</xdr:col>
      <xdr:colOff>450896</xdr:colOff>
      <xdr:row>13</xdr:row>
      <xdr:rowOff>86966</xdr:rowOff>
    </xdr:from>
    <xdr:to>
      <xdr:col>9</xdr:col>
      <xdr:colOff>775670</xdr:colOff>
      <xdr:row>14</xdr:row>
      <xdr:rowOff>191636</xdr:rowOff>
    </xdr:to>
    <xdr:sp macro="" textlink="">
      <xdr:nvSpPr>
        <xdr:cNvPr id="2299" name="Text Box 251">
          <a:extLst>
            <a:ext uri="{FF2B5EF4-FFF2-40B4-BE49-F238E27FC236}">
              <a16:creationId xmlns:a16="http://schemas.microsoft.com/office/drawing/2014/main" id="{00000000-0008-0000-0000-0000FB080000}"/>
            </a:ext>
          </a:extLst>
        </xdr:cNvPr>
        <xdr:cNvSpPr txBox="1">
          <a:spLocks noChangeArrowheads="1"/>
        </xdr:cNvSpPr>
      </xdr:nvSpPr>
      <xdr:spPr bwMode="auto">
        <a:xfrm>
          <a:off x="6271404" y="2918089"/>
          <a:ext cx="324774" cy="28051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9</xdr:col>
      <xdr:colOff>22299</xdr:colOff>
      <xdr:row>26</xdr:row>
      <xdr:rowOff>46305</xdr:rowOff>
    </xdr:from>
    <xdr:to>
      <xdr:col>9</xdr:col>
      <xdr:colOff>402179</xdr:colOff>
      <xdr:row>26</xdr:row>
      <xdr:rowOff>46305</xdr:rowOff>
    </xdr:to>
    <xdr:sp macro="" textlink="">
      <xdr:nvSpPr>
        <xdr:cNvPr id="2300" name="Text Box 252">
          <a:extLst>
            <a:ext uri="{FF2B5EF4-FFF2-40B4-BE49-F238E27FC236}">
              <a16:creationId xmlns:a16="http://schemas.microsoft.com/office/drawing/2014/main" id="{00000000-0008-0000-0000-0000FC080000}"/>
            </a:ext>
          </a:extLst>
        </xdr:cNvPr>
        <xdr:cNvSpPr txBox="1">
          <a:spLocks noChangeArrowheads="1"/>
        </xdr:cNvSpPr>
      </xdr:nvSpPr>
      <xdr:spPr bwMode="auto">
        <a:xfrm>
          <a:off x="5840393" y="5434093"/>
          <a:ext cx="37988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7</xdr:col>
      <xdr:colOff>291234</xdr:colOff>
      <xdr:row>19</xdr:row>
      <xdr:rowOff>37243</xdr:rowOff>
    </xdr:from>
    <xdr:to>
      <xdr:col>7</xdr:col>
      <xdr:colOff>686223</xdr:colOff>
      <xdr:row>20</xdr:row>
      <xdr:rowOff>77952</xdr:rowOff>
    </xdr:to>
    <xdr:sp macro="" textlink="">
      <xdr:nvSpPr>
        <xdr:cNvPr id="2303" name="Text Box 255">
          <a:extLst>
            <a:ext uri="{FF2B5EF4-FFF2-40B4-BE49-F238E27FC236}">
              <a16:creationId xmlns:a16="http://schemas.microsoft.com/office/drawing/2014/main" id="{00000000-0008-0000-0000-0000FF080000}"/>
            </a:ext>
          </a:extLst>
        </xdr:cNvPr>
        <xdr:cNvSpPr txBox="1">
          <a:spLocks noChangeArrowheads="1"/>
        </xdr:cNvSpPr>
      </xdr:nvSpPr>
      <xdr:spPr bwMode="auto">
        <a:xfrm>
          <a:off x="4669803" y="4017228"/>
          <a:ext cx="394989" cy="23413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8</xdr:col>
      <xdr:colOff>62964</xdr:colOff>
      <xdr:row>17</xdr:row>
      <xdr:rowOff>144748</xdr:rowOff>
    </xdr:from>
    <xdr:to>
      <xdr:col>8</xdr:col>
      <xdr:colOff>331120</xdr:colOff>
      <xdr:row>18</xdr:row>
      <xdr:rowOff>187394</xdr:rowOff>
    </xdr:to>
    <xdr:sp macro="" textlink="">
      <xdr:nvSpPr>
        <xdr:cNvPr id="2304" name="Text Box 256">
          <a:extLst>
            <a:ext uri="{FF2B5EF4-FFF2-40B4-BE49-F238E27FC236}">
              <a16:creationId xmlns:a16="http://schemas.microsoft.com/office/drawing/2014/main" id="{00000000-0008-0000-0000-000000090000}"/>
            </a:ext>
          </a:extLst>
        </xdr:cNvPr>
        <xdr:cNvSpPr txBox="1">
          <a:spLocks noChangeArrowheads="1"/>
        </xdr:cNvSpPr>
      </xdr:nvSpPr>
      <xdr:spPr bwMode="auto">
        <a:xfrm>
          <a:off x="5256287" y="3755456"/>
          <a:ext cx="268156" cy="21849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519797</xdr:colOff>
      <xdr:row>13</xdr:row>
      <xdr:rowOff>148705</xdr:rowOff>
    </xdr:from>
    <xdr:to>
      <xdr:col>9</xdr:col>
      <xdr:colOff>207317</xdr:colOff>
      <xdr:row>14</xdr:row>
      <xdr:rowOff>212782</xdr:rowOff>
    </xdr:to>
    <xdr:sp macro="" textlink="">
      <xdr:nvSpPr>
        <xdr:cNvPr id="2305" name="Text Box 257">
          <a:extLst>
            <a:ext uri="{FF2B5EF4-FFF2-40B4-BE49-F238E27FC236}">
              <a16:creationId xmlns:a16="http://schemas.microsoft.com/office/drawing/2014/main" id="{00000000-0008-0000-0000-000001090000}"/>
            </a:ext>
          </a:extLst>
        </xdr:cNvPr>
        <xdr:cNvSpPr txBox="1">
          <a:spLocks noChangeArrowheads="1"/>
        </xdr:cNvSpPr>
      </xdr:nvSpPr>
      <xdr:spPr bwMode="auto">
        <a:xfrm>
          <a:off x="5710362" y="3008446"/>
          <a:ext cx="315049" cy="2433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8</xdr:col>
      <xdr:colOff>76163</xdr:colOff>
      <xdr:row>13</xdr:row>
      <xdr:rowOff>129764</xdr:rowOff>
    </xdr:from>
    <xdr:to>
      <xdr:col>8</xdr:col>
      <xdr:colOff>415626</xdr:colOff>
      <xdr:row>14</xdr:row>
      <xdr:rowOff>199977</xdr:rowOff>
    </xdr:to>
    <xdr:sp macro="" textlink="">
      <xdr:nvSpPr>
        <xdr:cNvPr id="9616412" name="Text Box 258">
          <a:extLst>
            <a:ext uri="{FF2B5EF4-FFF2-40B4-BE49-F238E27FC236}">
              <a16:creationId xmlns:a16="http://schemas.microsoft.com/office/drawing/2014/main" id="{00000000-0008-0000-0000-00001CBC9200}"/>
            </a:ext>
          </a:extLst>
        </xdr:cNvPr>
        <xdr:cNvSpPr txBox="1">
          <a:spLocks noChangeArrowheads="1"/>
        </xdr:cNvSpPr>
      </xdr:nvSpPr>
      <xdr:spPr bwMode="auto">
        <a:xfrm>
          <a:off x="5269486" y="2960887"/>
          <a:ext cx="339463" cy="24605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15</xdr:col>
      <xdr:colOff>353305</xdr:colOff>
      <xdr:row>27</xdr:row>
      <xdr:rowOff>76189</xdr:rowOff>
    </xdr:from>
    <xdr:to>
      <xdr:col>16</xdr:col>
      <xdr:colOff>79973</xdr:colOff>
      <xdr:row>28</xdr:row>
      <xdr:rowOff>165468</xdr:rowOff>
    </xdr:to>
    <xdr:sp macro="" textlink="">
      <xdr:nvSpPr>
        <xdr:cNvPr id="2308" name="Text Box 260">
          <a:extLst>
            <a:ext uri="{FF2B5EF4-FFF2-40B4-BE49-F238E27FC236}">
              <a16:creationId xmlns:a16="http://schemas.microsoft.com/office/drawing/2014/main" id="{00000000-0008-0000-0000-000004090000}"/>
            </a:ext>
          </a:extLst>
        </xdr:cNvPr>
        <xdr:cNvSpPr txBox="1">
          <a:spLocks noChangeArrowheads="1"/>
        </xdr:cNvSpPr>
      </xdr:nvSpPr>
      <xdr:spPr bwMode="auto">
        <a:xfrm>
          <a:off x="10394120" y="5627066"/>
          <a:ext cx="418330" cy="265125"/>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8</xdr:col>
      <xdr:colOff>366144</xdr:colOff>
      <xdr:row>14</xdr:row>
      <xdr:rowOff>149052</xdr:rowOff>
    </xdr:from>
    <xdr:to>
      <xdr:col>9</xdr:col>
      <xdr:colOff>254444</xdr:colOff>
      <xdr:row>15</xdr:row>
      <xdr:rowOff>140755</xdr:rowOff>
    </xdr:to>
    <xdr:sp macro="" textlink="'Variable Management'!B254">
      <xdr:nvSpPr>
        <xdr:cNvPr id="2309" name="Text Box 261">
          <a:extLst>
            <a:ext uri="{FF2B5EF4-FFF2-40B4-BE49-F238E27FC236}">
              <a16:creationId xmlns:a16="http://schemas.microsoft.com/office/drawing/2014/main" id="{00000000-0008-0000-0000-000005090000}"/>
            </a:ext>
          </a:extLst>
        </xdr:cNvPr>
        <xdr:cNvSpPr txBox="1">
          <a:spLocks noChangeArrowheads="1" noTextEdit="1"/>
        </xdr:cNvSpPr>
      </xdr:nvSpPr>
      <xdr:spPr bwMode="auto">
        <a:xfrm>
          <a:off x="5556709" y="3188087"/>
          <a:ext cx="515829" cy="242715"/>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4.7nF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528573</xdr:colOff>
      <xdr:row>17</xdr:row>
      <xdr:rowOff>145320</xdr:rowOff>
    </xdr:from>
    <xdr:to>
      <xdr:col>9</xdr:col>
      <xdr:colOff>373520</xdr:colOff>
      <xdr:row>19</xdr:row>
      <xdr:rowOff>1662</xdr:rowOff>
    </xdr:to>
    <xdr:sp macro="" textlink="'Variable Management'!B255">
      <xdr:nvSpPr>
        <xdr:cNvPr id="2310" name="Text Box 262">
          <a:extLst>
            <a:ext uri="{FF2B5EF4-FFF2-40B4-BE49-F238E27FC236}">
              <a16:creationId xmlns:a16="http://schemas.microsoft.com/office/drawing/2014/main" id="{00000000-0008-0000-0000-000006090000}"/>
            </a:ext>
          </a:extLst>
        </xdr:cNvPr>
        <xdr:cNvSpPr txBox="1">
          <a:spLocks noChangeArrowheads="1" noTextEdit="1"/>
        </xdr:cNvSpPr>
      </xdr:nvSpPr>
      <xdr:spPr bwMode="auto">
        <a:xfrm>
          <a:off x="5721896" y="3756028"/>
          <a:ext cx="472132" cy="225619"/>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82pF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751046</xdr:colOff>
      <xdr:row>14</xdr:row>
      <xdr:rowOff>168174</xdr:rowOff>
    </xdr:from>
    <xdr:to>
      <xdr:col>8</xdr:col>
      <xdr:colOff>475416</xdr:colOff>
      <xdr:row>15</xdr:row>
      <xdr:rowOff>149088</xdr:rowOff>
    </xdr:to>
    <xdr:sp macro="" textlink="'Variable Management'!B253">
      <xdr:nvSpPr>
        <xdr:cNvPr id="2311" name="Text Box 263">
          <a:extLst>
            <a:ext uri="{FF2B5EF4-FFF2-40B4-BE49-F238E27FC236}">
              <a16:creationId xmlns:a16="http://schemas.microsoft.com/office/drawing/2014/main" id="{00000000-0008-0000-0000-000007090000}"/>
            </a:ext>
          </a:extLst>
        </xdr:cNvPr>
        <xdr:cNvSpPr txBox="1">
          <a:spLocks noChangeArrowheads="1" noTextEdit="1"/>
        </xdr:cNvSpPr>
      </xdr:nvSpPr>
      <xdr:spPr bwMode="auto">
        <a:xfrm>
          <a:off x="5129615" y="3175143"/>
          <a:ext cx="539124" cy="232960"/>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16.5kΩ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608891</xdr:colOff>
      <xdr:row>20</xdr:row>
      <xdr:rowOff>92775</xdr:rowOff>
    </xdr:from>
    <xdr:to>
      <xdr:col>7</xdr:col>
      <xdr:colOff>592711</xdr:colOff>
      <xdr:row>21</xdr:row>
      <xdr:rowOff>142630</xdr:rowOff>
    </xdr:to>
    <xdr:sp macro="" textlink="'Variable Management'!B259">
      <xdr:nvSpPr>
        <xdr:cNvPr id="2312" name="Text Box 264">
          <a:extLst>
            <a:ext uri="{FF2B5EF4-FFF2-40B4-BE49-F238E27FC236}">
              <a16:creationId xmlns:a16="http://schemas.microsoft.com/office/drawing/2014/main" id="{00000000-0008-0000-0000-000008090000}"/>
            </a:ext>
          </a:extLst>
        </xdr:cNvPr>
        <xdr:cNvSpPr txBox="1">
          <a:spLocks noChangeArrowheads="1" noTextEdit="1"/>
        </xdr:cNvSpPr>
      </xdr:nvSpPr>
      <xdr:spPr bwMode="auto">
        <a:xfrm>
          <a:off x="4360276" y="4266190"/>
          <a:ext cx="611004" cy="243286"/>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4.22kΩ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490702</xdr:colOff>
      <xdr:row>12</xdr:row>
      <xdr:rowOff>37083</xdr:rowOff>
    </xdr:from>
    <xdr:to>
      <xdr:col>7</xdr:col>
      <xdr:colOff>277268</xdr:colOff>
      <xdr:row>13</xdr:row>
      <xdr:rowOff>112369</xdr:rowOff>
    </xdr:to>
    <xdr:sp macro="" textlink="'Variable Management'!B256">
      <xdr:nvSpPr>
        <xdr:cNvPr id="2313" name="Text Box 265">
          <a:extLst>
            <a:ext uri="{FF2B5EF4-FFF2-40B4-BE49-F238E27FC236}">
              <a16:creationId xmlns:a16="http://schemas.microsoft.com/office/drawing/2014/main" id="{00000000-0008-0000-0000-000009090000}"/>
            </a:ext>
          </a:extLst>
        </xdr:cNvPr>
        <xdr:cNvSpPr txBox="1">
          <a:spLocks noChangeArrowheads="1" noTextEdit="1"/>
        </xdr:cNvSpPr>
      </xdr:nvSpPr>
      <xdr:spPr bwMode="auto">
        <a:xfrm>
          <a:off x="4242087" y="2668914"/>
          <a:ext cx="413750" cy="274578"/>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316Ω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450615</xdr:colOff>
      <xdr:row>14</xdr:row>
      <xdr:rowOff>178913</xdr:rowOff>
    </xdr:from>
    <xdr:to>
      <xdr:col>7</xdr:col>
      <xdr:colOff>319549</xdr:colOff>
      <xdr:row>15</xdr:row>
      <xdr:rowOff>121046</xdr:rowOff>
    </xdr:to>
    <xdr:sp macro="" textlink="'Variable Management'!B257">
      <xdr:nvSpPr>
        <xdr:cNvPr id="2314" name="Text Box 266">
          <a:extLst>
            <a:ext uri="{FF2B5EF4-FFF2-40B4-BE49-F238E27FC236}">
              <a16:creationId xmlns:a16="http://schemas.microsoft.com/office/drawing/2014/main" id="{00000000-0008-0000-0000-00000A090000}"/>
            </a:ext>
          </a:extLst>
        </xdr:cNvPr>
        <xdr:cNvSpPr txBox="1">
          <a:spLocks noChangeArrowheads="1" noTextEdit="1"/>
        </xdr:cNvSpPr>
      </xdr:nvSpPr>
      <xdr:spPr bwMode="auto">
        <a:xfrm>
          <a:off x="4202000" y="3185882"/>
          <a:ext cx="496118" cy="194179"/>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2700pF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1834680</xdr:colOff>
      <xdr:row>21</xdr:row>
      <xdr:rowOff>108054</xdr:rowOff>
    </xdr:from>
    <xdr:to>
      <xdr:col>16</xdr:col>
      <xdr:colOff>2524681</xdr:colOff>
      <xdr:row>22</xdr:row>
      <xdr:rowOff>175707</xdr:rowOff>
    </xdr:to>
    <xdr:sp macro="" textlink="'Variable Management'!E243">
      <xdr:nvSpPr>
        <xdr:cNvPr id="2315" name="Text Box 267">
          <a:extLst>
            <a:ext uri="{FF2B5EF4-FFF2-40B4-BE49-F238E27FC236}">
              <a16:creationId xmlns:a16="http://schemas.microsoft.com/office/drawing/2014/main" id="{00000000-0008-0000-0000-00000B090000}"/>
            </a:ext>
          </a:extLst>
        </xdr:cNvPr>
        <xdr:cNvSpPr txBox="1">
          <a:spLocks noChangeArrowheads="1" noTextEdit="1"/>
        </xdr:cNvSpPr>
      </xdr:nvSpPr>
      <xdr:spPr bwMode="auto">
        <a:xfrm>
          <a:off x="12529184" y="4415011"/>
          <a:ext cx="690001" cy="239931"/>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18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773901</xdr:colOff>
      <xdr:row>12</xdr:row>
      <xdr:rowOff>30614</xdr:rowOff>
    </xdr:from>
    <xdr:to>
      <xdr:col>8</xdr:col>
      <xdr:colOff>512153</xdr:colOff>
      <xdr:row>13</xdr:row>
      <xdr:rowOff>142936</xdr:rowOff>
    </xdr:to>
    <xdr:sp macro="" textlink="'Variable Management'!B258">
      <xdr:nvSpPr>
        <xdr:cNvPr id="2316" name="Text Box 268">
          <a:extLst>
            <a:ext uri="{FF2B5EF4-FFF2-40B4-BE49-F238E27FC236}">
              <a16:creationId xmlns:a16="http://schemas.microsoft.com/office/drawing/2014/main" id="{00000000-0008-0000-0000-00000C090000}"/>
            </a:ext>
          </a:extLst>
        </xdr:cNvPr>
        <xdr:cNvSpPr txBox="1">
          <a:spLocks noChangeArrowheads="1" noTextEdit="1"/>
        </xdr:cNvSpPr>
      </xdr:nvSpPr>
      <xdr:spPr bwMode="auto">
        <a:xfrm>
          <a:off x="5148677" y="2693132"/>
          <a:ext cx="554041" cy="309545"/>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22.1kΩ</a:t>
          </a:fld>
          <a:endParaRPr lang="el-GR" sz="1000" b="0" i="0" strike="noStrike">
            <a:solidFill>
              <a:srgbClr val="000000"/>
            </a:solidFill>
            <a:latin typeface="Arial" pitchFamily="34" charset="0"/>
            <a:cs typeface="Arial" pitchFamily="34" charset="0"/>
          </a:endParaRPr>
        </a:p>
      </xdr:txBody>
    </xdr:sp>
    <xdr:clientData/>
  </xdr:twoCellAnchor>
  <xdr:twoCellAnchor>
    <xdr:from>
      <xdr:col>13</xdr:col>
      <xdr:colOff>493518</xdr:colOff>
      <xdr:row>30</xdr:row>
      <xdr:rowOff>59671</xdr:rowOff>
    </xdr:from>
    <xdr:to>
      <xdr:col>14</xdr:col>
      <xdr:colOff>454588</xdr:colOff>
      <xdr:row>31</xdr:row>
      <xdr:rowOff>105842</xdr:rowOff>
    </xdr:to>
    <xdr:sp macro="" textlink="'Variable Management'!B268">
      <xdr:nvSpPr>
        <xdr:cNvPr id="2318" name="Text Box 270">
          <a:extLst>
            <a:ext uri="{FF2B5EF4-FFF2-40B4-BE49-F238E27FC236}">
              <a16:creationId xmlns:a16="http://schemas.microsoft.com/office/drawing/2014/main" id="{00000000-0008-0000-0000-00000E090000}"/>
            </a:ext>
          </a:extLst>
        </xdr:cNvPr>
        <xdr:cNvSpPr txBox="1">
          <a:spLocks noChangeArrowheads="1" noTextEdit="1"/>
        </xdr:cNvSpPr>
      </xdr:nvSpPr>
      <xdr:spPr bwMode="auto">
        <a:xfrm>
          <a:off x="9279964" y="6190840"/>
          <a:ext cx="588255" cy="222017"/>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536Ω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958420</xdr:colOff>
      <xdr:row>17</xdr:row>
      <xdr:rowOff>139630</xdr:rowOff>
    </xdr:from>
    <xdr:to>
      <xdr:col>16</xdr:col>
      <xdr:colOff>1420200</xdr:colOff>
      <xdr:row>19</xdr:row>
      <xdr:rowOff>49126</xdr:rowOff>
    </xdr:to>
    <xdr:sp macro="" textlink="'Variable Management'!B238">
      <xdr:nvSpPr>
        <xdr:cNvPr id="2323" name="Text Box 275">
          <a:extLst>
            <a:ext uri="{FF2B5EF4-FFF2-40B4-BE49-F238E27FC236}">
              <a16:creationId xmlns:a16="http://schemas.microsoft.com/office/drawing/2014/main" id="{00000000-0008-0000-0000-000013090000}"/>
            </a:ext>
          </a:extLst>
        </xdr:cNvPr>
        <xdr:cNvSpPr txBox="1">
          <a:spLocks noChangeArrowheads="1" noTextEdit="1"/>
        </xdr:cNvSpPr>
      </xdr:nvSpPr>
      <xdr:spPr bwMode="auto">
        <a:xfrm>
          <a:off x="11652924" y="3697839"/>
          <a:ext cx="461780" cy="273930"/>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3.3µH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820892</xdr:colOff>
      <xdr:row>21</xdr:row>
      <xdr:rowOff>101486</xdr:rowOff>
    </xdr:from>
    <xdr:to>
      <xdr:col>16</xdr:col>
      <xdr:colOff>1458918</xdr:colOff>
      <xdr:row>22</xdr:row>
      <xdr:rowOff>160385</xdr:rowOff>
    </xdr:to>
    <xdr:sp macro="" textlink="'Variable Management'!E250">
      <xdr:nvSpPr>
        <xdr:cNvPr id="2324" name="Text Box 276">
          <a:extLst>
            <a:ext uri="{FF2B5EF4-FFF2-40B4-BE49-F238E27FC236}">
              <a16:creationId xmlns:a16="http://schemas.microsoft.com/office/drawing/2014/main" id="{00000000-0008-0000-0000-000014090000}"/>
            </a:ext>
          </a:extLst>
        </xdr:cNvPr>
        <xdr:cNvSpPr txBox="1">
          <a:spLocks noChangeArrowheads="1" noTextEdit="1"/>
        </xdr:cNvSpPr>
      </xdr:nvSpPr>
      <xdr:spPr bwMode="auto">
        <a:xfrm>
          <a:off x="11515396" y="4408443"/>
          <a:ext cx="638026" cy="231177"/>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54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15</xdr:col>
      <xdr:colOff>124830</xdr:colOff>
      <xdr:row>10</xdr:row>
      <xdr:rowOff>136599</xdr:rowOff>
    </xdr:from>
    <xdr:to>
      <xdr:col>15</xdr:col>
      <xdr:colOff>508235</xdr:colOff>
      <xdr:row>12</xdr:row>
      <xdr:rowOff>17055</xdr:rowOff>
    </xdr:to>
    <xdr:sp macro="" textlink="">
      <xdr:nvSpPr>
        <xdr:cNvPr id="2327" name="Text Box 279">
          <a:extLst>
            <a:ext uri="{FF2B5EF4-FFF2-40B4-BE49-F238E27FC236}">
              <a16:creationId xmlns:a16="http://schemas.microsoft.com/office/drawing/2014/main" id="{00000000-0008-0000-0000-000017090000}"/>
            </a:ext>
          </a:extLst>
        </xdr:cNvPr>
        <xdr:cNvSpPr txBox="1">
          <a:spLocks noChangeArrowheads="1"/>
        </xdr:cNvSpPr>
      </xdr:nvSpPr>
      <xdr:spPr bwMode="auto">
        <a:xfrm>
          <a:off x="10156336" y="2440528"/>
          <a:ext cx="383405" cy="23904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9</xdr:col>
      <xdr:colOff>403006</xdr:colOff>
      <xdr:row>14</xdr:row>
      <xdr:rowOff>183310</xdr:rowOff>
    </xdr:from>
    <xdr:to>
      <xdr:col>9</xdr:col>
      <xdr:colOff>756630</xdr:colOff>
      <xdr:row>15</xdr:row>
      <xdr:rowOff>171154</xdr:rowOff>
    </xdr:to>
    <xdr:sp macro="" textlink="'Variable Management'!B276">
      <xdr:nvSpPr>
        <xdr:cNvPr id="2329" name="Text Box 281">
          <a:extLst>
            <a:ext uri="{FF2B5EF4-FFF2-40B4-BE49-F238E27FC236}">
              <a16:creationId xmlns:a16="http://schemas.microsoft.com/office/drawing/2014/main" id="{00000000-0008-0000-0000-000019090000}"/>
            </a:ext>
          </a:extLst>
        </xdr:cNvPr>
        <xdr:cNvSpPr txBox="1">
          <a:spLocks noChangeArrowheads="1" noTextEdit="1"/>
        </xdr:cNvSpPr>
      </xdr:nvSpPr>
      <xdr:spPr bwMode="auto">
        <a:xfrm>
          <a:off x="6223514" y="3190279"/>
          <a:ext cx="353624" cy="239890"/>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1200nF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16</xdr:col>
      <xdr:colOff>782099</xdr:colOff>
      <xdr:row>9</xdr:row>
      <xdr:rowOff>124531</xdr:rowOff>
    </xdr:from>
    <xdr:to>
      <xdr:col>16</xdr:col>
      <xdr:colOff>1150439</xdr:colOff>
      <xdr:row>11</xdr:row>
      <xdr:rowOff>19472</xdr:rowOff>
    </xdr:to>
    <xdr:sp macro="" textlink="'Variable Management'!B280">
      <xdr:nvSpPr>
        <xdr:cNvPr id="2331" name="Text Box 283">
          <a:extLst>
            <a:ext uri="{FF2B5EF4-FFF2-40B4-BE49-F238E27FC236}">
              <a16:creationId xmlns:a16="http://schemas.microsoft.com/office/drawing/2014/main" id="{00000000-0008-0000-0000-00001B090000}"/>
            </a:ext>
          </a:extLst>
        </xdr:cNvPr>
        <xdr:cNvSpPr txBox="1">
          <a:spLocks noChangeArrowheads="1" noTextEdit="1"/>
        </xdr:cNvSpPr>
      </xdr:nvSpPr>
      <xdr:spPr bwMode="auto">
        <a:xfrm>
          <a:off x="11476603" y="2198496"/>
          <a:ext cx="368340" cy="239498"/>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18V</a:t>
          </a:fld>
          <a:endParaRPr lang="en-US" sz="1200" b="1" i="0" strike="noStrike">
            <a:solidFill>
              <a:srgbClr val="FF0000"/>
            </a:solidFill>
            <a:latin typeface="Arial" pitchFamily="34" charset="0"/>
            <a:cs typeface="Arial" pitchFamily="34" charset="0"/>
          </a:endParaRPr>
        </a:p>
      </xdr:txBody>
    </xdr:sp>
    <xdr:clientData/>
  </xdr:twoCellAnchor>
  <xdr:twoCellAnchor>
    <xdr:from>
      <xdr:col>16</xdr:col>
      <xdr:colOff>2153596</xdr:colOff>
      <xdr:row>18</xdr:row>
      <xdr:rowOff>89339</xdr:rowOff>
    </xdr:from>
    <xdr:to>
      <xdr:col>16</xdr:col>
      <xdr:colOff>2438400</xdr:colOff>
      <xdr:row>19</xdr:row>
      <xdr:rowOff>141401</xdr:rowOff>
    </xdr:to>
    <xdr:sp macro="" textlink="'Variable Management'!B241">
      <xdr:nvSpPr>
        <xdr:cNvPr id="2333" name="Text Box 285">
          <a:extLst>
            <a:ext uri="{FF2B5EF4-FFF2-40B4-BE49-F238E27FC236}">
              <a16:creationId xmlns:a16="http://schemas.microsoft.com/office/drawing/2014/main" id="{00000000-0008-0000-0000-00001D090000}"/>
            </a:ext>
          </a:extLst>
        </xdr:cNvPr>
        <xdr:cNvSpPr txBox="1">
          <a:spLocks noChangeArrowheads="1" noTextEdit="1"/>
        </xdr:cNvSpPr>
      </xdr:nvSpPr>
      <xdr:spPr bwMode="auto">
        <a:xfrm>
          <a:off x="12848100" y="3819826"/>
          <a:ext cx="284804" cy="244218"/>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16</xdr:col>
      <xdr:colOff>2093962</xdr:colOff>
      <xdr:row>19</xdr:row>
      <xdr:rowOff>116485</xdr:rowOff>
    </xdr:from>
    <xdr:to>
      <xdr:col>16</xdr:col>
      <xdr:colOff>2564296</xdr:colOff>
      <xdr:row>20</xdr:row>
      <xdr:rowOff>172500</xdr:rowOff>
    </xdr:to>
    <xdr:sp macro="" textlink="'Variable Management'!B279">
      <xdr:nvSpPr>
        <xdr:cNvPr id="2334" name="Text Box 286">
          <a:extLst>
            <a:ext uri="{FF2B5EF4-FFF2-40B4-BE49-F238E27FC236}">
              <a16:creationId xmlns:a16="http://schemas.microsoft.com/office/drawing/2014/main" id="{00000000-0008-0000-0000-00001E090000}"/>
            </a:ext>
          </a:extLst>
        </xdr:cNvPr>
        <xdr:cNvSpPr txBox="1">
          <a:spLocks noChangeArrowheads="1" noTextEdit="1"/>
        </xdr:cNvSpPr>
      </xdr:nvSpPr>
      <xdr:spPr bwMode="auto">
        <a:xfrm>
          <a:off x="12788466" y="4039128"/>
          <a:ext cx="470334" cy="248172"/>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15A</a:t>
          </a:fld>
          <a:endParaRPr lang="en-US" sz="1200" b="1" i="0" strike="noStrike">
            <a:solidFill>
              <a:srgbClr val="FF0000"/>
            </a:solidFill>
            <a:latin typeface="Arial" pitchFamily="34" charset="0"/>
            <a:cs typeface="Arial" pitchFamily="34" charset="0"/>
          </a:endParaRPr>
        </a:p>
      </xdr:txBody>
    </xdr:sp>
    <xdr:clientData/>
  </xdr:twoCellAnchor>
  <xdr:twoCellAnchor>
    <xdr:from>
      <xdr:col>10</xdr:col>
      <xdr:colOff>244736</xdr:colOff>
      <xdr:row>26</xdr:row>
      <xdr:rowOff>46305</xdr:rowOff>
    </xdr:from>
    <xdr:to>
      <xdr:col>10</xdr:col>
      <xdr:colOff>463811</xdr:colOff>
      <xdr:row>26</xdr:row>
      <xdr:rowOff>46305</xdr:rowOff>
    </xdr:to>
    <xdr:sp macro="" textlink="'Variable Management'!B292">
      <xdr:nvSpPr>
        <xdr:cNvPr id="2347" name="Text Box 299">
          <a:extLst>
            <a:ext uri="{FF2B5EF4-FFF2-40B4-BE49-F238E27FC236}">
              <a16:creationId xmlns:a16="http://schemas.microsoft.com/office/drawing/2014/main" id="{00000000-0008-0000-0000-00002B090000}"/>
            </a:ext>
          </a:extLst>
        </xdr:cNvPr>
        <xdr:cNvSpPr txBox="1">
          <a:spLocks noChangeArrowheads="1" noTextEdit="1"/>
        </xdr:cNvSpPr>
      </xdr:nvSpPr>
      <xdr:spPr bwMode="auto">
        <a:xfrm>
          <a:off x="6914477" y="5434093"/>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9</xdr:col>
      <xdr:colOff>609638</xdr:colOff>
      <xdr:row>10</xdr:row>
      <xdr:rowOff>38586</xdr:rowOff>
    </xdr:from>
    <xdr:to>
      <xdr:col>10</xdr:col>
      <xdr:colOff>139318</xdr:colOff>
      <xdr:row>11</xdr:row>
      <xdr:rowOff>123857</xdr:rowOff>
    </xdr:to>
    <xdr:sp macro="" textlink="">
      <xdr:nvSpPr>
        <xdr:cNvPr id="90" name="Text Box 251">
          <a:extLst>
            <a:ext uri="{FF2B5EF4-FFF2-40B4-BE49-F238E27FC236}">
              <a16:creationId xmlns:a16="http://schemas.microsoft.com/office/drawing/2014/main" id="{00000000-0008-0000-0000-00005A000000}"/>
            </a:ext>
          </a:extLst>
        </xdr:cNvPr>
        <xdr:cNvSpPr txBox="1">
          <a:spLocks noChangeArrowheads="1"/>
        </xdr:cNvSpPr>
      </xdr:nvSpPr>
      <xdr:spPr bwMode="auto">
        <a:xfrm>
          <a:off x="6430146" y="2318724"/>
          <a:ext cx="385464" cy="26111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9</xdr:col>
      <xdr:colOff>474919</xdr:colOff>
      <xdr:row>11</xdr:row>
      <xdr:rowOff>83690</xdr:rowOff>
    </xdr:from>
    <xdr:to>
      <xdr:col>10</xdr:col>
      <xdr:colOff>156634</xdr:colOff>
      <xdr:row>12</xdr:row>
      <xdr:rowOff>151150</xdr:rowOff>
    </xdr:to>
    <xdr:sp macro="" textlink="'Variable Management'!B275">
      <xdr:nvSpPr>
        <xdr:cNvPr id="91" name="Text Box 281">
          <a:extLst>
            <a:ext uri="{FF2B5EF4-FFF2-40B4-BE49-F238E27FC236}">
              <a16:creationId xmlns:a16="http://schemas.microsoft.com/office/drawing/2014/main" id="{00000000-0008-0000-0000-00005B000000}"/>
            </a:ext>
          </a:extLst>
        </xdr:cNvPr>
        <xdr:cNvSpPr txBox="1">
          <a:spLocks noChangeArrowheads="1" noTextEdit="1"/>
        </xdr:cNvSpPr>
      </xdr:nvSpPr>
      <xdr:spPr bwMode="auto">
        <a:xfrm>
          <a:off x="6295427" y="2539675"/>
          <a:ext cx="537499" cy="243306"/>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15</xdr:col>
      <xdr:colOff>99631</xdr:colOff>
      <xdr:row>9</xdr:row>
      <xdr:rowOff>126447</xdr:rowOff>
    </xdr:from>
    <xdr:to>
      <xdr:col>15</xdr:col>
      <xdr:colOff>503574</xdr:colOff>
      <xdr:row>10</xdr:row>
      <xdr:rowOff>176075</xdr:rowOff>
    </xdr:to>
    <xdr:sp macro="" textlink="">
      <xdr:nvSpPr>
        <xdr:cNvPr id="2295" name="Text Box 247">
          <a:extLst>
            <a:ext uri="{FF2B5EF4-FFF2-40B4-BE49-F238E27FC236}">
              <a16:creationId xmlns:a16="http://schemas.microsoft.com/office/drawing/2014/main" id="{00000000-0008-0000-0000-0000F7080000}"/>
            </a:ext>
          </a:extLst>
        </xdr:cNvPr>
        <xdr:cNvSpPr txBox="1">
          <a:spLocks noChangeArrowheads="1"/>
        </xdr:cNvSpPr>
      </xdr:nvSpPr>
      <xdr:spPr bwMode="auto">
        <a:xfrm>
          <a:off x="10131137" y="2251082"/>
          <a:ext cx="40394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16</xdr:col>
      <xdr:colOff>290845</xdr:colOff>
      <xdr:row>18</xdr:row>
      <xdr:rowOff>62727</xdr:rowOff>
    </xdr:from>
    <xdr:to>
      <xdr:col>16</xdr:col>
      <xdr:colOff>609880</xdr:colOff>
      <xdr:row>19</xdr:row>
      <xdr:rowOff>176994</xdr:rowOff>
    </xdr:to>
    <xdr:sp macro="" textlink="">
      <xdr:nvSpPr>
        <xdr:cNvPr id="97" name="Text Box 244">
          <a:extLst>
            <a:ext uri="{FF2B5EF4-FFF2-40B4-BE49-F238E27FC236}">
              <a16:creationId xmlns:a16="http://schemas.microsoft.com/office/drawing/2014/main" id="{00000000-0008-0000-0000-000061000000}"/>
            </a:ext>
          </a:extLst>
        </xdr:cNvPr>
        <xdr:cNvSpPr txBox="1">
          <a:spLocks noChangeArrowheads="1"/>
        </xdr:cNvSpPr>
      </xdr:nvSpPr>
      <xdr:spPr bwMode="auto">
        <a:xfrm>
          <a:off x="11023322" y="3849281"/>
          <a:ext cx="319035" cy="30769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16</xdr:col>
      <xdr:colOff>239500</xdr:colOff>
      <xdr:row>13</xdr:row>
      <xdr:rowOff>17014</xdr:rowOff>
    </xdr:from>
    <xdr:to>
      <xdr:col>16</xdr:col>
      <xdr:colOff>562345</xdr:colOff>
      <xdr:row>14</xdr:row>
      <xdr:rowOff>112859</xdr:rowOff>
    </xdr:to>
    <xdr:sp macro="" textlink="">
      <xdr:nvSpPr>
        <xdr:cNvPr id="102" name="Text Box 244">
          <a:extLst>
            <a:ext uri="{FF2B5EF4-FFF2-40B4-BE49-F238E27FC236}">
              <a16:creationId xmlns:a16="http://schemas.microsoft.com/office/drawing/2014/main" id="{00000000-0008-0000-0000-000066000000}"/>
            </a:ext>
          </a:extLst>
        </xdr:cNvPr>
        <xdr:cNvSpPr txBox="1">
          <a:spLocks noChangeArrowheads="1"/>
        </xdr:cNvSpPr>
      </xdr:nvSpPr>
      <xdr:spPr bwMode="auto">
        <a:xfrm>
          <a:off x="10934004" y="2806597"/>
          <a:ext cx="322845" cy="26812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11</xdr:col>
      <xdr:colOff>38412</xdr:colOff>
      <xdr:row>6</xdr:row>
      <xdr:rowOff>39262</xdr:rowOff>
    </xdr:from>
    <xdr:to>
      <xdr:col>11</xdr:col>
      <xdr:colOff>607274</xdr:colOff>
      <xdr:row>7</xdr:row>
      <xdr:rowOff>83672</xdr:rowOff>
    </xdr:to>
    <xdr:sp macro="" textlink="'Variable Management'!G98">
      <xdr:nvSpPr>
        <xdr:cNvPr id="66" name="Text Box 264">
          <a:extLst>
            <a:ext uri="{FF2B5EF4-FFF2-40B4-BE49-F238E27FC236}">
              <a16:creationId xmlns:a16="http://schemas.microsoft.com/office/drawing/2014/main" id="{00000000-0008-0000-0000-000042000000}"/>
            </a:ext>
          </a:extLst>
        </xdr:cNvPr>
        <xdr:cNvSpPr txBox="1">
          <a:spLocks noChangeArrowheads="1" noTextEdit="1"/>
        </xdr:cNvSpPr>
      </xdr:nvSpPr>
      <xdr:spPr bwMode="auto">
        <a:xfrm>
          <a:off x="7313855" y="1596392"/>
          <a:ext cx="568862" cy="216689"/>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4.53kΩ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210793</xdr:colOff>
      <xdr:row>5</xdr:row>
      <xdr:rowOff>8247</xdr:rowOff>
    </xdr:from>
    <xdr:to>
      <xdr:col>11</xdr:col>
      <xdr:colOff>631862</xdr:colOff>
      <xdr:row>6</xdr:row>
      <xdr:rowOff>38645</xdr:rowOff>
    </xdr:to>
    <xdr:sp macro="" textlink="">
      <xdr:nvSpPr>
        <xdr:cNvPr id="68" name="Text Box 255">
          <a:extLst>
            <a:ext uri="{FF2B5EF4-FFF2-40B4-BE49-F238E27FC236}">
              <a16:creationId xmlns:a16="http://schemas.microsoft.com/office/drawing/2014/main" id="{00000000-0008-0000-0000-000044000000}"/>
            </a:ext>
          </a:extLst>
        </xdr:cNvPr>
        <xdr:cNvSpPr txBox="1">
          <a:spLocks noChangeArrowheads="1"/>
        </xdr:cNvSpPr>
      </xdr:nvSpPr>
      <xdr:spPr bwMode="auto">
        <a:xfrm>
          <a:off x="7486236" y="1393099"/>
          <a:ext cx="421069" cy="20267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11</xdr:col>
      <xdr:colOff>787842</xdr:colOff>
      <xdr:row>6</xdr:row>
      <xdr:rowOff>29009</xdr:rowOff>
    </xdr:from>
    <xdr:to>
      <xdr:col>12</xdr:col>
      <xdr:colOff>521557</xdr:colOff>
      <xdr:row>7</xdr:row>
      <xdr:rowOff>65707</xdr:rowOff>
    </xdr:to>
    <xdr:sp macro="" textlink="'Variable Management'!G97">
      <xdr:nvSpPr>
        <xdr:cNvPr id="69" name="Text Box 264">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8063285" y="1586139"/>
          <a:ext cx="588481" cy="208977"/>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49.9kΩ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12</xdr:col>
      <xdr:colOff>66917</xdr:colOff>
      <xdr:row>4</xdr:row>
      <xdr:rowOff>242103</xdr:rowOff>
    </xdr:from>
    <xdr:to>
      <xdr:col>12</xdr:col>
      <xdr:colOff>501223</xdr:colOff>
      <xdr:row>6</xdr:row>
      <xdr:rowOff>28879</xdr:rowOff>
    </xdr:to>
    <xdr:sp macro="" textlink="">
      <xdr:nvSpPr>
        <xdr:cNvPr id="70" name="Text Box 255">
          <a:extLst>
            <a:ext uri="{FF2B5EF4-FFF2-40B4-BE49-F238E27FC236}">
              <a16:creationId xmlns:a16="http://schemas.microsoft.com/office/drawing/2014/main" id="{00000000-0008-0000-0000-000046000000}"/>
            </a:ext>
          </a:extLst>
        </xdr:cNvPr>
        <xdr:cNvSpPr txBox="1">
          <a:spLocks noChangeArrowheads="1"/>
        </xdr:cNvSpPr>
      </xdr:nvSpPr>
      <xdr:spPr bwMode="auto">
        <a:xfrm>
          <a:off x="8197126" y="1375164"/>
          <a:ext cx="434306" cy="210845"/>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16</xdr:col>
      <xdr:colOff>932560</xdr:colOff>
      <xdr:row>18</xdr:row>
      <xdr:rowOff>171948</xdr:rowOff>
    </xdr:from>
    <xdr:to>
      <xdr:col>16</xdr:col>
      <xdr:colOff>1454388</xdr:colOff>
      <xdr:row>20</xdr:row>
      <xdr:rowOff>67046</xdr:rowOff>
    </xdr:to>
    <xdr:sp macro="" textlink="'Variable Management'!B239">
      <xdr:nvSpPr>
        <xdr:cNvPr id="142" name="Text Box 275">
          <a:extLst>
            <a:ext uri="{FF2B5EF4-FFF2-40B4-BE49-F238E27FC236}">
              <a16:creationId xmlns:a16="http://schemas.microsoft.com/office/drawing/2014/main" id="{00000000-0008-0000-0000-00008E000000}"/>
            </a:ext>
          </a:extLst>
        </xdr:cNvPr>
        <xdr:cNvSpPr txBox="1">
          <a:spLocks noChangeArrowheads="1" noTextEdit="1"/>
        </xdr:cNvSpPr>
      </xdr:nvSpPr>
      <xdr:spPr bwMode="auto">
        <a:xfrm>
          <a:off x="11627064" y="3902435"/>
          <a:ext cx="521828" cy="27941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6mΩ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12</xdr:col>
      <xdr:colOff>52938</xdr:colOff>
      <xdr:row>28</xdr:row>
      <xdr:rowOff>53618</xdr:rowOff>
    </xdr:from>
    <xdr:to>
      <xdr:col>12</xdr:col>
      <xdr:colOff>560576</xdr:colOff>
      <xdr:row>29</xdr:row>
      <xdr:rowOff>110794</xdr:rowOff>
    </xdr:to>
    <xdr:sp macro="" textlink="">
      <xdr:nvSpPr>
        <xdr:cNvPr id="145" name="Text Box 245">
          <a:extLst>
            <a:ext uri="{FF2B5EF4-FFF2-40B4-BE49-F238E27FC236}">
              <a16:creationId xmlns:a16="http://schemas.microsoft.com/office/drawing/2014/main" id="{00000000-0008-0000-0000-000091000000}"/>
            </a:ext>
          </a:extLst>
        </xdr:cNvPr>
        <xdr:cNvSpPr txBox="1">
          <a:spLocks noChangeArrowheads="1"/>
        </xdr:cNvSpPr>
      </xdr:nvSpPr>
      <xdr:spPr bwMode="auto">
        <a:xfrm>
          <a:off x="8183147" y="5705670"/>
          <a:ext cx="507638" cy="22945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12</xdr:col>
      <xdr:colOff>70286</xdr:colOff>
      <xdr:row>29</xdr:row>
      <xdr:rowOff>62180</xdr:rowOff>
    </xdr:from>
    <xdr:to>
      <xdr:col>13</xdr:col>
      <xdr:colOff>78514</xdr:colOff>
      <xdr:row>30</xdr:row>
      <xdr:rowOff>78493</xdr:rowOff>
    </xdr:to>
    <xdr:sp macro="" textlink="'Variable Management'!B274">
      <xdr:nvSpPr>
        <xdr:cNvPr id="146" name="Text Box 281">
          <a:extLst>
            <a:ext uri="{FF2B5EF4-FFF2-40B4-BE49-F238E27FC236}">
              <a16:creationId xmlns:a16="http://schemas.microsoft.com/office/drawing/2014/main" id="{00000000-0008-0000-0000-000092000000}"/>
            </a:ext>
          </a:extLst>
        </xdr:cNvPr>
        <xdr:cNvSpPr txBox="1">
          <a:spLocks noChangeArrowheads="1" noTextEdit="1"/>
        </xdr:cNvSpPr>
      </xdr:nvSpPr>
      <xdr:spPr bwMode="auto">
        <a:xfrm>
          <a:off x="8200495" y="5886510"/>
          <a:ext cx="631080" cy="248226"/>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5</xdr:col>
          <xdr:colOff>0</xdr:colOff>
          <xdr:row>59</xdr:row>
          <xdr:rowOff>165100</xdr:rowOff>
        </xdr:from>
        <xdr:to>
          <xdr:col>5</xdr:col>
          <xdr:colOff>177800</xdr:colOff>
          <xdr:row>61</xdr:row>
          <xdr:rowOff>12700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5</xdr:col>
          <xdr:colOff>177800</xdr:colOff>
          <xdr:row>67</xdr:row>
          <xdr:rowOff>0</xdr:rowOff>
        </xdr:to>
        <xdr:sp macro="" textlink="">
          <xdr:nvSpPr>
            <xdr:cNvPr id="672830" name="Spinner 62" hidden="1">
              <a:extLst>
                <a:ext uri="{63B3BB69-23CF-44E3-9099-C40C66FF867C}">
                  <a14:compatExt spid="_x0000_s672830"/>
                </a:ext>
                <a:ext uri="{FF2B5EF4-FFF2-40B4-BE49-F238E27FC236}">
                  <a16:creationId xmlns:a16="http://schemas.microsoft.com/office/drawing/2014/main" id="{00000000-0008-0000-0000-00003E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67</xdr:row>
          <xdr:rowOff>0</xdr:rowOff>
        </xdr:from>
        <xdr:to>
          <xdr:col>5</xdr:col>
          <xdr:colOff>177800</xdr:colOff>
          <xdr:row>67</xdr:row>
          <xdr:rowOff>190500</xdr:rowOff>
        </xdr:to>
        <xdr:sp macro="" textlink="">
          <xdr:nvSpPr>
            <xdr:cNvPr id="672831" name="Spinner 63" hidden="1">
              <a:extLst>
                <a:ext uri="{63B3BB69-23CF-44E3-9099-C40C66FF867C}">
                  <a14:compatExt spid="_x0000_s672831"/>
                </a:ext>
                <a:ext uri="{FF2B5EF4-FFF2-40B4-BE49-F238E27FC236}">
                  <a16:creationId xmlns:a16="http://schemas.microsoft.com/office/drawing/2014/main" id="{00000000-0008-0000-0000-00003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177800</xdr:colOff>
          <xdr:row>68</xdr:row>
          <xdr:rowOff>190500</xdr:rowOff>
        </xdr:to>
        <xdr:sp macro="" textlink="">
          <xdr:nvSpPr>
            <xdr:cNvPr id="672832" name="Spinner 64" hidden="1">
              <a:extLst>
                <a:ext uri="{63B3BB69-23CF-44E3-9099-C40C66FF867C}">
                  <a14:compatExt spid="_x0000_s672832"/>
                </a:ext>
                <a:ext uri="{FF2B5EF4-FFF2-40B4-BE49-F238E27FC236}">
                  <a16:creationId xmlns:a16="http://schemas.microsoft.com/office/drawing/2014/main" id="{00000000-0008-0000-0000-000040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0</xdr:rowOff>
        </xdr:from>
        <xdr:to>
          <xdr:col>5</xdr:col>
          <xdr:colOff>177800</xdr:colOff>
          <xdr:row>69</xdr:row>
          <xdr:rowOff>190500</xdr:rowOff>
        </xdr:to>
        <xdr:sp macro="" textlink="">
          <xdr:nvSpPr>
            <xdr:cNvPr id="672833" name="Spinner 65" hidden="1">
              <a:extLst>
                <a:ext uri="{63B3BB69-23CF-44E3-9099-C40C66FF867C}">
                  <a14:compatExt spid="_x0000_s672833"/>
                </a:ext>
                <a:ext uri="{FF2B5EF4-FFF2-40B4-BE49-F238E27FC236}">
                  <a16:creationId xmlns:a16="http://schemas.microsoft.com/office/drawing/2014/main" id="{00000000-0008-0000-0000-000041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85725</xdr:colOff>
      <xdr:row>0</xdr:row>
      <xdr:rowOff>47625</xdr:rowOff>
    </xdr:from>
    <xdr:to>
      <xdr:col>3</xdr:col>
      <xdr:colOff>288536</xdr:colOff>
      <xdr:row>0</xdr:row>
      <xdr:rowOff>590091</xdr:rowOff>
    </xdr:to>
    <xdr:pic macro="[0]!OpenLM27403ProductFolder">
      <xdr:nvPicPr>
        <xdr:cNvPr id="80" name="Picture 79">
          <a:hlinkClick xmlns:r="http://schemas.openxmlformats.org/officeDocument/2006/relationships" r:id="rId4"/>
          <a:extLst>
            <a:ext uri="{FF2B5EF4-FFF2-40B4-BE49-F238E27FC236}">
              <a16:creationId xmlns:a16="http://schemas.microsoft.com/office/drawing/2014/main" id="{00000000-0008-0000-0000-00005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4896" b="8304"/>
        <a:stretch/>
      </xdr:blipFill>
      <xdr:spPr>
        <a:xfrm>
          <a:off x="85725" y="47625"/>
          <a:ext cx="2283071" cy="5386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12700</xdr:colOff>
          <xdr:row>23</xdr:row>
          <xdr:rowOff>0</xdr:rowOff>
        </xdr:from>
        <xdr:to>
          <xdr:col>1</xdr:col>
          <xdr:colOff>520700</xdr:colOff>
          <xdr:row>24</xdr:row>
          <xdr:rowOff>0</xdr:rowOff>
        </xdr:to>
        <xdr:sp macro="" textlink="">
          <xdr:nvSpPr>
            <xdr:cNvPr id="672871" name="Drop Down 103" hidden="1">
              <a:extLst>
                <a:ext uri="{63B3BB69-23CF-44E3-9099-C40C66FF867C}">
                  <a14:compatExt spid="_x0000_s672871"/>
                </a:ext>
                <a:ext uri="{FF2B5EF4-FFF2-40B4-BE49-F238E27FC236}">
                  <a16:creationId xmlns:a16="http://schemas.microsoft.com/office/drawing/2014/main" id="{00000000-0008-0000-0000-000067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298909</xdr:colOff>
      <xdr:row>23</xdr:row>
      <xdr:rowOff>61229</xdr:rowOff>
    </xdr:from>
    <xdr:to>
      <xdr:col>16</xdr:col>
      <xdr:colOff>872596</xdr:colOff>
      <xdr:row>24</xdr:row>
      <xdr:rowOff>177965</xdr:rowOff>
    </xdr:to>
    <xdr:sp macro="" textlink="'Variable Management'!B269">
      <xdr:nvSpPr>
        <xdr:cNvPr id="88" name="Text Box 270">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0993413" y="4792255"/>
          <a:ext cx="573687" cy="308893"/>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363679</xdr:colOff>
      <xdr:row>22</xdr:row>
      <xdr:rowOff>94847</xdr:rowOff>
    </xdr:from>
    <xdr:to>
      <xdr:col>16</xdr:col>
      <xdr:colOff>937366</xdr:colOff>
      <xdr:row>23</xdr:row>
      <xdr:rowOff>70014</xdr:rowOff>
    </xdr:to>
    <xdr:sp macro="" textlink="'Variable Management'!A269">
      <xdr:nvSpPr>
        <xdr:cNvPr id="92" name="Text Box 270">
          <a:extLst>
            <a:ext uri="{FF2B5EF4-FFF2-40B4-BE49-F238E27FC236}">
              <a16:creationId xmlns:a16="http://schemas.microsoft.com/office/drawing/2014/main" id="{00000000-0008-0000-0000-00005C000000}"/>
            </a:ext>
          </a:extLst>
        </xdr:cNvPr>
        <xdr:cNvSpPr txBox="1">
          <a:spLocks noChangeArrowheads="1" noTextEdit="1"/>
        </xdr:cNvSpPr>
      </xdr:nvSpPr>
      <xdr:spPr bwMode="auto">
        <a:xfrm>
          <a:off x="11058183" y="4574082"/>
          <a:ext cx="573687" cy="226958"/>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790575</xdr:colOff>
      <xdr:row>83</xdr:row>
      <xdr:rowOff>175260</xdr:rowOff>
    </xdr:from>
    <xdr:to>
      <xdr:col>16</xdr:col>
      <xdr:colOff>1212518</xdr:colOff>
      <xdr:row>84</xdr:row>
      <xdr:rowOff>177165</xdr:rowOff>
    </xdr:to>
    <xdr:sp macro="" textlink="'Variable Management'!B308">
      <xdr:nvSpPr>
        <xdr:cNvPr id="62" name="Text Box 24">
          <a:extLst>
            <a:ext uri="{FF2B5EF4-FFF2-40B4-BE49-F238E27FC236}">
              <a16:creationId xmlns:a16="http://schemas.microsoft.com/office/drawing/2014/main" id="{00000000-0008-0000-0000-00003E000000}"/>
            </a:ext>
          </a:extLst>
        </xdr:cNvPr>
        <xdr:cNvSpPr txBox="1">
          <a:spLocks noChangeArrowheads="1" noTextEdit="1"/>
        </xdr:cNvSpPr>
      </xdr:nvSpPr>
      <xdr:spPr bwMode="auto">
        <a:xfrm>
          <a:off x="11496675" y="16253460"/>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E2734BE-9F4E-46E2-95E4-7A6A07C9A939}" type="TxLink">
            <a:rPr lang="en-US" sz="1000" b="0" i="0" u="none" strike="noStrike" baseline="0">
              <a:solidFill>
                <a:srgbClr val="000000"/>
              </a:solidFill>
              <a:latin typeface="Arial"/>
              <a:cs typeface="Arial"/>
            </a:rPr>
            <a:pPr algn="l" rtl="0">
              <a:defRPr sz="1000"/>
            </a:pPr>
            <a:t>77.2%</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266700</xdr:colOff>
      <xdr:row>83</xdr:row>
      <xdr:rowOff>165735</xdr:rowOff>
    </xdr:from>
    <xdr:to>
      <xdr:col>13</xdr:col>
      <xdr:colOff>79043</xdr:colOff>
      <xdr:row>84</xdr:row>
      <xdr:rowOff>167640</xdr:rowOff>
    </xdr:to>
    <xdr:sp macro="" textlink="'Variable Management'!B309">
      <xdr:nvSpPr>
        <xdr:cNvPr id="63" name="Text Box 24">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8404860" y="16243935"/>
          <a:ext cx="43718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4471BB4-2258-4940-9924-F43A04D031AE}" type="TxLink">
            <a:rPr lang="en-US" sz="1000" b="0" i="0" u="none" strike="noStrike" baseline="0">
              <a:solidFill>
                <a:srgbClr val="000000"/>
              </a:solidFill>
              <a:latin typeface="Arial"/>
              <a:cs typeface="Arial"/>
            </a:rPr>
            <a:pPr algn="l" rtl="0">
              <a:defRPr sz="1000"/>
            </a:pPr>
            <a:t>93.3%</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313720</xdr:colOff>
      <xdr:row>30</xdr:row>
      <xdr:rowOff>13788</xdr:rowOff>
    </xdr:from>
    <xdr:to>
      <xdr:col>13</xdr:col>
      <xdr:colOff>170962</xdr:colOff>
      <xdr:row>31</xdr:row>
      <xdr:rowOff>107497</xdr:rowOff>
    </xdr:to>
    <xdr:sp macro="" textlink="'Variable Management'!A270">
      <xdr:nvSpPr>
        <xdr:cNvPr id="64" name="Text Box 231">
          <a:extLst>
            <a:ext uri="{FF2B5EF4-FFF2-40B4-BE49-F238E27FC236}">
              <a16:creationId xmlns:a16="http://schemas.microsoft.com/office/drawing/2014/main" id="{00000000-0008-0000-0000-000040000000}"/>
            </a:ext>
          </a:extLst>
        </xdr:cNvPr>
        <xdr:cNvSpPr txBox="1">
          <a:spLocks noChangeArrowheads="1"/>
        </xdr:cNvSpPr>
      </xdr:nvSpPr>
      <xdr:spPr bwMode="auto">
        <a:xfrm>
          <a:off x="8443929" y="6070031"/>
          <a:ext cx="480094" cy="265988"/>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12</xdr:col>
      <xdr:colOff>305913</xdr:colOff>
      <xdr:row>31</xdr:row>
      <xdr:rowOff>50238</xdr:rowOff>
    </xdr:from>
    <xdr:to>
      <xdr:col>13</xdr:col>
      <xdr:colOff>261683</xdr:colOff>
      <xdr:row>32</xdr:row>
      <xdr:rowOff>96408</xdr:rowOff>
    </xdr:to>
    <xdr:sp macro="" textlink="'Variable Management'!B270">
      <xdr:nvSpPr>
        <xdr:cNvPr id="67" name="Text Box 270">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8436122" y="6278760"/>
          <a:ext cx="578622" cy="218448"/>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10pF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776226</xdr:colOff>
      <xdr:row>11</xdr:row>
      <xdr:rowOff>8003</xdr:rowOff>
    </xdr:from>
    <xdr:to>
      <xdr:col>16</xdr:col>
      <xdr:colOff>1924606</xdr:colOff>
      <xdr:row>12</xdr:row>
      <xdr:rowOff>69775</xdr:rowOff>
    </xdr:to>
    <xdr:sp macro="" textlink="'Variable Management'!B281">
      <xdr:nvSpPr>
        <xdr:cNvPr id="71" name="Text Box 283">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470730" y="2426525"/>
          <a:ext cx="1148380" cy="234050"/>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15V to 22V</a:t>
          </a:fld>
          <a:endParaRPr lang="en-US" sz="2400" b="1" i="0" strike="noStrike">
            <a:solidFill>
              <a:srgbClr val="0000FF"/>
            </a:solidFill>
            <a:latin typeface="Arial" pitchFamily="34" charset="0"/>
            <a:cs typeface="Arial" pitchFamily="34" charset="0"/>
          </a:endParaRPr>
        </a:p>
      </xdr:txBody>
    </xdr:sp>
    <xdr:clientData/>
  </xdr:twoCellAnchor>
  <xdr:twoCellAnchor editAs="oneCell">
    <xdr:from>
      <xdr:col>16</xdr:col>
      <xdr:colOff>1085850</xdr:colOff>
      <xdr:row>0</xdr:row>
      <xdr:rowOff>0</xdr:rowOff>
    </xdr:from>
    <xdr:to>
      <xdr:col>17</xdr:col>
      <xdr:colOff>1822</xdr:colOff>
      <xdr:row>3</xdr:row>
      <xdr:rowOff>57918</xdr:rowOff>
    </xdr:to>
    <xdr:pic>
      <xdr:nvPicPr>
        <xdr:cNvPr id="72" name="Picture 71">
          <a:hlinkClick xmlns:r="http://schemas.openxmlformats.org/officeDocument/2006/relationships" r:id="rId4"/>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791950" y="0"/>
          <a:ext cx="1788712" cy="1037088"/>
        </a:xfrm>
        <a:prstGeom prst="rect">
          <a:avLst/>
        </a:prstGeom>
      </xdr:spPr>
    </xdr:pic>
    <xdr:clientData/>
  </xdr:twoCellAnchor>
  <xdr:twoCellAnchor editAs="oneCell">
    <xdr:from>
      <xdr:col>16</xdr:col>
      <xdr:colOff>993530</xdr:colOff>
      <xdr:row>71</xdr:row>
      <xdr:rowOff>227465</xdr:rowOff>
    </xdr:from>
    <xdr:to>
      <xdr:col>16</xdr:col>
      <xdr:colOff>2784229</xdr:colOff>
      <xdr:row>78</xdr:row>
      <xdr:rowOff>37116</xdr:rowOff>
    </xdr:to>
    <xdr:pic>
      <xdr:nvPicPr>
        <xdr:cNvPr id="73" name="Picture 72">
          <a:hlinkClick xmlns:r="http://schemas.openxmlformats.org/officeDocument/2006/relationships" r:id="rId7"/>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404355" y="13657715"/>
          <a:ext cx="1790699" cy="1131721"/>
        </a:xfrm>
        <a:prstGeom prst="rect">
          <a:avLst/>
        </a:prstGeom>
      </xdr:spPr>
    </xdr:pic>
    <xdr:clientData/>
  </xdr:twoCellAnchor>
  <xdr:twoCellAnchor editAs="oneCell">
    <xdr:from>
      <xdr:col>16</xdr:col>
      <xdr:colOff>111673</xdr:colOff>
      <xdr:row>0</xdr:row>
      <xdr:rowOff>0</xdr:rowOff>
    </xdr:from>
    <xdr:to>
      <xdr:col>16</xdr:col>
      <xdr:colOff>967741</xdr:colOff>
      <xdr:row>0</xdr:row>
      <xdr:rowOff>627487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523483" y="0"/>
          <a:ext cx="859878" cy="6312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38100</xdr:colOff>
          <xdr:row>3</xdr:row>
          <xdr:rowOff>177800</xdr:rowOff>
        </xdr:from>
        <xdr:to>
          <xdr:col>6</xdr:col>
          <xdr:colOff>0</xdr:colOff>
          <xdr:row>4</xdr:row>
          <xdr:rowOff>241300</xdr:rowOff>
        </xdr:to>
        <xdr:sp macro="" textlink="">
          <xdr:nvSpPr>
            <xdr:cNvPr id="683041" name="Drop Down 1057" hidden="1">
              <a:extLst>
                <a:ext uri="{63B3BB69-23CF-44E3-9099-C40C66FF867C}">
                  <a14:compatExt spid="_x0000_s683041"/>
                </a:ext>
                <a:ext uri="{FF2B5EF4-FFF2-40B4-BE49-F238E27FC236}">
                  <a16:creationId xmlns:a16="http://schemas.microsoft.com/office/drawing/2014/main" id="{00000000-0008-0000-0000-000021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11</xdr:col>
      <xdr:colOff>676602</xdr:colOff>
      <xdr:row>17</xdr:row>
      <xdr:rowOff>112251</xdr:rowOff>
    </xdr:from>
    <xdr:to>
      <xdr:col>13</xdr:col>
      <xdr:colOff>228600</xdr:colOff>
      <xdr:row>19</xdr:row>
      <xdr:rowOff>105398</xdr:rowOff>
    </xdr:to>
    <xdr:sp macro="" textlink="'Variable Management'!U12">
      <xdr:nvSpPr>
        <xdr:cNvPr id="74" name="Text Box 24">
          <a:extLst>
            <a:ext uri="{FF2B5EF4-FFF2-40B4-BE49-F238E27FC236}">
              <a16:creationId xmlns:a16="http://schemas.microsoft.com/office/drawing/2014/main" id="{00000000-0008-0000-0000-00004A000000}"/>
            </a:ext>
          </a:extLst>
        </xdr:cNvPr>
        <xdr:cNvSpPr txBox="1">
          <a:spLocks noChangeArrowheads="1" noTextEdit="1"/>
        </xdr:cNvSpPr>
      </xdr:nvSpPr>
      <xdr:spPr bwMode="auto">
        <a:xfrm>
          <a:off x="7751378" y="3679199"/>
          <a:ext cx="990601" cy="354440"/>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200" b="1" i="0" u="none" strike="noStrike" baseline="0">
              <a:solidFill>
                <a:srgbClr val="FF0000"/>
              </a:solidFill>
              <a:latin typeface="Arial"/>
              <a:cs typeface="Arial"/>
            </a:rPr>
            <a:pPr algn="ctr" rtl="0">
              <a:defRPr sz="1000"/>
            </a:pPr>
            <a:t>LM5146-Q1</a:t>
          </a:fld>
          <a:endParaRPr lang="en-US" sz="18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25400</xdr:colOff>
          <xdr:row>106</xdr:row>
          <xdr:rowOff>0</xdr:rowOff>
        </xdr:from>
        <xdr:to>
          <xdr:col>2</xdr:col>
          <xdr:colOff>203200</xdr:colOff>
          <xdr:row>107</xdr:row>
          <xdr:rowOff>38100</xdr:rowOff>
        </xdr:to>
        <xdr:sp macro="" textlink="">
          <xdr:nvSpPr>
            <xdr:cNvPr id="683134" name="Drop Down 1150" hidden="1">
              <a:extLst>
                <a:ext uri="{63B3BB69-23CF-44E3-9099-C40C66FF867C}">
                  <a14:compatExt spid="_x0000_s683134"/>
                </a:ext>
                <a:ext uri="{FF2B5EF4-FFF2-40B4-BE49-F238E27FC236}">
                  <a16:creationId xmlns:a16="http://schemas.microsoft.com/office/drawing/2014/main" id="{00000000-0008-0000-0000-00007E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0.08796</cdr:x>
      <cdr:y>0.49238</cdr:y>
    </cdr:from>
    <cdr:to>
      <cdr:x>0.92197</cdr:x>
      <cdr:y>0.49409</cdr:y>
    </cdr:to>
    <cdr:sp macro="" textlink="">
      <cdr:nvSpPr>
        <cdr:cNvPr id="8195" name="Line 3"/>
        <cdr:cNvSpPr>
          <a:spLocks xmlns:a="http://schemas.openxmlformats.org/drawingml/2006/main" noChangeShapeType="1"/>
        </cdr:cNvSpPr>
      </cdr:nvSpPr>
      <cdr:spPr bwMode="auto">
        <a:xfrm xmlns:a="http://schemas.openxmlformats.org/drawingml/2006/main">
          <a:off x="753099" y="2185131"/>
          <a:ext cx="7141085" cy="762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0.92062</cdr:x>
      <cdr:y>0.58763</cdr:y>
    </cdr:from>
    <cdr:to>
      <cdr:x>0.95653</cdr:x>
      <cdr:y>0.64353</cdr:y>
    </cdr:to>
    <cdr:sp macro="" textlink="'Variable Management'!$B$261">
      <cdr:nvSpPr>
        <cdr:cNvPr id="3" name="Text Box 24"/>
        <cdr:cNvSpPr txBox="1">
          <a:spLocks xmlns:a="http://schemas.openxmlformats.org/drawingml/2006/main" noChangeArrowheads="1" noTextEdit="1"/>
        </cdr:cNvSpPr>
      </cdr:nvSpPr>
      <cdr:spPr bwMode="auto">
        <a:xfrm xmlns:a="http://schemas.openxmlformats.org/drawingml/2006/main">
          <a:off x="7976234" y="2610019"/>
          <a:ext cx="311124" cy="24828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60°</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8</xdr:col>
          <xdr:colOff>0</xdr:colOff>
          <xdr:row>48</xdr:row>
          <xdr:rowOff>203200</xdr:rowOff>
        </xdr:to>
        <xdr:sp macro="" textlink="">
          <xdr:nvSpPr>
            <xdr:cNvPr id="673839" name="Drop Down 47" hidden="1">
              <a:extLst>
                <a:ext uri="{63B3BB69-23CF-44E3-9099-C40C66FF867C}">
                  <a14:compatExt spid="_x0000_s673839"/>
                </a:ext>
                <a:ext uri="{FF2B5EF4-FFF2-40B4-BE49-F238E27FC236}">
                  <a16:creationId xmlns:a16="http://schemas.microsoft.com/office/drawing/2014/main" id="{00000000-0008-0000-0100-00002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8</xdr:col>
          <xdr:colOff>0</xdr:colOff>
          <xdr:row>49</xdr:row>
          <xdr:rowOff>203200</xdr:rowOff>
        </xdr:to>
        <xdr:sp macro="" textlink="">
          <xdr:nvSpPr>
            <xdr:cNvPr id="673840" name="Drop Down 48" hidden="1">
              <a:extLst>
                <a:ext uri="{63B3BB69-23CF-44E3-9099-C40C66FF867C}">
                  <a14:compatExt spid="_x0000_s673840"/>
                </a:ext>
                <a:ext uri="{FF2B5EF4-FFF2-40B4-BE49-F238E27FC236}">
                  <a16:creationId xmlns:a16="http://schemas.microsoft.com/office/drawing/2014/main" id="{00000000-0008-0000-0100-00003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7</xdr:col>
          <xdr:colOff>876300</xdr:colOff>
          <xdr:row>37</xdr:row>
          <xdr:rowOff>203200</xdr:rowOff>
        </xdr:to>
        <xdr:sp macro="" textlink="">
          <xdr:nvSpPr>
            <xdr:cNvPr id="673855" name="Drop Down 63" hidden="1">
              <a:extLst>
                <a:ext uri="{63B3BB69-23CF-44E3-9099-C40C66FF867C}">
                  <a14:compatExt spid="_x0000_s673855"/>
                </a:ext>
                <a:ext uri="{FF2B5EF4-FFF2-40B4-BE49-F238E27FC236}">
                  <a16:creationId xmlns:a16="http://schemas.microsoft.com/office/drawing/2014/main" id="{00000000-0008-0000-0100-00003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7</xdr:col>
          <xdr:colOff>876300</xdr:colOff>
          <xdr:row>38</xdr:row>
          <xdr:rowOff>203200</xdr:rowOff>
        </xdr:to>
        <xdr:sp macro="" textlink="">
          <xdr:nvSpPr>
            <xdr:cNvPr id="673857" name="Drop Down 65" hidden="1">
              <a:extLst>
                <a:ext uri="{63B3BB69-23CF-44E3-9099-C40C66FF867C}">
                  <a14:compatExt spid="_x0000_s673857"/>
                </a:ext>
                <a:ext uri="{FF2B5EF4-FFF2-40B4-BE49-F238E27FC236}">
                  <a16:creationId xmlns:a16="http://schemas.microsoft.com/office/drawing/2014/main" id="{00000000-0008-0000-0100-00004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7</xdr:col>
          <xdr:colOff>876300</xdr:colOff>
          <xdr:row>39</xdr:row>
          <xdr:rowOff>203200</xdr:rowOff>
        </xdr:to>
        <xdr:sp macro="" textlink="">
          <xdr:nvSpPr>
            <xdr:cNvPr id="673858" name="Drop Down 66" hidden="1">
              <a:extLst>
                <a:ext uri="{63B3BB69-23CF-44E3-9099-C40C66FF867C}">
                  <a14:compatExt spid="_x0000_s673858"/>
                </a:ext>
                <a:ext uri="{FF2B5EF4-FFF2-40B4-BE49-F238E27FC236}">
                  <a16:creationId xmlns:a16="http://schemas.microsoft.com/office/drawing/2014/main" id="{00000000-0008-0000-0100-00004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7</xdr:col>
          <xdr:colOff>876300</xdr:colOff>
          <xdr:row>40</xdr:row>
          <xdr:rowOff>203200</xdr:rowOff>
        </xdr:to>
        <xdr:sp macro="" textlink="">
          <xdr:nvSpPr>
            <xdr:cNvPr id="673859" name="Drop Down 67" hidden="1">
              <a:extLst>
                <a:ext uri="{63B3BB69-23CF-44E3-9099-C40C66FF867C}">
                  <a14:compatExt spid="_x0000_s673859"/>
                </a:ext>
                <a:ext uri="{FF2B5EF4-FFF2-40B4-BE49-F238E27FC236}">
                  <a16:creationId xmlns:a16="http://schemas.microsoft.com/office/drawing/2014/main" id="{00000000-0008-0000-0100-000043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7</xdr:col>
          <xdr:colOff>876300</xdr:colOff>
          <xdr:row>41</xdr:row>
          <xdr:rowOff>203200</xdr:rowOff>
        </xdr:to>
        <xdr:sp macro="" textlink="">
          <xdr:nvSpPr>
            <xdr:cNvPr id="673860" name="Drop Down 68" hidden="1">
              <a:extLst>
                <a:ext uri="{63B3BB69-23CF-44E3-9099-C40C66FF867C}">
                  <a14:compatExt spid="_x0000_s673860"/>
                </a:ext>
                <a:ext uri="{FF2B5EF4-FFF2-40B4-BE49-F238E27FC236}">
                  <a16:creationId xmlns:a16="http://schemas.microsoft.com/office/drawing/2014/main" id="{00000000-0008-0000-0100-000044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7</xdr:col>
          <xdr:colOff>876300</xdr:colOff>
          <xdr:row>44</xdr:row>
          <xdr:rowOff>203200</xdr:rowOff>
        </xdr:to>
        <xdr:sp macro="" textlink="">
          <xdr:nvSpPr>
            <xdr:cNvPr id="673861" name="Drop Down 69" hidden="1">
              <a:extLst>
                <a:ext uri="{63B3BB69-23CF-44E3-9099-C40C66FF867C}">
                  <a14:compatExt spid="_x0000_s673861"/>
                </a:ext>
                <a:ext uri="{FF2B5EF4-FFF2-40B4-BE49-F238E27FC236}">
                  <a16:creationId xmlns:a16="http://schemas.microsoft.com/office/drawing/2014/main" id="{00000000-0008-0000-0100-00004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7</xdr:col>
          <xdr:colOff>876300</xdr:colOff>
          <xdr:row>45</xdr:row>
          <xdr:rowOff>203200</xdr:rowOff>
        </xdr:to>
        <xdr:sp macro="" textlink="">
          <xdr:nvSpPr>
            <xdr:cNvPr id="673862" name="Drop Down 70" hidden="1">
              <a:extLst>
                <a:ext uri="{63B3BB69-23CF-44E3-9099-C40C66FF867C}">
                  <a14:compatExt spid="_x0000_s673862"/>
                </a:ext>
                <a:ext uri="{FF2B5EF4-FFF2-40B4-BE49-F238E27FC236}">
                  <a16:creationId xmlns:a16="http://schemas.microsoft.com/office/drawing/2014/main" id="{00000000-0008-0000-0100-00004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876300</xdr:colOff>
          <xdr:row>46</xdr:row>
          <xdr:rowOff>203200</xdr:rowOff>
        </xdr:to>
        <xdr:sp macro="" textlink="">
          <xdr:nvSpPr>
            <xdr:cNvPr id="673863" name="Drop Down 71" hidden="1">
              <a:extLst>
                <a:ext uri="{63B3BB69-23CF-44E3-9099-C40C66FF867C}">
                  <a14:compatExt spid="_x0000_s673863"/>
                </a:ext>
                <a:ext uri="{FF2B5EF4-FFF2-40B4-BE49-F238E27FC236}">
                  <a16:creationId xmlns:a16="http://schemas.microsoft.com/office/drawing/2014/main" id="{00000000-0008-0000-0100-00004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7</xdr:col>
          <xdr:colOff>876300</xdr:colOff>
          <xdr:row>51</xdr:row>
          <xdr:rowOff>203200</xdr:rowOff>
        </xdr:to>
        <xdr:sp macro="" textlink="">
          <xdr:nvSpPr>
            <xdr:cNvPr id="673865" name="Drop Down 73" hidden="1">
              <a:extLst>
                <a:ext uri="{63B3BB69-23CF-44E3-9099-C40C66FF867C}">
                  <a14:compatExt spid="_x0000_s673865"/>
                </a:ext>
                <a:ext uri="{FF2B5EF4-FFF2-40B4-BE49-F238E27FC236}">
                  <a16:creationId xmlns:a16="http://schemas.microsoft.com/office/drawing/2014/main" id="{00000000-0008-0000-0100-000049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7</xdr:col>
          <xdr:colOff>876300</xdr:colOff>
          <xdr:row>52</xdr:row>
          <xdr:rowOff>203200</xdr:rowOff>
        </xdr:to>
        <xdr:sp macro="" textlink="">
          <xdr:nvSpPr>
            <xdr:cNvPr id="673866" name="Drop Down 74" hidden="1">
              <a:extLst>
                <a:ext uri="{63B3BB69-23CF-44E3-9099-C40C66FF867C}">
                  <a14:compatExt spid="_x0000_s673866"/>
                </a:ext>
                <a:ext uri="{FF2B5EF4-FFF2-40B4-BE49-F238E27FC236}">
                  <a16:creationId xmlns:a16="http://schemas.microsoft.com/office/drawing/2014/main" id="{00000000-0008-0000-0100-00004A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7</xdr:col>
          <xdr:colOff>876300</xdr:colOff>
          <xdr:row>53</xdr:row>
          <xdr:rowOff>203200</xdr:rowOff>
        </xdr:to>
        <xdr:sp macro="" textlink="">
          <xdr:nvSpPr>
            <xdr:cNvPr id="673867" name="Drop Down 75" hidden="1">
              <a:extLst>
                <a:ext uri="{63B3BB69-23CF-44E3-9099-C40C66FF867C}">
                  <a14:compatExt spid="_x0000_s673867"/>
                </a:ext>
                <a:ext uri="{FF2B5EF4-FFF2-40B4-BE49-F238E27FC236}">
                  <a16:creationId xmlns:a16="http://schemas.microsoft.com/office/drawing/2014/main" id="{00000000-0008-0000-0100-00004B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7</xdr:col>
          <xdr:colOff>876300</xdr:colOff>
          <xdr:row>54</xdr:row>
          <xdr:rowOff>203200</xdr:rowOff>
        </xdr:to>
        <xdr:sp macro="" textlink="">
          <xdr:nvSpPr>
            <xdr:cNvPr id="673868" name="Drop Down 76" hidden="1">
              <a:extLst>
                <a:ext uri="{63B3BB69-23CF-44E3-9099-C40C66FF867C}">
                  <a14:compatExt spid="_x0000_s673868"/>
                </a:ext>
                <a:ext uri="{FF2B5EF4-FFF2-40B4-BE49-F238E27FC236}">
                  <a16:creationId xmlns:a16="http://schemas.microsoft.com/office/drawing/2014/main" id="{00000000-0008-0000-0100-00004C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7</xdr:col>
          <xdr:colOff>876300</xdr:colOff>
          <xdr:row>55</xdr:row>
          <xdr:rowOff>203200</xdr:rowOff>
        </xdr:to>
        <xdr:sp macro="" textlink="">
          <xdr:nvSpPr>
            <xdr:cNvPr id="673869" name="Drop Down 77" hidden="1">
              <a:extLst>
                <a:ext uri="{63B3BB69-23CF-44E3-9099-C40C66FF867C}">
                  <a14:compatExt spid="_x0000_s673869"/>
                </a:ext>
                <a:ext uri="{FF2B5EF4-FFF2-40B4-BE49-F238E27FC236}">
                  <a16:creationId xmlns:a16="http://schemas.microsoft.com/office/drawing/2014/main" id="{00000000-0008-0000-0100-00004D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7</xdr:col>
          <xdr:colOff>876300</xdr:colOff>
          <xdr:row>56</xdr:row>
          <xdr:rowOff>203200</xdr:rowOff>
        </xdr:to>
        <xdr:sp macro="" textlink="">
          <xdr:nvSpPr>
            <xdr:cNvPr id="673870" name="Drop Down 78" hidden="1">
              <a:extLst>
                <a:ext uri="{63B3BB69-23CF-44E3-9099-C40C66FF867C}">
                  <a14:compatExt spid="_x0000_s673870"/>
                </a:ext>
                <a:ext uri="{FF2B5EF4-FFF2-40B4-BE49-F238E27FC236}">
                  <a16:creationId xmlns:a16="http://schemas.microsoft.com/office/drawing/2014/main" id="{00000000-0008-0000-0100-00004E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7</xdr:col>
          <xdr:colOff>876300</xdr:colOff>
          <xdr:row>57</xdr:row>
          <xdr:rowOff>203200</xdr:rowOff>
        </xdr:to>
        <xdr:sp macro="" textlink="">
          <xdr:nvSpPr>
            <xdr:cNvPr id="673871" name="Drop Down 79" hidden="1">
              <a:extLst>
                <a:ext uri="{63B3BB69-23CF-44E3-9099-C40C66FF867C}">
                  <a14:compatExt spid="_x0000_s673871"/>
                </a:ext>
                <a:ext uri="{FF2B5EF4-FFF2-40B4-BE49-F238E27FC236}">
                  <a16:creationId xmlns:a16="http://schemas.microsoft.com/office/drawing/2014/main" id="{00000000-0008-0000-0100-00004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0</xdr:rowOff>
        </xdr:from>
        <xdr:to>
          <xdr:col>7</xdr:col>
          <xdr:colOff>876300</xdr:colOff>
          <xdr:row>59</xdr:row>
          <xdr:rowOff>203200</xdr:rowOff>
        </xdr:to>
        <xdr:sp macro="" textlink="">
          <xdr:nvSpPr>
            <xdr:cNvPr id="673872" name="Drop Down 80" hidden="1">
              <a:extLst>
                <a:ext uri="{63B3BB69-23CF-44E3-9099-C40C66FF867C}">
                  <a14:compatExt spid="_x0000_s673872"/>
                </a:ext>
                <a:ext uri="{FF2B5EF4-FFF2-40B4-BE49-F238E27FC236}">
                  <a16:creationId xmlns:a16="http://schemas.microsoft.com/office/drawing/2014/main" id="{00000000-0008-0000-0100-00005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60</xdr:row>
          <xdr:rowOff>0</xdr:rowOff>
        </xdr:from>
        <xdr:to>
          <xdr:col>7</xdr:col>
          <xdr:colOff>876300</xdr:colOff>
          <xdr:row>60</xdr:row>
          <xdr:rowOff>203200</xdr:rowOff>
        </xdr:to>
        <xdr:sp macro="" textlink="">
          <xdr:nvSpPr>
            <xdr:cNvPr id="673873" name="Drop Down 81" hidden="1">
              <a:extLst>
                <a:ext uri="{63B3BB69-23CF-44E3-9099-C40C66FF867C}">
                  <a14:compatExt spid="_x0000_s673873"/>
                </a:ext>
                <a:ext uri="{FF2B5EF4-FFF2-40B4-BE49-F238E27FC236}">
                  <a16:creationId xmlns:a16="http://schemas.microsoft.com/office/drawing/2014/main" id="{00000000-0008-0000-0100-00005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61</xdr:row>
          <xdr:rowOff>0</xdr:rowOff>
        </xdr:from>
        <xdr:to>
          <xdr:col>7</xdr:col>
          <xdr:colOff>876300</xdr:colOff>
          <xdr:row>61</xdr:row>
          <xdr:rowOff>203200</xdr:rowOff>
        </xdr:to>
        <xdr:sp macro="" textlink="">
          <xdr:nvSpPr>
            <xdr:cNvPr id="673874" name="Drop Down 82" hidden="1">
              <a:extLst>
                <a:ext uri="{63B3BB69-23CF-44E3-9099-C40C66FF867C}">
                  <a14:compatExt spid="_x0000_s673874"/>
                </a:ext>
                <a:ext uri="{FF2B5EF4-FFF2-40B4-BE49-F238E27FC236}">
                  <a16:creationId xmlns:a16="http://schemas.microsoft.com/office/drawing/2014/main" id="{00000000-0008-0000-0100-00005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876300</xdr:colOff>
          <xdr:row>47</xdr:row>
          <xdr:rowOff>203200</xdr:rowOff>
        </xdr:to>
        <xdr:sp macro="" textlink="">
          <xdr:nvSpPr>
            <xdr:cNvPr id="673877" name="Drop Down 85" hidden="1">
              <a:extLst>
                <a:ext uri="{63B3BB69-23CF-44E3-9099-C40C66FF867C}">
                  <a14:compatExt spid="_x0000_s673877"/>
                </a:ext>
                <a:ext uri="{FF2B5EF4-FFF2-40B4-BE49-F238E27FC236}">
                  <a16:creationId xmlns:a16="http://schemas.microsoft.com/office/drawing/2014/main" id="{00000000-0008-0000-0100-00005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7</xdr:col>
          <xdr:colOff>876300</xdr:colOff>
          <xdr:row>42</xdr:row>
          <xdr:rowOff>203200</xdr:rowOff>
        </xdr:to>
        <xdr:sp macro="" textlink="">
          <xdr:nvSpPr>
            <xdr:cNvPr id="673878" name="Drop Down 86" hidden="1">
              <a:extLst>
                <a:ext uri="{63B3BB69-23CF-44E3-9099-C40C66FF867C}">
                  <a14:compatExt spid="_x0000_s673878"/>
                </a:ext>
                <a:ext uri="{FF2B5EF4-FFF2-40B4-BE49-F238E27FC236}">
                  <a16:creationId xmlns:a16="http://schemas.microsoft.com/office/drawing/2014/main" id="{00000000-0008-0000-0100-00005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7</xdr:col>
          <xdr:colOff>876300</xdr:colOff>
          <xdr:row>43</xdr:row>
          <xdr:rowOff>203200</xdr:rowOff>
        </xdr:to>
        <xdr:sp macro="" textlink="">
          <xdr:nvSpPr>
            <xdr:cNvPr id="673879" name="Drop Down 87" hidden="1">
              <a:extLst>
                <a:ext uri="{63B3BB69-23CF-44E3-9099-C40C66FF867C}">
                  <a14:compatExt spid="_x0000_s673879"/>
                </a:ext>
                <a:ext uri="{FF2B5EF4-FFF2-40B4-BE49-F238E27FC236}">
                  <a16:creationId xmlns:a16="http://schemas.microsoft.com/office/drawing/2014/main" id="{00000000-0008-0000-0100-00005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1168400</xdr:colOff>
          <xdr:row>48</xdr:row>
          <xdr:rowOff>12700</xdr:rowOff>
        </xdr:from>
        <xdr:to>
          <xdr:col>6</xdr:col>
          <xdr:colOff>635000</xdr:colOff>
          <xdr:row>49</xdr:row>
          <xdr:rowOff>0</xdr:rowOff>
        </xdr:to>
        <xdr:sp macro="" textlink="">
          <xdr:nvSpPr>
            <xdr:cNvPr id="674328" name="Drop Down 536" hidden="1">
              <a:extLst>
                <a:ext uri="{63B3BB69-23CF-44E3-9099-C40C66FF867C}">
                  <a14:compatExt spid="_x0000_s674328"/>
                </a:ext>
                <a:ext uri="{FF2B5EF4-FFF2-40B4-BE49-F238E27FC236}">
                  <a16:creationId xmlns:a16="http://schemas.microsoft.com/office/drawing/2014/main" id="{00000000-0008-0000-0100-000018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1168400</xdr:colOff>
          <xdr:row>49</xdr:row>
          <xdr:rowOff>0</xdr:rowOff>
        </xdr:from>
        <xdr:to>
          <xdr:col>6</xdr:col>
          <xdr:colOff>635000</xdr:colOff>
          <xdr:row>49</xdr:row>
          <xdr:rowOff>203200</xdr:rowOff>
        </xdr:to>
        <xdr:sp macro="" textlink="">
          <xdr:nvSpPr>
            <xdr:cNvPr id="674330" name="Drop Down 538" hidden="1">
              <a:extLst>
                <a:ext uri="{63B3BB69-23CF-44E3-9099-C40C66FF867C}">
                  <a14:compatExt spid="_x0000_s674330"/>
                </a:ext>
                <a:ext uri="{FF2B5EF4-FFF2-40B4-BE49-F238E27FC236}">
                  <a16:creationId xmlns:a16="http://schemas.microsoft.com/office/drawing/2014/main" id="{00000000-0008-0000-0100-00001A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188260</xdr:colOff>
          <xdr:row>1</xdr:row>
          <xdr:rowOff>2526</xdr:rowOff>
        </xdr:from>
        <xdr:to>
          <xdr:col>8</xdr:col>
          <xdr:colOff>837417</xdr:colOff>
          <xdr:row>32</xdr:row>
          <xdr:rowOff>64158</xdr:rowOff>
        </xdr:to>
        <xdr:pic>
          <xdr:nvPicPr>
            <xdr:cNvPr id="78" name="Picture 77">
              <a:extLst>
                <a:ext uri="{FF2B5EF4-FFF2-40B4-BE49-F238E27FC236}">
                  <a16:creationId xmlns:a16="http://schemas.microsoft.com/office/drawing/2014/main" id="{00000000-0008-0000-0100-00004E000000}"/>
                </a:ext>
              </a:extLst>
            </xdr:cNvPr>
            <xdr:cNvPicPr>
              <a:picLocks noChangeAspect="1"/>
              <a:extLst>
                <a:ext uri="{84589F7E-364E-4C9E-8A38-B11213B215E9}">
                  <a14:cameraTool cellRange="PICTURE10" spid="_x0000_s674726"/>
                </a:ext>
              </a:extLst>
            </xdr:cNvPicPr>
          </xdr:nvPicPr>
          <xdr:blipFill>
            <a:blip xmlns:r="http://schemas.openxmlformats.org/officeDocument/2006/relationships" r:embed="rId1"/>
            <a:stretch>
              <a:fillRect/>
            </a:stretch>
          </xdr:blipFill>
          <xdr:spPr>
            <a:xfrm>
              <a:off x="188260" y="172855"/>
              <a:ext cx="9111839" cy="5341844"/>
            </a:xfrm>
            <a:prstGeom prst="rect">
              <a:avLst/>
            </a:prstGeom>
          </xdr:spPr>
        </xdr:pic>
        <xdr:clientData/>
      </xdr:twoCellAnchor>
    </mc:Choice>
    <mc:Fallback/>
  </mc:AlternateContent>
  <xdr:twoCellAnchor>
    <xdr:from>
      <xdr:col>0</xdr:col>
      <xdr:colOff>376811</xdr:colOff>
      <xdr:row>10</xdr:row>
      <xdr:rowOff>79265</xdr:rowOff>
    </xdr:from>
    <xdr:to>
      <xdr:col>1</xdr:col>
      <xdr:colOff>60013</xdr:colOff>
      <xdr:row>11</xdr:row>
      <xdr:rowOff>140986</xdr:rowOff>
    </xdr:to>
    <xdr:sp macro="" textlink="">
      <xdr:nvSpPr>
        <xdr:cNvPr id="79" name="Text Box 224">
          <a:extLst>
            <a:ext uri="{FF2B5EF4-FFF2-40B4-BE49-F238E27FC236}">
              <a16:creationId xmlns:a16="http://schemas.microsoft.com/office/drawing/2014/main" id="{00000000-0008-0000-0100-00004F000000}"/>
            </a:ext>
          </a:extLst>
        </xdr:cNvPr>
        <xdr:cNvSpPr txBox="1">
          <a:spLocks noChangeArrowheads="1"/>
        </xdr:cNvSpPr>
      </xdr:nvSpPr>
      <xdr:spPr bwMode="auto">
        <a:xfrm>
          <a:off x="376811" y="1782559"/>
          <a:ext cx="274873" cy="23205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1</xdr:col>
      <xdr:colOff>575880</xdr:colOff>
      <xdr:row>7</xdr:row>
      <xdr:rowOff>102794</xdr:rowOff>
    </xdr:from>
    <xdr:to>
      <xdr:col>1</xdr:col>
      <xdr:colOff>944395</xdr:colOff>
      <xdr:row>8</xdr:row>
      <xdr:rowOff>142124</xdr:rowOff>
    </xdr:to>
    <xdr:sp macro="" textlink="">
      <xdr:nvSpPr>
        <xdr:cNvPr id="80" name="Text Box 225">
          <a:extLst>
            <a:ext uri="{FF2B5EF4-FFF2-40B4-BE49-F238E27FC236}">
              <a16:creationId xmlns:a16="http://schemas.microsoft.com/office/drawing/2014/main" id="{00000000-0008-0000-0100-000050000000}"/>
            </a:ext>
          </a:extLst>
        </xdr:cNvPr>
        <xdr:cNvSpPr txBox="1">
          <a:spLocks noChangeArrowheads="1"/>
        </xdr:cNvSpPr>
      </xdr:nvSpPr>
      <xdr:spPr bwMode="auto">
        <a:xfrm>
          <a:off x="1167551" y="1295100"/>
          <a:ext cx="368515" cy="20965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0</xdr:col>
      <xdr:colOff>412578</xdr:colOff>
      <xdr:row>7</xdr:row>
      <xdr:rowOff>66616</xdr:rowOff>
    </xdr:from>
    <xdr:to>
      <xdr:col>1</xdr:col>
      <xdr:colOff>99261</xdr:colOff>
      <xdr:row>8</xdr:row>
      <xdr:rowOff>146060</xdr:rowOff>
    </xdr:to>
    <xdr:sp macro="" textlink="">
      <xdr:nvSpPr>
        <xdr:cNvPr id="81" name="Text Box 227">
          <a:extLst>
            <a:ext uri="{FF2B5EF4-FFF2-40B4-BE49-F238E27FC236}">
              <a16:creationId xmlns:a16="http://schemas.microsoft.com/office/drawing/2014/main" id="{00000000-0008-0000-0100-000051000000}"/>
            </a:ext>
          </a:extLst>
        </xdr:cNvPr>
        <xdr:cNvSpPr txBox="1">
          <a:spLocks noChangeArrowheads="1"/>
        </xdr:cNvSpPr>
      </xdr:nvSpPr>
      <xdr:spPr bwMode="auto">
        <a:xfrm>
          <a:off x="412578" y="1258922"/>
          <a:ext cx="278354" cy="24977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210753</xdr:colOff>
      <xdr:row>17</xdr:row>
      <xdr:rowOff>135665</xdr:rowOff>
    </xdr:from>
    <xdr:to>
      <xdr:col>8</xdr:col>
      <xdr:colOff>632542</xdr:colOff>
      <xdr:row>19</xdr:row>
      <xdr:rowOff>23142</xdr:rowOff>
    </xdr:to>
    <xdr:sp macro="" textlink="">
      <xdr:nvSpPr>
        <xdr:cNvPr id="82" name="Text Box 228">
          <a:extLst>
            <a:ext uri="{FF2B5EF4-FFF2-40B4-BE49-F238E27FC236}">
              <a16:creationId xmlns:a16="http://schemas.microsoft.com/office/drawing/2014/main" id="{00000000-0008-0000-0100-000052000000}"/>
            </a:ext>
          </a:extLst>
        </xdr:cNvPr>
        <xdr:cNvSpPr txBox="1">
          <a:spLocks noChangeArrowheads="1"/>
        </xdr:cNvSpPr>
      </xdr:nvSpPr>
      <xdr:spPr bwMode="auto">
        <a:xfrm>
          <a:off x="8673435" y="3031265"/>
          <a:ext cx="421789" cy="22813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5</xdr:col>
      <xdr:colOff>21151</xdr:colOff>
      <xdr:row>28</xdr:row>
      <xdr:rowOff>3163</xdr:rowOff>
    </xdr:from>
    <xdr:to>
      <xdr:col>5</xdr:col>
      <xdr:colOff>511615</xdr:colOff>
      <xdr:row>29</xdr:row>
      <xdr:rowOff>105010</xdr:rowOff>
    </xdr:to>
    <xdr:sp macro="" textlink="">
      <xdr:nvSpPr>
        <xdr:cNvPr id="83" name="Text Box 231">
          <a:extLst>
            <a:ext uri="{FF2B5EF4-FFF2-40B4-BE49-F238E27FC236}">
              <a16:creationId xmlns:a16="http://schemas.microsoft.com/office/drawing/2014/main" id="{00000000-0008-0000-0100-000053000000}"/>
            </a:ext>
          </a:extLst>
        </xdr:cNvPr>
        <xdr:cNvSpPr txBox="1">
          <a:spLocks noChangeArrowheads="1"/>
        </xdr:cNvSpPr>
      </xdr:nvSpPr>
      <xdr:spPr bwMode="auto">
        <a:xfrm>
          <a:off x="5310327" y="4772387"/>
          <a:ext cx="490464" cy="27217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7</xdr:col>
      <xdr:colOff>391320</xdr:colOff>
      <xdr:row>12</xdr:row>
      <xdr:rowOff>9344</xdr:rowOff>
    </xdr:from>
    <xdr:to>
      <xdr:col>7</xdr:col>
      <xdr:colOff>736391</xdr:colOff>
      <xdr:row>13</xdr:row>
      <xdr:rowOff>123561</xdr:rowOff>
    </xdr:to>
    <xdr:sp macro="" textlink="">
      <xdr:nvSpPr>
        <xdr:cNvPr id="84" name="Text Box 235">
          <a:extLst>
            <a:ext uri="{FF2B5EF4-FFF2-40B4-BE49-F238E27FC236}">
              <a16:creationId xmlns:a16="http://schemas.microsoft.com/office/drawing/2014/main" id="{00000000-0008-0000-0100-000054000000}"/>
            </a:ext>
          </a:extLst>
        </xdr:cNvPr>
        <xdr:cNvSpPr txBox="1">
          <a:spLocks noChangeArrowheads="1"/>
        </xdr:cNvSpPr>
      </xdr:nvSpPr>
      <xdr:spPr bwMode="auto">
        <a:xfrm>
          <a:off x="7751344" y="2053297"/>
          <a:ext cx="345071" cy="28454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a:t>
          </a:r>
        </a:p>
      </xdr:txBody>
    </xdr:sp>
    <xdr:clientData/>
  </xdr:twoCellAnchor>
  <xdr:twoCellAnchor>
    <xdr:from>
      <xdr:col>7</xdr:col>
      <xdr:colOff>261131</xdr:colOff>
      <xdr:row>17</xdr:row>
      <xdr:rowOff>168352</xdr:rowOff>
    </xdr:from>
    <xdr:to>
      <xdr:col>7</xdr:col>
      <xdr:colOff>586897</xdr:colOff>
      <xdr:row>19</xdr:row>
      <xdr:rowOff>55029</xdr:rowOff>
    </xdr:to>
    <xdr:sp macro="" textlink="">
      <xdr:nvSpPr>
        <xdr:cNvPr id="85" name="Text Box 244">
          <a:extLst>
            <a:ext uri="{FF2B5EF4-FFF2-40B4-BE49-F238E27FC236}">
              <a16:creationId xmlns:a16="http://schemas.microsoft.com/office/drawing/2014/main" id="{00000000-0008-0000-0100-000055000000}"/>
            </a:ext>
          </a:extLst>
        </xdr:cNvPr>
        <xdr:cNvSpPr txBox="1">
          <a:spLocks noChangeArrowheads="1"/>
        </xdr:cNvSpPr>
      </xdr:nvSpPr>
      <xdr:spPr bwMode="auto">
        <a:xfrm>
          <a:off x="7621155" y="3063952"/>
          <a:ext cx="325766" cy="22733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5</xdr:col>
      <xdr:colOff>1135040</xdr:colOff>
      <xdr:row>24</xdr:row>
      <xdr:rowOff>92838</xdr:rowOff>
    </xdr:from>
    <xdr:to>
      <xdr:col>6</xdr:col>
      <xdr:colOff>99298</xdr:colOff>
      <xdr:row>25</xdr:row>
      <xdr:rowOff>154190</xdr:rowOff>
    </xdr:to>
    <xdr:sp macro="" textlink="">
      <xdr:nvSpPr>
        <xdr:cNvPr id="86" name="Text Box 249">
          <a:extLst>
            <a:ext uri="{FF2B5EF4-FFF2-40B4-BE49-F238E27FC236}">
              <a16:creationId xmlns:a16="http://schemas.microsoft.com/office/drawing/2014/main" id="{00000000-0008-0000-0100-000056000000}"/>
            </a:ext>
          </a:extLst>
        </xdr:cNvPr>
        <xdr:cNvSpPr txBox="1">
          <a:spLocks noChangeArrowheads="1"/>
        </xdr:cNvSpPr>
      </xdr:nvSpPr>
      <xdr:spPr bwMode="auto">
        <a:xfrm>
          <a:off x="6424216" y="4180744"/>
          <a:ext cx="371717" cy="23168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2</xdr:col>
      <xdr:colOff>688312</xdr:colOff>
      <xdr:row>10</xdr:row>
      <xdr:rowOff>15192</xdr:rowOff>
    </xdr:from>
    <xdr:to>
      <xdr:col>2</xdr:col>
      <xdr:colOff>1013086</xdr:colOff>
      <xdr:row>11</xdr:row>
      <xdr:rowOff>128826</xdr:rowOff>
    </xdr:to>
    <xdr:sp macro="" textlink="">
      <xdr:nvSpPr>
        <xdr:cNvPr id="87" name="Text Box 251">
          <a:extLst>
            <a:ext uri="{FF2B5EF4-FFF2-40B4-BE49-F238E27FC236}">
              <a16:creationId xmlns:a16="http://schemas.microsoft.com/office/drawing/2014/main" id="{00000000-0008-0000-0100-000057000000}"/>
            </a:ext>
          </a:extLst>
        </xdr:cNvPr>
        <xdr:cNvSpPr txBox="1">
          <a:spLocks noChangeArrowheads="1"/>
        </xdr:cNvSpPr>
      </xdr:nvSpPr>
      <xdr:spPr bwMode="auto">
        <a:xfrm>
          <a:off x="2301959" y="1718486"/>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2</xdr:col>
      <xdr:colOff>259715</xdr:colOff>
      <xdr:row>24</xdr:row>
      <xdr:rowOff>117966</xdr:rowOff>
    </xdr:from>
    <xdr:to>
      <xdr:col>2</xdr:col>
      <xdr:colOff>639595</xdr:colOff>
      <xdr:row>24</xdr:row>
      <xdr:rowOff>117966</xdr:rowOff>
    </xdr:to>
    <xdr:sp macro="" textlink="">
      <xdr:nvSpPr>
        <xdr:cNvPr id="88" name="Text Box 252">
          <a:extLst>
            <a:ext uri="{FF2B5EF4-FFF2-40B4-BE49-F238E27FC236}">
              <a16:creationId xmlns:a16="http://schemas.microsoft.com/office/drawing/2014/main" id="{00000000-0008-0000-0100-000058000000}"/>
            </a:ext>
          </a:extLst>
        </xdr:cNvPr>
        <xdr:cNvSpPr txBox="1">
          <a:spLocks noChangeArrowheads="1"/>
        </xdr:cNvSpPr>
      </xdr:nvSpPr>
      <xdr:spPr bwMode="auto">
        <a:xfrm>
          <a:off x="1873362" y="4205872"/>
          <a:ext cx="37988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1</xdr:col>
      <xdr:colOff>107308</xdr:colOff>
      <xdr:row>16</xdr:row>
      <xdr:rowOff>99939</xdr:rowOff>
    </xdr:from>
    <xdr:to>
      <xdr:col>1</xdr:col>
      <xdr:colOff>502297</xdr:colOff>
      <xdr:row>17</xdr:row>
      <xdr:rowOff>158578</xdr:rowOff>
    </xdr:to>
    <xdr:sp macro="" textlink="">
      <xdr:nvSpPr>
        <xdr:cNvPr id="89" name="Text Box 255">
          <a:extLst>
            <a:ext uri="{FF2B5EF4-FFF2-40B4-BE49-F238E27FC236}">
              <a16:creationId xmlns:a16="http://schemas.microsoft.com/office/drawing/2014/main" id="{00000000-0008-0000-0100-000059000000}"/>
            </a:ext>
          </a:extLst>
        </xdr:cNvPr>
        <xdr:cNvSpPr txBox="1">
          <a:spLocks noChangeArrowheads="1"/>
        </xdr:cNvSpPr>
      </xdr:nvSpPr>
      <xdr:spPr bwMode="auto">
        <a:xfrm>
          <a:off x="698979" y="2825210"/>
          <a:ext cx="394989" cy="22896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1</xdr:col>
      <xdr:colOff>694827</xdr:colOff>
      <xdr:row>15</xdr:row>
      <xdr:rowOff>10221</xdr:rowOff>
    </xdr:from>
    <xdr:to>
      <xdr:col>1</xdr:col>
      <xdr:colOff>962983</xdr:colOff>
      <xdr:row>16</xdr:row>
      <xdr:rowOff>61831</xdr:rowOff>
    </xdr:to>
    <xdr:sp macro="" textlink="">
      <xdr:nvSpPr>
        <xdr:cNvPr id="90" name="Text Box 256">
          <a:extLst>
            <a:ext uri="{FF2B5EF4-FFF2-40B4-BE49-F238E27FC236}">
              <a16:creationId xmlns:a16="http://schemas.microsoft.com/office/drawing/2014/main" id="{00000000-0008-0000-0100-00005A000000}"/>
            </a:ext>
          </a:extLst>
        </xdr:cNvPr>
        <xdr:cNvSpPr txBox="1">
          <a:spLocks noChangeArrowheads="1"/>
        </xdr:cNvSpPr>
      </xdr:nvSpPr>
      <xdr:spPr bwMode="auto">
        <a:xfrm>
          <a:off x="1286498" y="2565162"/>
          <a:ext cx="268156" cy="221940"/>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2</xdr:col>
      <xdr:colOff>129684</xdr:colOff>
      <xdr:row>10</xdr:row>
      <xdr:rowOff>76931</xdr:rowOff>
    </xdr:from>
    <xdr:to>
      <xdr:col>2</xdr:col>
      <xdr:colOff>444733</xdr:colOff>
      <xdr:row>11</xdr:row>
      <xdr:rowOff>149972</xdr:rowOff>
    </xdr:to>
    <xdr:sp macro="" textlink="">
      <xdr:nvSpPr>
        <xdr:cNvPr id="91" name="Text Box 257">
          <a:extLst>
            <a:ext uri="{FF2B5EF4-FFF2-40B4-BE49-F238E27FC236}">
              <a16:creationId xmlns:a16="http://schemas.microsoft.com/office/drawing/2014/main" id="{00000000-0008-0000-0100-00005B000000}"/>
            </a:ext>
          </a:extLst>
        </xdr:cNvPr>
        <xdr:cNvSpPr txBox="1">
          <a:spLocks noChangeArrowheads="1"/>
        </xdr:cNvSpPr>
      </xdr:nvSpPr>
      <xdr:spPr bwMode="auto">
        <a:xfrm>
          <a:off x="1743331" y="1780225"/>
          <a:ext cx="315049" cy="2433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708026</xdr:colOff>
      <xdr:row>10</xdr:row>
      <xdr:rowOff>57990</xdr:rowOff>
    </xdr:from>
    <xdr:to>
      <xdr:col>2</xdr:col>
      <xdr:colOff>25513</xdr:colOff>
      <xdr:row>11</xdr:row>
      <xdr:rowOff>137167</xdr:rowOff>
    </xdr:to>
    <xdr:sp macro="" textlink="">
      <xdr:nvSpPr>
        <xdr:cNvPr id="92" name="Text Box 258">
          <a:extLst>
            <a:ext uri="{FF2B5EF4-FFF2-40B4-BE49-F238E27FC236}">
              <a16:creationId xmlns:a16="http://schemas.microsoft.com/office/drawing/2014/main" id="{00000000-0008-0000-0100-00005C000000}"/>
            </a:ext>
          </a:extLst>
        </xdr:cNvPr>
        <xdr:cNvSpPr txBox="1">
          <a:spLocks noChangeArrowheads="1"/>
        </xdr:cNvSpPr>
      </xdr:nvSpPr>
      <xdr:spPr bwMode="auto">
        <a:xfrm>
          <a:off x="1299697" y="1761284"/>
          <a:ext cx="339463" cy="24950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5</xdr:col>
      <xdr:colOff>1128604</xdr:colOff>
      <xdr:row>25</xdr:row>
      <xdr:rowOff>156815</xdr:rowOff>
    </xdr:from>
    <xdr:to>
      <xdr:col>6</xdr:col>
      <xdr:colOff>138095</xdr:colOff>
      <xdr:row>27</xdr:row>
      <xdr:rowOff>84729</xdr:rowOff>
    </xdr:to>
    <xdr:sp macro="" textlink="">
      <xdr:nvSpPr>
        <xdr:cNvPr id="93" name="Text Box 260">
          <a:extLst>
            <a:ext uri="{FF2B5EF4-FFF2-40B4-BE49-F238E27FC236}">
              <a16:creationId xmlns:a16="http://schemas.microsoft.com/office/drawing/2014/main" id="{00000000-0008-0000-0100-00005D000000}"/>
            </a:ext>
          </a:extLst>
        </xdr:cNvPr>
        <xdr:cNvSpPr txBox="1">
          <a:spLocks noChangeArrowheads="1"/>
        </xdr:cNvSpPr>
      </xdr:nvSpPr>
      <xdr:spPr bwMode="auto">
        <a:xfrm>
          <a:off x="6417780" y="4415050"/>
          <a:ext cx="416950" cy="268573"/>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1</xdr:col>
      <xdr:colOff>998007</xdr:colOff>
      <xdr:row>11</xdr:row>
      <xdr:rowOff>86242</xdr:rowOff>
    </xdr:from>
    <xdr:to>
      <xdr:col>2</xdr:col>
      <xdr:colOff>491860</xdr:colOff>
      <xdr:row>12</xdr:row>
      <xdr:rowOff>158628</xdr:rowOff>
    </xdr:to>
    <xdr:sp macro="" textlink="'Variable Management'!B254">
      <xdr:nvSpPr>
        <xdr:cNvPr id="94" name="Text Box 261">
          <a:extLst>
            <a:ext uri="{FF2B5EF4-FFF2-40B4-BE49-F238E27FC236}">
              <a16:creationId xmlns:a16="http://schemas.microsoft.com/office/drawing/2014/main" id="{00000000-0008-0000-0100-00005E000000}"/>
            </a:ext>
          </a:extLst>
        </xdr:cNvPr>
        <xdr:cNvSpPr txBox="1">
          <a:spLocks noChangeArrowheads="1" noTextEdit="1"/>
        </xdr:cNvSpPr>
      </xdr:nvSpPr>
      <xdr:spPr bwMode="auto">
        <a:xfrm>
          <a:off x="1589678" y="1959866"/>
          <a:ext cx="515829" cy="242715"/>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4.7nF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138460</xdr:colOff>
      <xdr:row>15</xdr:row>
      <xdr:rowOff>10793</xdr:rowOff>
    </xdr:from>
    <xdr:to>
      <xdr:col>2</xdr:col>
      <xdr:colOff>610936</xdr:colOff>
      <xdr:row>16</xdr:row>
      <xdr:rowOff>64358</xdr:rowOff>
    </xdr:to>
    <xdr:sp macro="" textlink="'Variable Management'!B255">
      <xdr:nvSpPr>
        <xdr:cNvPr id="95" name="Text Box 262">
          <a:extLst>
            <a:ext uri="{FF2B5EF4-FFF2-40B4-BE49-F238E27FC236}">
              <a16:creationId xmlns:a16="http://schemas.microsoft.com/office/drawing/2014/main" id="{00000000-0008-0000-0100-00005F000000}"/>
            </a:ext>
          </a:extLst>
        </xdr:cNvPr>
        <xdr:cNvSpPr txBox="1">
          <a:spLocks noChangeArrowheads="1" noTextEdit="1"/>
        </xdr:cNvSpPr>
      </xdr:nvSpPr>
      <xdr:spPr bwMode="auto">
        <a:xfrm>
          <a:off x="1752107" y="2565734"/>
          <a:ext cx="472476" cy="223895"/>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82pF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567120</xdr:colOff>
      <xdr:row>11</xdr:row>
      <xdr:rowOff>105364</xdr:rowOff>
    </xdr:from>
    <xdr:to>
      <xdr:col>2</xdr:col>
      <xdr:colOff>85303</xdr:colOff>
      <xdr:row>12</xdr:row>
      <xdr:rowOff>166961</xdr:rowOff>
    </xdr:to>
    <xdr:sp macro="" textlink="'Variable Management'!B253">
      <xdr:nvSpPr>
        <xdr:cNvPr id="96" name="Text Box 263">
          <a:extLst>
            <a:ext uri="{FF2B5EF4-FFF2-40B4-BE49-F238E27FC236}">
              <a16:creationId xmlns:a16="http://schemas.microsoft.com/office/drawing/2014/main" id="{00000000-0008-0000-0100-000060000000}"/>
            </a:ext>
          </a:extLst>
        </xdr:cNvPr>
        <xdr:cNvSpPr txBox="1">
          <a:spLocks noChangeArrowheads="1" noTextEdit="1"/>
        </xdr:cNvSpPr>
      </xdr:nvSpPr>
      <xdr:spPr bwMode="auto">
        <a:xfrm>
          <a:off x="1158791" y="1978988"/>
          <a:ext cx="540159" cy="23192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16.5kΩ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389107</xdr:colOff>
      <xdr:row>18</xdr:row>
      <xdr:rowOff>3072</xdr:rowOff>
    </xdr:from>
    <xdr:to>
      <xdr:col>1</xdr:col>
      <xdr:colOff>408785</xdr:colOff>
      <xdr:row>19</xdr:row>
      <xdr:rowOff>70856</xdr:rowOff>
    </xdr:to>
    <xdr:sp macro="" textlink="'Variable Management'!B259">
      <xdr:nvSpPr>
        <xdr:cNvPr id="97" name="Text Box 264">
          <a:extLst>
            <a:ext uri="{FF2B5EF4-FFF2-40B4-BE49-F238E27FC236}">
              <a16:creationId xmlns:a16="http://schemas.microsoft.com/office/drawing/2014/main" id="{00000000-0008-0000-0100-000061000000}"/>
            </a:ext>
          </a:extLst>
        </xdr:cNvPr>
        <xdr:cNvSpPr txBox="1">
          <a:spLocks noChangeArrowheads="1" noTextEdit="1"/>
        </xdr:cNvSpPr>
      </xdr:nvSpPr>
      <xdr:spPr bwMode="auto">
        <a:xfrm>
          <a:off x="389107" y="3069001"/>
          <a:ext cx="611349" cy="238114"/>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4.22kΩ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270918</xdr:colOff>
      <xdr:row>8</xdr:row>
      <xdr:rowOff>108745</xdr:rowOff>
    </xdr:from>
    <xdr:to>
      <xdr:col>1</xdr:col>
      <xdr:colOff>93342</xdr:colOff>
      <xdr:row>10</xdr:row>
      <xdr:rowOff>40595</xdr:rowOff>
    </xdr:to>
    <xdr:sp macro="" textlink="'Variable Management'!B256">
      <xdr:nvSpPr>
        <xdr:cNvPr id="98" name="Text Box 265">
          <a:extLst>
            <a:ext uri="{FF2B5EF4-FFF2-40B4-BE49-F238E27FC236}">
              <a16:creationId xmlns:a16="http://schemas.microsoft.com/office/drawing/2014/main" id="{00000000-0008-0000-0100-000062000000}"/>
            </a:ext>
          </a:extLst>
        </xdr:cNvPr>
        <xdr:cNvSpPr txBox="1">
          <a:spLocks noChangeArrowheads="1" noTextEdit="1"/>
        </xdr:cNvSpPr>
      </xdr:nvSpPr>
      <xdr:spPr bwMode="auto">
        <a:xfrm>
          <a:off x="270918" y="1471380"/>
          <a:ext cx="414095" cy="272509"/>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316Ω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230831</xdr:colOff>
      <xdr:row>11</xdr:row>
      <xdr:rowOff>116103</xdr:rowOff>
    </xdr:from>
    <xdr:to>
      <xdr:col>1</xdr:col>
      <xdr:colOff>135623</xdr:colOff>
      <xdr:row>12</xdr:row>
      <xdr:rowOff>138919</xdr:rowOff>
    </xdr:to>
    <xdr:sp macro="" textlink="'Variable Management'!B257">
      <xdr:nvSpPr>
        <xdr:cNvPr id="99" name="Text Box 266">
          <a:extLst>
            <a:ext uri="{FF2B5EF4-FFF2-40B4-BE49-F238E27FC236}">
              <a16:creationId xmlns:a16="http://schemas.microsoft.com/office/drawing/2014/main" id="{00000000-0008-0000-0100-000063000000}"/>
            </a:ext>
          </a:extLst>
        </xdr:cNvPr>
        <xdr:cNvSpPr txBox="1">
          <a:spLocks noChangeArrowheads="1" noTextEdit="1"/>
        </xdr:cNvSpPr>
      </xdr:nvSpPr>
      <xdr:spPr bwMode="auto">
        <a:xfrm>
          <a:off x="230831" y="1989727"/>
          <a:ext cx="496463"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2700pF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126755</xdr:colOff>
      <xdr:row>19</xdr:row>
      <xdr:rowOff>36280</xdr:rowOff>
    </xdr:from>
    <xdr:to>
      <xdr:col>8</xdr:col>
      <xdr:colOff>816756</xdr:colOff>
      <xdr:row>20</xdr:row>
      <xdr:rowOff>112898</xdr:rowOff>
    </xdr:to>
    <xdr:sp macro="" textlink="'Variable Management'!E243">
      <xdr:nvSpPr>
        <xdr:cNvPr id="100" name="Text Box 267">
          <a:extLst>
            <a:ext uri="{FF2B5EF4-FFF2-40B4-BE49-F238E27FC236}">
              <a16:creationId xmlns:a16="http://schemas.microsoft.com/office/drawing/2014/main" id="{00000000-0008-0000-0100-000064000000}"/>
            </a:ext>
          </a:extLst>
        </xdr:cNvPr>
        <xdr:cNvSpPr txBox="1">
          <a:spLocks noChangeArrowheads="1" noTextEdit="1"/>
        </xdr:cNvSpPr>
      </xdr:nvSpPr>
      <xdr:spPr bwMode="auto">
        <a:xfrm>
          <a:off x="8589437" y="3272539"/>
          <a:ext cx="690001" cy="246947"/>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18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589975</xdr:colOff>
      <xdr:row>8</xdr:row>
      <xdr:rowOff>102276</xdr:rowOff>
    </xdr:from>
    <xdr:to>
      <xdr:col>2</xdr:col>
      <xdr:colOff>122040</xdr:colOff>
      <xdr:row>10</xdr:row>
      <xdr:rowOff>71162</xdr:rowOff>
    </xdr:to>
    <xdr:sp macro="" textlink="'Variable Management'!B258">
      <xdr:nvSpPr>
        <xdr:cNvPr id="101" name="Text Box 268">
          <a:extLst>
            <a:ext uri="{FF2B5EF4-FFF2-40B4-BE49-F238E27FC236}">
              <a16:creationId xmlns:a16="http://schemas.microsoft.com/office/drawing/2014/main" id="{00000000-0008-0000-0100-000065000000}"/>
            </a:ext>
          </a:extLst>
        </xdr:cNvPr>
        <xdr:cNvSpPr txBox="1">
          <a:spLocks noChangeArrowheads="1" noTextEdit="1"/>
        </xdr:cNvSpPr>
      </xdr:nvSpPr>
      <xdr:spPr bwMode="auto">
        <a:xfrm>
          <a:off x="1181646" y="1464911"/>
          <a:ext cx="554041" cy="309545"/>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22.1kΩ</a:t>
          </a:fld>
          <a:endParaRPr lang="el-GR" sz="1000" b="0" i="0" strike="noStrike">
            <a:solidFill>
              <a:srgbClr val="000000"/>
            </a:solidFill>
            <a:latin typeface="Arial" pitchFamily="34" charset="0"/>
            <a:cs typeface="Arial" pitchFamily="34" charset="0"/>
          </a:endParaRPr>
        </a:p>
      </xdr:txBody>
    </xdr:sp>
    <xdr:clientData/>
  </xdr:twoCellAnchor>
  <xdr:twoCellAnchor>
    <xdr:from>
      <xdr:col>5</xdr:col>
      <xdr:colOff>13758</xdr:colOff>
      <xdr:row>29</xdr:row>
      <xdr:rowOff>50650</xdr:rowOff>
    </xdr:from>
    <xdr:to>
      <xdr:col>5</xdr:col>
      <xdr:colOff>602357</xdr:colOff>
      <xdr:row>30</xdr:row>
      <xdr:rowOff>105786</xdr:rowOff>
    </xdr:to>
    <xdr:sp macro="" textlink="'Variable Management'!B268">
      <xdr:nvSpPr>
        <xdr:cNvPr id="102" name="Text Box 270">
          <a:extLst>
            <a:ext uri="{FF2B5EF4-FFF2-40B4-BE49-F238E27FC236}">
              <a16:creationId xmlns:a16="http://schemas.microsoft.com/office/drawing/2014/main" id="{00000000-0008-0000-0100-000066000000}"/>
            </a:ext>
          </a:extLst>
        </xdr:cNvPr>
        <xdr:cNvSpPr txBox="1">
          <a:spLocks noChangeArrowheads="1" noTextEdit="1"/>
        </xdr:cNvSpPr>
      </xdr:nvSpPr>
      <xdr:spPr bwMode="auto">
        <a:xfrm>
          <a:off x="5302934" y="4990203"/>
          <a:ext cx="588599"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536Ω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353153</xdr:colOff>
      <xdr:row>15</xdr:row>
      <xdr:rowOff>5103</xdr:rowOff>
    </xdr:from>
    <xdr:to>
      <xdr:col>7</xdr:col>
      <xdr:colOff>814933</xdr:colOff>
      <xdr:row>16</xdr:row>
      <xdr:rowOff>111822</xdr:rowOff>
    </xdr:to>
    <xdr:sp macro="" textlink="'Variable Management'!B238">
      <xdr:nvSpPr>
        <xdr:cNvPr id="103" name="Text Box 275">
          <a:extLst>
            <a:ext uri="{FF2B5EF4-FFF2-40B4-BE49-F238E27FC236}">
              <a16:creationId xmlns:a16="http://schemas.microsoft.com/office/drawing/2014/main" id="{00000000-0008-0000-0100-000067000000}"/>
            </a:ext>
          </a:extLst>
        </xdr:cNvPr>
        <xdr:cNvSpPr txBox="1">
          <a:spLocks noChangeArrowheads="1" noTextEdit="1"/>
        </xdr:cNvSpPr>
      </xdr:nvSpPr>
      <xdr:spPr bwMode="auto">
        <a:xfrm>
          <a:off x="7713177" y="2560044"/>
          <a:ext cx="461780" cy="277049"/>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3.3µH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215625</xdr:colOff>
      <xdr:row>19</xdr:row>
      <xdr:rowOff>29712</xdr:rowOff>
    </xdr:from>
    <xdr:to>
      <xdr:col>7</xdr:col>
      <xdr:colOff>853651</xdr:colOff>
      <xdr:row>20</xdr:row>
      <xdr:rowOff>97576</xdr:rowOff>
    </xdr:to>
    <xdr:sp macro="" textlink="'Variable Management'!E250">
      <xdr:nvSpPr>
        <xdr:cNvPr id="104" name="Text Box 276">
          <a:extLst>
            <a:ext uri="{FF2B5EF4-FFF2-40B4-BE49-F238E27FC236}">
              <a16:creationId xmlns:a16="http://schemas.microsoft.com/office/drawing/2014/main" id="{00000000-0008-0000-0100-000068000000}"/>
            </a:ext>
          </a:extLst>
        </xdr:cNvPr>
        <xdr:cNvSpPr txBox="1">
          <a:spLocks noChangeArrowheads="1" noTextEdit="1"/>
        </xdr:cNvSpPr>
      </xdr:nvSpPr>
      <xdr:spPr bwMode="auto">
        <a:xfrm>
          <a:off x="7575649" y="3265971"/>
          <a:ext cx="638026" cy="238193"/>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54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900129</xdr:colOff>
      <xdr:row>7</xdr:row>
      <xdr:rowOff>20001</xdr:rowOff>
    </xdr:from>
    <xdr:to>
      <xdr:col>5</xdr:col>
      <xdr:colOff>1283534</xdr:colOff>
      <xdr:row>8</xdr:row>
      <xdr:rowOff>88717</xdr:rowOff>
    </xdr:to>
    <xdr:sp macro="" textlink="">
      <xdr:nvSpPr>
        <xdr:cNvPr id="105" name="Text Box 279">
          <a:extLst>
            <a:ext uri="{FF2B5EF4-FFF2-40B4-BE49-F238E27FC236}">
              <a16:creationId xmlns:a16="http://schemas.microsoft.com/office/drawing/2014/main" id="{00000000-0008-0000-0100-000069000000}"/>
            </a:ext>
          </a:extLst>
        </xdr:cNvPr>
        <xdr:cNvSpPr txBox="1">
          <a:spLocks noChangeArrowheads="1"/>
        </xdr:cNvSpPr>
      </xdr:nvSpPr>
      <xdr:spPr bwMode="auto">
        <a:xfrm>
          <a:off x="6189305" y="1212307"/>
          <a:ext cx="383405" cy="23904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2</xdr:col>
      <xdr:colOff>640422</xdr:colOff>
      <xdr:row>11</xdr:row>
      <xdr:rowOff>120500</xdr:rowOff>
    </xdr:from>
    <xdr:to>
      <xdr:col>2</xdr:col>
      <xdr:colOff>994046</xdr:colOff>
      <xdr:row>13</xdr:row>
      <xdr:rowOff>18698</xdr:rowOff>
    </xdr:to>
    <xdr:sp macro="" textlink="'Variable Management'!B276">
      <xdr:nvSpPr>
        <xdr:cNvPr id="106" name="Text Box 281">
          <a:extLst>
            <a:ext uri="{FF2B5EF4-FFF2-40B4-BE49-F238E27FC236}">
              <a16:creationId xmlns:a16="http://schemas.microsoft.com/office/drawing/2014/main" id="{00000000-0008-0000-0100-00006A000000}"/>
            </a:ext>
          </a:extLst>
        </xdr:cNvPr>
        <xdr:cNvSpPr txBox="1">
          <a:spLocks noChangeArrowheads="1" noTextEdit="1"/>
        </xdr:cNvSpPr>
      </xdr:nvSpPr>
      <xdr:spPr bwMode="auto">
        <a:xfrm>
          <a:off x="2254069" y="1994124"/>
          <a:ext cx="353624" cy="238856"/>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1200nF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176832</xdr:colOff>
      <xdr:row>5</xdr:row>
      <xdr:rowOff>169298</xdr:rowOff>
    </xdr:from>
    <xdr:to>
      <xdr:col>7</xdr:col>
      <xdr:colOff>545172</xdr:colOff>
      <xdr:row>7</xdr:row>
      <xdr:rowOff>82169</xdr:rowOff>
    </xdr:to>
    <xdr:sp macro="" textlink="'Variable Management'!B280">
      <xdr:nvSpPr>
        <xdr:cNvPr id="107" name="Text Box 283">
          <a:extLst>
            <a:ext uri="{FF2B5EF4-FFF2-40B4-BE49-F238E27FC236}">
              <a16:creationId xmlns:a16="http://schemas.microsoft.com/office/drawing/2014/main" id="{00000000-0008-0000-0100-00006B000000}"/>
            </a:ext>
          </a:extLst>
        </xdr:cNvPr>
        <xdr:cNvSpPr txBox="1">
          <a:spLocks noChangeArrowheads="1" noTextEdit="1"/>
        </xdr:cNvSpPr>
      </xdr:nvSpPr>
      <xdr:spPr bwMode="auto">
        <a:xfrm>
          <a:off x="7536856" y="1020945"/>
          <a:ext cx="368340" cy="253530"/>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18V</a:t>
          </a:fld>
          <a:endParaRPr lang="en-US" sz="1200" b="1" i="0" strike="noStrike">
            <a:solidFill>
              <a:srgbClr val="FF0000"/>
            </a:solidFill>
            <a:latin typeface="Arial" pitchFamily="34" charset="0"/>
            <a:cs typeface="Arial" pitchFamily="34" charset="0"/>
          </a:endParaRPr>
        </a:p>
      </xdr:txBody>
    </xdr:sp>
    <xdr:clientData/>
  </xdr:twoCellAnchor>
  <xdr:twoCellAnchor>
    <xdr:from>
      <xdr:col>8</xdr:col>
      <xdr:colOff>445671</xdr:colOff>
      <xdr:row>15</xdr:row>
      <xdr:rowOff>134106</xdr:rowOff>
    </xdr:from>
    <xdr:to>
      <xdr:col>8</xdr:col>
      <xdr:colOff>730475</xdr:colOff>
      <xdr:row>17</xdr:row>
      <xdr:rowOff>33768</xdr:rowOff>
    </xdr:to>
    <xdr:sp macro="" textlink="'Variable Management'!B241">
      <xdr:nvSpPr>
        <xdr:cNvPr id="108" name="Text Box 285">
          <a:extLst>
            <a:ext uri="{FF2B5EF4-FFF2-40B4-BE49-F238E27FC236}">
              <a16:creationId xmlns:a16="http://schemas.microsoft.com/office/drawing/2014/main" id="{00000000-0008-0000-0100-00006C000000}"/>
            </a:ext>
          </a:extLst>
        </xdr:cNvPr>
        <xdr:cNvSpPr txBox="1">
          <a:spLocks noChangeArrowheads="1" noTextEdit="1"/>
        </xdr:cNvSpPr>
      </xdr:nvSpPr>
      <xdr:spPr bwMode="auto">
        <a:xfrm>
          <a:off x="8908353" y="2689047"/>
          <a:ext cx="284804" cy="240321"/>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8</xdr:col>
      <xdr:colOff>386037</xdr:colOff>
      <xdr:row>17</xdr:row>
      <xdr:rowOff>8852</xdr:rowOff>
    </xdr:from>
    <xdr:to>
      <xdr:col>8</xdr:col>
      <xdr:colOff>856371</xdr:colOff>
      <xdr:row>18</xdr:row>
      <xdr:rowOff>82797</xdr:rowOff>
    </xdr:to>
    <xdr:sp macro="" textlink="'Variable Management'!B279">
      <xdr:nvSpPr>
        <xdr:cNvPr id="109" name="Text Box 286">
          <a:extLst>
            <a:ext uri="{FF2B5EF4-FFF2-40B4-BE49-F238E27FC236}">
              <a16:creationId xmlns:a16="http://schemas.microsoft.com/office/drawing/2014/main" id="{00000000-0008-0000-0100-00006D000000}"/>
            </a:ext>
          </a:extLst>
        </xdr:cNvPr>
        <xdr:cNvSpPr txBox="1">
          <a:spLocks noChangeArrowheads="1" noTextEdit="1"/>
        </xdr:cNvSpPr>
      </xdr:nvSpPr>
      <xdr:spPr bwMode="auto">
        <a:xfrm>
          <a:off x="8848719" y="2904452"/>
          <a:ext cx="470334" cy="244274"/>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15A</a:t>
          </a:fld>
          <a:endParaRPr lang="en-US" sz="1200" b="1" i="0" strike="noStrike">
            <a:solidFill>
              <a:srgbClr val="FF0000"/>
            </a:solidFill>
            <a:latin typeface="Arial" pitchFamily="34" charset="0"/>
            <a:cs typeface="Arial" pitchFamily="34" charset="0"/>
          </a:endParaRPr>
        </a:p>
      </xdr:txBody>
    </xdr:sp>
    <xdr:clientData/>
  </xdr:twoCellAnchor>
  <xdr:twoCellAnchor>
    <xdr:from>
      <xdr:col>3</xdr:col>
      <xdr:colOff>231140</xdr:colOff>
      <xdr:row>24</xdr:row>
      <xdr:rowOff>117966</xdr:rowOff>
    </xdr:from>
    <xdr:to>
      <xdr:col>3</xdr:col>
      <xdr:colOff>450215</xdr:colOff>
      <xdr:row>24</xdr:row>
      <xdr:rowOff>117966</xdr:rowOff>
    </xdr:to>
    <xdr:sp macro="" textlink="'Variable Management'!B292">
      <xdr:nvSpPr>
        <xdr:cNvPr id="110" name="Text Box 299">
          <a:extLst>
            <a:ext uri="{FF2B5EF4-FFF2-40B4-BE49-F238E27FC236}">
              <a16:creationId xmlns:a16="http://schemas.microsoft.com/office/drawing/2014/main" id="{00000000-0008-0000-0100-00006E000000}"/>
            </a:ext>
          </a:extLst>
        </xdr:cNvPr>
        <xdr:cNvSpPr txBox="1">
          <a:spLocks noChangeArrowheads="1" noTextEdit="1"/>
        </xdr:cNvSpPr>
      </xdr:nvSpPr>
      <xdr:spPr bwMode="auto">
        <a:xfrm>
          <a:off x="2947446" y="4205872"/>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2</xdr:col>
      <xdr:colOff>847054</xdr:colOff>
      <xdr:row>6</xdr:row>
      <xdr:rowOff>92318</xdr:rowOff>
    </xdr:from>
    <xdr:to>
      <xdr:col>3</xdr:col>
      <xdr:colOff>125722</xdr:colOff>
      <xdr:row>8</xdr:row>
      <xdr:rowOff>16225</xdr:rowOff>
    </xdr:to>
    <xdr:sp macro="" textlink="">
      <xdr:nvSpPr>
        <xdr:cNvPr id="111" name="Text Box 251">
          <a:extLst>
            <a:ext uri="{FF2B5EF4-FFF2-40B4-BE49-F238E27FC236}">
              <a16:creationId xmlns:a16="http://schemas.microsoft.com/office/drawing/2014/main" id="{00000000-0008-0000-0100-00006F000000}"/>
            </a:ext>
          </a:extLst>
        </xdr:cNvPr>
        <xdr:cNvSpPr txBox="1">
          <a:spLocks noChangeArrowheads="1"/>
        </xdr:cNvSpPr>
      </xdr:nvSpPr>
      <xdr:spPr bwMode="auto">
        <a:xfrm>
          <a:off x="2460701" y="1114294"/>
          <a:ext cx="381327" cy="26456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2</xdr:col>
      <xdr:colOff>712335</xdr:colOff>
      <xdr:row>7</xdr:row>
      <xdr:rowOff>146387</xdr:rowOff>
    </xdr:from>
    <xdr:to>
      <xdr:col>3</xdr:col>
      <xdr:colOff>143038</xdr:colOff>
      <xdr:row>9</xdr:row>
      <xdr:rowOff>52482</xdr:rowOff>
    </xdr:to>
    <xdr:sp macro="" textlink="'Variable Management'!B275">
      <xdr:nvSpPr>
        <xdr:cNvPr id="112" name="Text Box 281">
          <a:extLst>
            <a:ext uri="{FF2B5EF4-FFF2-40B4-BE49-F238E27FC236}">
              <a16:creationId xmlns:a16="http://schemas.microsoft.com/office/drawing/2014/main" id="{00000000-0008-0000-0100-000070000000}"/>
            </a:ext>
          </a:extLst>
        </xdr:cNvPr>
        <xdr:cNvSpPr txBox="1">
          <a:spLocks noChangeArrowheads="1" noTextEdit="1"/>
        </xdr:cNvSpPr>
      </xdr:nvSpPr>
      <xdr:spPr bwMode="auto">
        <a:xfrm>
          <a:off x="2325982" y="1338693"/>
          <a:ext cx="533362" cy="246754"/>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5</xdr:col>
      <xdr:colOff>874930</xdr:colOff>
      <xdr:row>6</xdr:row>
      <xdr:rowOff>885</xdr:rowOff>
    </xdr:from>
    <xdr:to>
      <xdr:col>5</xdr:col>
      <xdr:colOff>1278873</xdr:colOff>
      <xdr:row>7</xdr:row>
      <xdr:rowOff>59477</xdr:rowOff>
    </xdr:to>
    <xdr:sp macro="" textlink="">
      <xdr:nvSpPr>
        <xdr:cNvPr id="113" name="Text Box 247">
          <a:extLst>
            <a:ext uri="{FF2B5EF4-FFF2-40B4-BE49-F238E27FC236}">
              <a16:creationId xmlns:a16="http://schemas.microsoft.com/office/drawing/2014/main" id="{00000000-0008-0000-0100-000071000000}"/>
            </a:ext>
          </a:extLst>
        </xdr:cNvPr>
        <xdr:cNvSpPr txBox="1">
          <a:spLocks noChangeArrowheads="1"/>
        </xdr:cNvSpPr>
      </xdr:nvSpPr>
      <xdr:spPr bwMode="auto">
        <a:xfrm>
          <a:off x="6164106" y="1022861"/>
          <a:ext cx="40394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6</xdr:col>
      <xdr:colOff>348967</xdr:colOff>
      <xdr:row>15</xdr:row>
      <xdr:rowOff>107494</xdr:rowOff>
    </xdr:from>
    <xdr:to>
      <xdr:col>7</xdr:col>
      <xdr:colOff>4613</xdr:colOff>
      <xdr:row>17</xdr:row>
      <xdr:rowOff>69361</xdr:rowOff>
    </xdr:to>
    <xdr:sp macro="" textlink="">
      <xdr:nvSpPr>
        <xdr:cNvPr id="114" name="Text Box 244">
          <a:extLst>
            <a:ext uri="{FF2B5EF4-FFF2-40B4-BE49-F238E27FC236}">
              <a16:creationId xmlns:a16="http://schemas.microsoft.com/office/drawing/2014/main" id="{00000000-0008-0000-0100-000072000000}"/>
            </a:ext>
          </a:extLst>
        </xdr:cNvPr>
        <xdr:cNvSpPr txBox="1">
          <a:spLocks noChangeArrowheads="1"/>
        </xdr:cNvSpPr>
      </xdr:nvSpPr>
      <xdr:spPr bwMode="auto">
        <a:xfrm>
          <a:off x="7045602" y="2662435"/>
          <a:ext cx="319035" cy="30252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6</xdr:col>
      <xdr:colOff>297622</xdr:colOff>
      <xdr:row>9</xdr:row>
      <xdr:rowOff>115569</xdr:rowOff>
    </xdr:from>
    <xdr:to>
      <xdr:col>6</xdr:col>
      <xdr:colOff>620467</xdr:colOff>
      <xdr:row>11</xdr:row>
      <xdr:rowOff>50049</xdr:rowOff>
    </xdr:to>
    <xdr:sp macro="" textlink="">
      <xdr:nvSpPr>
        <xdr:cNvPr id="115" name="Text Box 244">
          <a:extLst>
            <a:ext uri="{FF2B5EF4-FFF2-40B4-BE49-F238E27FC236}">
              <a16:creationId xmlns:a16="http://schemas.microsoft.com/office/drawing/2014/main" id="{00000000-0008-0000-0100-000073000000}"/>
            </a:ext>
          </a:extLst>
        </xdr:cNvPr>
        <xdr:cNvSpPr txBox="1">
          <a:spLocks noChangeArrowheads="1"/>
        </xdr:cNvSpPr>
      </xdr:nvSpPr>
      <xdr:spPr bwMode="auto">
        <a:xfrm>
          <a:off x="6994257" y="1648534"/>
          <a:ext cx="322845" cy="27513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3</xdr:col>
      <xdr:colOff>652346</xdr:colOff>
      <xdr:row>2</xdr:row>
      <xdr:rowOff>57135</xdr:rowOff>
    </xdr:from>
    <xdr:to>
      <xdr:col>3</xdr:col>
      <xdr:colOff>1221208</xdr:colOff>
      <xdr:row>3</xdr:row>
      <xdr:rowOff>110510</xdr:rowOff>
    </xdr:to>
    <xdr:sp macro="" textlink="'Variable Management'!G98">
      <xdr:nvSpPr>
        <xdr:cNvPr id="116" name="Text Box 264">
          <a:extLst>
            <a:ext uri="{FF2B5EF4-FFF2-40B4-BE49-F238E27FC236}">
              <a16:creationId xmlns:a16="http://schemas.microsoft.com/office/drawing/2014/main" id="{00000000-0008-0000-0100-000074000000}"/>
            </a:ext>
          </a:extLst>
        </xdr:cNvPr>
        <xdr:cNvSpPr txBox="1">
          <a:spLocks noChangeArrowheads="1" noTextEdit="1"/>
        </xdr:cNvSpPr>
      </xdr:nvSpPr>
      <xdr:spPr bwMode="auto">
        <a:xfrm>
          <a:off x="3368652" y="397794"/>
          <a:ext cx="568862" cy="223704"/>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4.53kΩ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824727</xdr:colOff>
      <xdr:row>1</xdr:row>
      <xdr:rowOff>17156</xdr:rowOff>
    </xdr:from>
    <xdr:to>
      <xdr:col>3</xdr:col>
      <xdr:colOff>1245796</xdr:colOff>
      <xdr:row>2</xdr:row>
      <xdr:rowOff>56518</xdr:rowOff>
    </xdr:to>
    <xdr:sp macro="" textlink="">
      <xdr:nvSpPr>
        <xdr:cNvPr id="117" name="Text Box 255">
          <a:extLst>
            <a:ext uri="{FF2B5EF4-FFF2-40B4-BE49-F238E27FC236}">
              <a16:creationId xmlns:a16="http://schemas.microsoft.com/office/drawing/2014/main" id="{00000000-0008-0000-0100-000075000000}"/>
            </a:ext>
          </a:extLst>
        </xdr:cNvPr>
        <xdr:cNvSpPr txBox="1">
          <a:spLocks noChangeArrowheads="1"/>
        </xdr:cNvSpPr>
      </xdr:nvSpPr>
      <xdr:spPr bwMode="auto">
        <a:xfrm>
          <a:off x="3541033" y="187485"/>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4</xdr:col>
      <xdr:colOff>21211</xdr:colOff>
      <xdr:row>2</xdr:row>
      <xdr:rowOff>46882</xdr:rowOff>
    </xdr:from>
    <xdr:to>
      <xdr:col>4</xdr:col>
      <xdr:colOff>606573</xdr:colOff>
      <xdr:row>3</xdr:row>
      <xdr:rowOff>92545</xdr:rowOff>
    </xdr:to>
    <xdr:sp macro="" textlink="'Variable Management'!G97">
      <xdr:nvSpPr>
        <xdr:cNvPr id="118" name="Text Box 264">
          <a:extLst>
            <a:ext uri="{FF2B5EF4-FFF2-40B4-BE49-F238E27FC236}">
              <a16:creationId xmlns:a16="http://schemas.microsoft.com/office/drawing/2014/main" id="{00000000-0008-0000-0100-000076000000}"/>
            </a:ext>
          </a:extLst>
        </xdr:cNvPr>
        <xdr:cNvSpPr txBox="1">
          <a:spLocks noChangeArrowheads="1" noTextEdit="1"/>
        </xdr:cNvSpPr>
      </xdr:nvSpPr>
      <xdr:spPr bwMode="auto">
        <a:xfrm>
          <a:off x="4118082" y="387541"/>
          <a:ext cx="585362" cy="215992"/>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49.9kΩ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151933</xdr:colOff>
      <xdr:row>1</xdr:row>
      <xdr:rowOff>0</xdr:rowOff>
    </xdr:from>
    <xdr:to>
      <xdr:col>4</xdr:col>
      <xdr:colOff>586239</xdr:colOff>
      <xdr:row>2</xdr:row>
      <xdr:rowOff>46752</xdr:rowOff>
    </xdr:to>
    <xdr:sp macro="" textlink="">
      <xdr:nvSpPr>
        <xdr:cNvPr id="119" name="Text Box 255">
          <a:extLst>
            <a:ext uri="{FF2B5EF4-FFF2-40B4-BE49-F238E27FC236}">
              <a16:creationId xmlns:a16="http://schemas.microsoft.com/office/drawing/2014/main" id="{00000000-0008-0000-0100-000077000000}"/>
            </a:ext>
          </a:extLst>
        </xdr:cNvPr>
        <xdr:cNvSpPr txBox="1">
          <a:spLocks noChangeArrowheads="1"/>
        </xdr:cNvSpPr>
      </xdr:nvSpPr>
      <xdr:spPr bwMode="auto">
        <a:xfrm>
          <a:off x="4248804" y="170329"/>
          <a:ext cx="434306"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327293</xdr:colOff>
      <xdr:row>16</xdr:row>
      <xdr:rowOff>46385</xdr:rowOff>
    </xdr:from>
    <xdr:to>
      <xdr:col>7</xdr:col>
      <xdr:colOff>849121</xdr:colOff>
      <xdr:row>17</xdr:row>
      <xdr:rowOff>147672</xdr:rowOff>
    </xdr:to>
    <xdr:sp macro="" textlink="'Variable Management'!B239">
      <xdr:nvSpPr>
        <xdr:cNvPr id="120" name="Text Box 275">
          <a:extLst>
            <a:ext uri="{FF2B5EF4-FFF2-40B4-BE49-F238E27FC236}">
              <a16:creationId xmlns:a16="http://schemas.microsoft.com/office/drawing/2014/main" id="{00000000-0008-0000-0100-000078000000}"/>
            </a:ext>
          </a:extLst>
        </xdr:cNvPr>
        <xdr:cNvSpPr txBox="1">
          <a:spLocks noChangeArrowheads="1" noTextEdit="1"/>
        </xdr:cNvSpPr>
      </xdr:nvSpPr>
      <xdr:spPr bwMode="auto">
        <a:xfrm>
          <a:off x="7687317" y="2771656"/>
          <a:ext cx="521828" cy="271616"/>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6mΩ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137954</xdr:colOff>
      <xdr:row>26</xdr:row>
      <xdr:rowOff>143208</xdr:rowOff>
    </xdr:from>
    <xdr:to>
      <xdr:col>4</xdr:col>
      <xdr:colOff>645592</xdr:colOff>
      <xdr:row>28</xdr:row>
      <xdr:rowOff>39020</xdr:rowOff>
    </xdr:to>
    <xdr:sp macro="" textlink="">
      <xdr:nvSpPr>
        <xdr:cNvPr id="121" name="Text Box 245">
          <a:extLst>
            <a:ext uri="{FF2B5EF4-FFF2-40B4-BE49-F238E27FC236}">
              <a16:creationId xmlns:a16="http://schemas.microsoft.com/office/drawing/2014/main" id="{00000000-0008-0000-0100-000079000000}"/>
            </a:ext>
          </a:extLst>
        </xdr:cNvPr>
        <xdr:cNvSpPr txBox="1">
          <a:spLocks noChangeArrowheads="1"/>
        </xdr:cNvSpPr>
      </xdr:nvSpPr>
      <xdr:spPr bwMode="auto">
        <a:xfrm>
          <a:off x="4234825" y="4571773"/>
          <a:ext cx="507638"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4</xdr:col>
      <xdr:colOff>155302</xdr:colOff>
      <xdr:row>27</xdr:row>
      <xdr:rowOff>160736</xdr:rowOff>
    </xdr:from>
    <xdr:to>
      <xdr:col>4</xdr:col>
      <xdr:colOff>791059</xdr:colOff>
      <xdr:row>29</xdr:row>
      <xdr:rowOff>69472</xdr:rowOff>
    </xdr:to>
    <xdr:sp macro="" textlink="'Variable Management'!B274">
      <xdr:nvSpPr>
        <xdr:cNvPr id="122" name="Text Box 281">
          <a:extLst>
            <a:ext uri="{FF2B5EF4-FFF2-40B4-BE49-F238E27FC236}">
              <a16:creationId xmlns:a16="http://schemas.microsoft.com/office/drawing/2014/main" id="{00000000-0008-0000-0100-00007A000000}"/>
            </a:ext>
          </a:extLst>
        </xdr:cNvPr>
        <xdr:cNvSpPr txBox="1">
          <a:spLocks noChangeArrowheads="1" noTextEdit="1"/>
        </xdr:cNvSpPr>
      </xdr:nvSpPr>
      <xdr:spPr bwMode="auto">
        <a:xfrm>
          <a:off x="4252173" y="4759630"/>
          <a:ext cx="635757" cy="249395"/>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6</xdr:col>
      <xdr:colOff>357031</xdr:colOff>
      <xdr:row>21</xdr:row>
      <xdr:rowOff>79102</xdr:rowOff>
    </xdr:from>
    <xdr:to>
      <xdr:col>7</xdr:col>
      <xdr:colOff>267329</xdr:colOff>
      <xdr:row>23</xdr:row>
      <xdr:rowOff>43439</xdr:rowOff>
    </xdr:to>
    <xdr:sp macro="" textlink="'Variable Management'!B269">
      <xdr:nvSpPr>
        <xdr:cNvPr id="123" name="Text Box 270">
          <a:extLst>
            <a:ext uri="{FF2B5EF4-FFF2-40B4-BE49-F238E27FC236}">
              <a16:creationId xmlns:a16="http://schemas.microsoft.com/office/drawing/2014/main" id="{00000000-0008-0000-0100-00007B000000}"/>
            </a:ext>
          </a:extLst>
        </xdr:cNvPr>
        <xdr:cNvSpPr txBox="1">
          <a:spLocks noChangeArrowheads="1" noTextEdit="1"/>
        </xdr:cNvSpPr>
      </xdr:nvSpPr>
      <xdr:spPr bwMode="auto">
        <a:xfrm>
          <a:off x="7053666" y="3656020"/>
          <a:ext cx="573687" cy="304995"/>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421801</xdr:colOff>
      <xdr:row>20</xdr:row>
      <xdr:rowOff>32038</xdr:rowOff>
    </xdr:from>
    <xdr:to>
      <xdr:col>7</xdr:col>
      <xdr:colOff>332099</xdr:colOff>
      <xdr:row>21</xdr:row>
      <xdr:rowOff>87887</xdr:rowOff>
    </xdr:to>
    <xdr:sp macro="" textlink="'Variable Management'!A269">
      <xdr:nvSpPr>
        <xdr:cNvPr id="124" name="Text Box 270">
          <a:extLst>
            <a:ext uri="{FF2B5EF4-FFF2-40B4-BE49-F238E27FC236}">
              <a16:creationId xmlns:a16="http://schemas.microsoft.com/office/drawing/2014/main" id="{00000000-0008-0000-0100-00007C000000}"/>
            </a:ext>
          </a:extLst>
        </xdr:cNvPr>
        <xdr:cNvSpPr txBox="1">
          <a:spLocks noChangeArrowheads="1" noTextEdit="1"/>
        </xdr:cNvSpPr>
      </xdr:nvSpPr>
      <xdr:spPr bwMode="auto">
        <a:xfrm>
          <a:off x="7118436" y="3438626"/>
          <a:ext cx="573687" cy="226179"/>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398736</xdr:colOff>
      <xdr:row>29</xdr:row>
      <xdr:rowOff>4767</xdr:rowOff>
    </xdr:from>
    <xdr:to>
      <xdr:col>4</xdr:col>
      <xdr:colOff>883507</xdr:colOff>
      <xdr:row>30</xdr:row>
      <xdr:rowOff>107441</xdr:rowOff>
    </xdr:to>
    <xdr:sp macro="" textlink="'Variable Management'!A270">
      <xdr:nvSpPr>
        <xdr:cNvPr id="125" name="Text Box 231">
          <a:extLst>
            <a:ext uri="{FF2B5EF4-FFF2-40B4-BE49-F238E27FC236}">
              <a16:creationId xmlns:a16="http://schemas.microsoft.com/office/drawing/2014/main" id="{00000000-0008-0000-0100-00007D000000}"/>
            </a:ext>
          </a:extLst>
        </xdr:cNvPr>
        <xdr:cNvSpPr txBox="1">
          <a:spLocks noChangeArrowheads="1"/>
        </xdr:cNvSpPr>
      </xdr:nvSpPr>
      <xdr:spPr bwMode="auto">
        <a:xfrm>
          <a:off x="4495607" y="4944320"/>
          <a:ext cx="484771"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4</xdr:col>
      <xdr:colOff>390929</xdr:colOff>
      <xdr:row>30</xdr:row>
      <xdr:rowOff>50182</xdr:rowOff>
    </xdr:from>
    <xdr:to>
      <xdr:col>4</xdr:col>
      <xdr:colOff>974228</xdr:colOff>
      <xdr:row>31</xdr:row>
      <xdr:rowOff>105316</xdr:rowOff>
    </xdr:to>
    <xdr:sp macro="" textlink="'Variable Management'!B270">
      <xdr:nvSpPr>
        <xdr:cNvPr id="126" name="Text Box 270">
          <a:extLst>
            <a:ext uri="{FF2B5EF4-FFF2-40B4-BE49-F238E27FC236}">
              <a16:creationId xmlns:a16="http://schemas.microsoft.com/office/drawing/2014/main" id="{00000000-0008-0000-0100-00007E000000}"/>
            </a:ext>
          </a:extLst>
        </xdr:cNvPr>
        <xdr:cNvSpPr txBox="1">
          <a:spLocks noChangeArrowheads="1" noTextEdit="1"/>
        </xdr:cNvSpPr>
      </xdr:nvSpPr>
      <xdr:spPr bwMode="auto">
        <a:xfrm>
          <a:off x="4487800" y="5160064"/>
          <a:ext cx="583299"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10pF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170959</xdr:colOff>
      <xdr:row>7</xdr:row>
      <xdr:rowOff>70700</xdr:rowOff>
    </xdr:from>
    <xdr:to>
      <xdr:col>8</xdr:col>
      <xdr:colOff>216681</xdr:colOff>
      <xdr:row>8</xdr:row>
      <xdr:rowOff>141437</xdr:rowOff>
    </xdr:to>
    <xdr:sp macro="" textlink="'Variable Management'!B281">
      <xdr:nvSpPr>
        <xdr:cNvPr id="127" name="Text Box 283">
          <a:extLst>
            <a:ext uri="{FF2B5EF4-FFF2-40B4-BE49-F238E27FC236}">
              <a16:creationId xmlns:a16="http://schemas.microsoft.com/office/drawing/2014/main" id="{00000000-0008-0000-0100-00007F000000}"/>
            </a:ext>
          </a:extLst>
        </xdr:cNvPr>
        <xdr:cNvSpPr txBox="1">
          <a:spLocks noChangeArrowheads="1" noTextEdit="1"/>
        </xdr:cNvSpPr>
      </xdr:nvSpPr>
      <xdr:spPr bwMode="auto">
        <a:xfrm>
          <a:off x="7530983" y="1263006"/>
          <a:ext cx="1148380" cy="241066"/>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15V to 22V</a:t>
          </a:fld>
          <a:endParaRPr lang="en-US" sz="2400" b="1" i="0" strike="noStrike">
            <a:solidFill>
              <a:srgbClr val="0000FF"/>
            </a:solidFill>
            <a:latin typeface="Arial" pitchFamily="34" charset="0"/>
            <a:cs typeface="Arial" pitchFamily="34" charset="0"/>
          </a:endParaRPr>
        </a:p>
      </xdr:txBody>
    </xdr:sp>
    <xdr:clientData/>
  </xdr:twoCellAnchor>
  <xdr:twoCellAnchor>
    <xdr:from>
      <xdr:col>3</xdr:col>
      <xdr:colOff>1205950</xdr:colOff>
      <xdr:row>14</xdr:row>
      <xdr:rowOff>148053</xdr:rowOff>
    </xdr:from>
    <xdr:to>
      <xdr:col>4</xdr:col>
      <xdr:colOff>941146</xdr:colOff>
      <xdr:row>16</xdr:row>
      <xdr:rowOff>168094</xdr:rowOff>
    </xdr:to>
    <xdr:sp macro="" textlink="'Variable Management'!U12">
      <xdr:nvSpPr>
        <xdr:cNvPr id="128" name="Text Box 24">
          <a:extLst>
            <a:ext uri="{FF2B5EF4-FFF2-40B4-BE49-F238E27FC236}">
              <a16:creationId xmlns:a16="http://schemas.microsoft.com/office/drawing/2014/main" id="{00000000-0008-0000-0100-000080000000}"/>
            </a:ext>
          </a:extLst>
        </xdr:cNvPr>
        <xdr:cNvSpPr txBox="1">
          <a:spLocks noChangeArrowheads="1" noTextEdit="1"/>
        </xdr:cNvSpPr>
      </xdr:nvSpPr>
      <xdr:spPr bwMode="auto">
        <a:xfrm>
          <a:off x="3922256" y="2532665"/>
          <a:ext cx="1115761" cy="360700"/>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LM5146-Q1</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336176</xdr:colOff>
      <xdr:row>4</xdr:row>
      <xdr:rowOff>123263</xdr:rowOff>
    </xdr:from>
    <xdr:to>
      <xdr:col>12</xdr:col>
      <xdr:colOff>103841</xdr:colOff>
      <xdr:row>38</xdr:row>
      <xdr:rowOff>89647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863" b="1395"/>
        <a:stretch/>
      </xdr:blipFill>
      <xdr:spPr>
        <a:xfrm>
          <a:off x="336176" y="1400734"/>
          <a:ext cx="7029077" cy="5703795"/>
        </a:xfrm>
        <a:prstGeom prst="rect">
          <a:avLst/>
        </a:prstGeom>
      </xdr:spPr>
    </xdr:pic>
    <xdr:clientData/>
  </xdr:twoCellAnchor>
  <xdr:twoCellAnchor editAs="oneCell">
    <xdr:from>
      <xdr:col>14</xdr:col>
      <xdr:colOff>403411</xdr:colOff>
      <xdr:row>4</xdr:row>
      <xdr:rowOff>11205</xdr:rowOff>
    </xdr:from>
    <xdr:to>
      <xdr:col>27</xdr:col>
      <xdr:colOff>358587</xdr:colOff>
      <xdr:row>39</xdr:row>
      <xdr:rowOff>69528</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65558" y="1288676"/>
          <a:ext cx="8269941" cy="59526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381001</xdr:colOff>
      <xdr:row>48</xdr:row>
      <xdr:rowOff>104404</xdr:rowOff>
    </xdr:from>
    <xdr:to>
      <xdr:col>11</xdr:col>
      <xdr:colOff>280149</xdr:colOff>
      <xdr:row>73</xdr:row>
      <xdr:rowOff>34633</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1" y="8688110"/>
          <a:ext cx="6555442" cy="4053994"/>
        </a:xfrm>
        <a:prstGeom prst="rect">
          <a:avLst/>
        </a:prstGeom>
      </xdr:spPr>
    </xdr:pic>
    <xdr:clientData/>
  </xdr:twoCellAnchor>
  <xdr:twoCellAnchor editAs="oneCell">
    <xdr:from>
      <xdr:col>0</xdr:col>
      <xdr:colOff>369795</xdr:colOff>
      <xdr:row>76</xdr:row>
      <xdr:rowOff>134469</xdr:rowOff>
    </xdr:from>
    <xdr:to>
      <xdr:col>11</xdr:col>
      <xdr:colOff>246531</xdr:colOff>
      <xdr:row>103</xdr:row>
      <xdr:rowOff>78440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353" t="8842" r="3320" b="10752"/>
        <a:stretch/>
      </xdr:blipFill>
      <xdr:spPr>
        <a:xfrm>
          <a:off x="369795" y="13211734"/>
          <a:ext cx="6533030" cy="4381500"/>
        </a:xfrm>
        <a:prstGeom prst="rect">
          <a:avLst/>
        </a:prstGeom>
      </xdr:spPr>
    </xdr:pic>
    <xdr:clientData/>
  </xdr:twoCellAnchor>
  <xdr:twoCellAnchor editAs="oneCell">
    <xdr:from>
      <xdr:col>15</xdr:col>
      <xdr:colOff>268945</xdr:colOff>
      <xdr:row>48</xdr:row>
      <xdr:rowOff>123265</xdr:rowOff>
    </xdr:from>
    <xdr:to>
      <xdr:col>26</xdr:col>
      <xdr:colOff>583270</xdr:colOff>
      <xdr:row>72</xdr:row>
      <xdr:rowOff>54909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36210" y="8807824"/>
          <a:ext cx="7418854" cy="38985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75</xdr:row>
      <xdr:rowOff>78443</xdr:rowOff>
    </xdr:from>
    <xdr:to>
      <xdr:col>26</xdr:col>
      <xdr:colOff>583270</xdr:colOff>
      <xdr:row>98</xdr:row>
      <xdr:rowOff>119345</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536210" y="13200531"/>
          <a:ext cx="7418854" cy="38509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101</xdr:row>
      <xdr:rowOff>42024</xdr:rowOff>
    </xdr:from>
    <xdr:to>
      <xdr:col>26</xdr:col>
      <xdr:colOff>583270</xdr:colOff>
      <xdr:row>125</xdr:row>
      <xdr:rowOff>45945</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36210" y="17444759"/>
          <a:ext cx="7418854" cy="38699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257735</xdr:colOff>
      <xdr:row>128</xdr:row>
      <xdr:rowOff>67235</xdr:rowOff>
    </xdr:from>
    <xdr:to>
      <xdr:col>26</xdr:col>
      <xdr:colOff>560294</xdr:colOff>
      <xdr:row>152</xdr:row>
      <xdr:rowOff>90207</xdr:rowOff>
    </xdr:to>
    <xdr:pic>
      <xdr:nvPicPr>
        <xdr:cNvPr id="9" name="Picture 8">
          <a:extLst>
            <a:ext uri="{FF2B5EF4-FFF2-40B4-BE49-F238E27FC236}">
              <a16:creationId xmlns:a16="http://schemas.microsoft.com/office/drawing/2014/main" id="{00000000-0008-0000-0200-000009000000}"/>
            </a:ext>
          </a:extLst>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038" r="942"/>
        <a:stretch/>
      </xdr:blipFill>
      <xdr:spPr bwMode="auto">
        <a:xfrm>
          <a:off x="9525000" y="21806647"/>
          <a:ext cx="7407088" cy="3889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215900</xdr:colOff>
          <xdr:row>10</xdr:row>
          <xdr:rowOff>114300</xdr:rowOff>
        </xdr:from>
        <xdr:to>
          <xdr:col>16</xdr:col>
          <xdr:colOff>25400</xdr:colOff>
          <xdr:row>31</xdr:row>
          <xdr:rowOff>127000</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36</xdr:col>
      <xdr:colOff>200025</xdr:colOff>
      <xdr:row>8</xdr:row>
      <xdr:rowOff>19050</xdr:rowOff>
    </xdr:from>
    <xdr:to>
      <xdr:col>44</xdr:col>
      <xdr:colOff>742950</xdr:colOff>
      <xdr:row>30</xdr:row>
      <xdr:rowOff>85725</xdr:rowOff>
    </xdr:to>
    <xdr:graphicFrame macro="">
      <xdr:nvGraphicFramePr>
        <xdr:cNvPr id="21446051" name="Chart 11">
          <a:extLst>
            <a:ext uri="{FF2B5EF4-FFF2-40B4-BE49-F238E27FC236}">
              <a16:creationId xmlns:a16="http://schemas.microsoft.com/office/drawing/2014/main" id="{00000000-0008-0000-0500-0000A3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200025</xdr:colOff>
      <xdr:row>8</xdr:row>
      <xdr:rowOff>28575</xdr:rowOff>
    </xdr:from>
    <xdr:to>
      <xdr:col>36</xdr:col>
      <xdr:colOff>180975</xdr:colOff>
      <xdr:row>30</xdr:row>
      <xdr:rowOff>123825</xdr:rowOff>
    </xdr:to>
    <xdr:graphicFrame macro="">
      <xdr:nvGraphicFramePr>
        <xdr:cNvPr id="21446052" name="Chart 15">
          <a:extLst>
            <a:ext uri="{FF2B5EF4-FFF2-40B4-BE49-F238E27FC236}">
              <a16:creationId xmlns:a16="http://schemas.microsoft.com/office/drawing/2014/main" id="{00000000-0008-0000-0500-0000A4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9525</xdr:colOff>
      <xdr:row>30</xdr:row>
      <xdr:rowOff>152400</xdr:rowOff>
    </xdr:from>
    <xdr:to>
      <xdr:col>36</xdr:col>
      <xdr:colOff>209550</xdr:colOff>
      <xdr:row>53</xdr:row>
      <xdr:rowOff>95250</xdr:rowOff>
    </xdr:to>
    <xdr:graphicFrame macro="">
      <xdr:nvGraphicFramePr>
        <xdr:cNvPr id="21446053" name="Chart 16">
          <a:extLst>
            <a:ext uri="{FF2B5EF4-FFF2-40B4-BE49-F238E27FC236}">
              <a16:creationId xmlns:a16="http://schemas.microsoft.com/office/drawing/2014/main" id="{00000000-0008-0000-0500-0000A5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75</xdr:col>
      <xdr:colOff>466725</xdr:colOff>
      <xdr:row>6</xdr:row>
      <xdr:rowOff>76200</xdr:rowOff>
    </xdr:from>
    <xdr:to>
      <xdr:col>84</xdr:col>
      <xdr:colOff>238125</xdr:colOff>
      <xdr:row>29</xdr:row>
      <xdr:rowOff>19050</xdr:rowOff>
    </xdr:to>
    <xdr:graphicFrame macro="">
      <xdr:nvGraphicFramePr>
        <xdr:cNvPr id="21446054" name="Chart 18">
          <a:extLst>
            <a:ext uri="{FF2B5EF4-FFF2-40B4-BE49-F238E27FC236}">
              <a16:creationId xmlns:a16="http://schemas.microsoft.com/office/drawing/2014/main" id="{00000000-0008-0000-0500-0000A6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704849</xdr:colOff>
      <xdr:row>6</xdr:row>
      <xdr:rowOff>438149</xdr:rowOff>
    </xdr:from>
    <xdr:to>
      <xdr:col>2</xdr:col>
      <xdr:colOff>22859</xdr:colOff>
      <xdr:row>8</xdr:row>
      <xdr:rowOff>1127</xdr:rowOff>
    </xdr:to>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362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2</xdr:col>
      <xdr:colOff>22859</xdr:colOff>
      <xdr:row>5</xdr:row>
      <xdr:rowOff>1127</xdr:rowOff>
    </xdr:to>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236220</xdr:colOff>
      <xdr:row>49</xdr:row>
      <xdr:rowOff>74295</xdr:rowOff>
    </xdr:from>
    <xdr:to>
      <xdr:col>19</xdr:col>
      <xdr:colOff>179070</xdr:colOff>
      <xdr:row>78</xdr:row>
      <xdr:rowOff>93345</xdr:rowOff>
    </xdr:to>
    <xdr:graphicFrame macro="">
      <xdr:nvGraphicFramePr>
        <xdr:cNvPr id="22259766" name="Chart 1">
          <a:extLst>
            <a:ext uri="{FF2B5EF4-FFF2-40B4-BE49-F238E27FC236}">
              <a16:creationId xmlns:a16="http://schemas.microsoft.com/office/drawing/2014/main" id="{00000000-0008-0000-0700-000036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247650</xdr:colOff>
      <xdr:row>11</xdr:row>
      <xdr:rowOff>57150</xdr:rowOff>
    </xdr:from>
    <xdr:to>
      <xdr:col>30</xdr:col>
      <xdr:colOff>533400</xdr:colOff>
      <xdr:row>40</xdr:row>
      <xdr:rowOff>85725</xdr:rowOff>
    </xdr:to>
    <xdr:graphicFrame macro="">
      <xdr:nvGraphicFramePr>
        <xdr:cNvPr id="22259767" name="Chart 2">
          <a:extLst>
            <a:ext uri="{FF2B5EF4-FFF2-40B4-BE49-F238E27FC236}">
              <a16:creationId xmlns:a16="http://schemas.microsoft.com/office/drawing/2014/main" id="{00000000-0008-0000-0700-000037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219075</xdr:colOff>
      <xdr:row>11</xdr:row>
      <xdr:rowOff>64770</xdr:rowOff>
    </xdr:from>
    <xdr:to>
      <xdr:col>19</xdr:col>
      <xdr:colOff>152400</xdr:colOff>
      <xdr:row>40</xdr:row>
      <xdr:rowOff>93345</xdr:rowOff>
    </xdr:to>
    <xdr:graphicFrame macro="">
      <xdr:nvGraphicFramePr>
        <xdr:cNvPr id="22259768" name="Chart 4">
          <a:extLst>
            <a:ext uri="{FF2B5EF4-FFF2-40B4-BE49-F238E27FC236}">
              <a16:creationId xmlns:a16="http://schemas.microsoft.com/office/drawing/2014/main" id="{00000000-0008-0000-0700-000038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drawing" Target="../drawings/drawing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omments" Target="../comments1.xml"/><Relationship Id="rId2" Type="http://schemas.openxmlformats.org/officeDocument/2006/relationships/printerSettings" Target="../printerSettings/printerSettings1.bin"/><Relationship Id="rId16" Type="http://schemas.openxmlformats.org/officeDocument/2006/relationships/ctrlProp" Target="../ctrlProps/ctrlProp11.xml"/><Relationship Id="rId1" Type="http://schemas.openxmlformats.org/officeDocument/2006/relationships/hyperlink" Target="http://www.ti.com/po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vmlDrawing" Target="../drawings/vmlDrawing1.v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18" Type="http://schemas.openxmlformats.org/officeDocument/2006/relationships/ctrlProp" Target="../ctrlProps/ctrlProp26.xml"/><Relationship Id="rId26" Type="http://schemas.openxmlformats.org/officeDocument/2006/relationships/ctrlProp" Target="../ctrlProps/ctrlProp34.xml"/><Relationship Id="rId3" Type="http://schemas.openxmlformats.org/officeDocument/2006/relationships/vmlDrawing" Target="../drawings/vmlDrawing3.vml"/><Relationship Id="rId21" Type="http://schemas.openxmlformats.org/officeDocument/2006/relationships/ctrlProp" Target="../ctrlProps/ctrlProp29.xml"/><Relationship Id="rId7" Type="http://schemas.openxmlformats.org/officeDocument/2006/relationships/ctrlProp" Target="../ctrlProps/ctrlProp15.xml"/><Relationship Id="rId12" Type="http://schemas.openxmlformats.org/officeDocument/2006/relationships/ctrlProp" Target="../ctrlProps/ctrlProp20.xml"/><Relationship Id="rId17" Type="http://schemas.openxmlformats.org/officeDocument/2006/relationships/ctrlProp" Target="../ctrlProps/ctrlProp25.xml"/><Relationship Id="rId25"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24.xml"/><Relationship Id="rId20" Type="http://schemas.openxmlformats.org/officeDocument/2006/relationships/ctrlProp" Target="../ctrlProps/ctrlProp28.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11" Type="http://schemas.openxmlformats.org/officeDocument/2006/relationships/ctrlProp" Target="../ctrlProps/ctrlProp19.xml"/><Relationship Id="rId24" Type="http://schemas.openxmlformats.org/officeDocument/2006/relationships/ctrlProp" Target="../ctrlProps/ctrlProp32.xml"/><Relationship Id="rId5" Type="http://schemas.openxmlformats.org/officeDocument/2006/relationships/ctrlProp" Target="../ctrlProps/ctrlProp13.xml"/><Relationship Id="rId15" Type="http://schemas.openxmlformats.org/officeDocument/2006/relationships/ctrlProp" Target="../ctrlProps/ctrlProp23.xml"/><Relationship Id="rId23" Type="http://schemas.openxmlformats.org/officeDocument/2006/relationships/ctrlProp" Target="../ctrlProps/ctrlProp31.xml"/><Relationship Id="rId28" Type="http://schemas.openxmlformats.org/officeDocument/2006/relationships/ctrlProp" Target="../ctrlProps/ctrlProp36.xml"/><Relationship Id="rId10" Type="http://schemas.openxmlformats.org/officeDocument/2006/relationships/ctrlProp" Target="../ctrlProps/ctrlProp18.xml"/><Relationship Id="rId19" Type="http://schemas.openxmlformats.org/officeDocument/2006/relationships/ctrlProp" Target="../ctrlProps/ctrlProp27.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trlProp" Target="../ctrlProps/ctrlProp22.xml"/><Relationship Id="rId22" Type="http://schemas.openxmlformats.org/officeDocument/2006/relationships/ctrlProp" Target="../ctrlProps/ctrlProp30.xml"/><Relationship Id="rId27" Type="http://schemas.openxmlformats.org/officeDocument/2006/relationships/ctrlProp" Target="../ctrlProps/ctrlProp3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8.emf"/><Relationship Id="rId4" Type="http://schemas.openxmlformats.org/officeDocument/2006/relationships/oleObject" Target="../embeddings/Microsoft_Visio_2003-2010_Drawing.vsd"/></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AI459"/>
  <sheetViews>
    <sheetView tabSelected="1" zoomScale="200" zoomScaleNormal="100" zoomScaleSheetLayoutView="100" workbookViewId="0">
      <selection activeCell="E52" sqref="E52"/>
    </sheetView>
  </sheetViews>
  <sheetFormatPr defaultColWidth="9.140625" defaultRowHeight="14.1"/>
  <cols>
    <col min="1" max="1" width="8.28515625" style="195" customWidth="1"/>
    <col min="2" max="2" width="8.28515625" style="97" customWidth="1"/>
    <col min="3" max="3" width="14.42578125" style="97" customWidth="1"/>
    <col min="4" max="4" width="8" style="97" customWidth="1"/>
    <col min="5" max="5" width="7" style="97" customWidth="1"/>
    <col min="6" max="6" width="8.28515625" style="97" customWidth="1"/>
    <col min="7" max="7" width="9.140625" style="97" customWidth="1"/>
    <col min="8" max="8" width="11.85546875" style="97" customWidth="1"/>
    <col min="9" max="9" width="9.140625" style="97"/>
    <col min="10" max="10" width="12.42578125" style="97" bestFit="1" customWidth="1"/>
    <col min="11" max="11" width="9.140625" style="97"/>
    <col min="12" max="12" width="12.42578125" style="97" bestFit="1" customWidth="1"/>
    <col min="13" max="15" width="9.140625" style="97"/>
    <col min="16" max="16" width="10.140625" style="97" customWidth="1"/>
    <col min="17" max="17" width="41.85546875" style="97" customWidth="1"/>
    <col min="18" max="18" width="3.140625" style="97" customWidth="1"/>
    <col min="19" max="19" width="10" style="97" bestFit="1" customWidth="1"/>
    <col min="20" max="16384" width="9.140625" style="97"/>
  </cols>
  <sheetData>
    <row r="1" spans="1:18" ht="50.25" customHeight="1">
      <c r="A1" s="408" t="s">
        <v>0</v>
      </c>
      <c r="B1" s="409"/>
      <c r="C1" s="409"/>
      <c r="D1" s="409"/>
      <c r="E1" s="409"/>
      <c r="F1" s="409"/>
      <c r="G1" s="409"/>
      <c r="H1" s="409"/>
      <c r="I1" s="409"/>
      <c r="J1" s="409"/>
      <c r="K1" s="409"/>
      <c r="L1" s="409"/>
      <c r="M1" s="409"/>
      <c r="N1" s="409"/>
      <c r="O1" s="409"/>
      <c r="P1" s="409"/>
      <c r="Q1" s="409"/>
      <c r="R1" s="270"/>
    </row>
    <row r="2" spans="1:18" ht="13.5" customHeight="1">
      <c r="A2" s="387"/>
      <c r="B2" s="274"/>
      <c r="C2" s="274"/>
      <c r="D2" s="274"/>
      <c r="E2" s="274"/>
      <c r="F2" s="274"/>
      <c r="G2" s="274"/>
      <c r="H2" s="274"/>
      <c r="I2" s="274"/>
      <c r="J2" s="274"/>
      <c r="K2" s="274"/>
      <c r="L2" s="274"/>
      <c r="M2" s="378"/>
      <c r="N2" s="383"/>
      <c r="O2" s="384"/>
      <c r="P2" s="383"/>
      <c r="Q2" s="383"/>
      <c r="R2" s="270"/>
    </row>
    <row r="3" spans="1:18" ht="14.25" customHeight="1">
      <c r="A3" s="284" t="s">
        <v>1</v>
      </c>
      <c r="B3" s="275"/>
      <c r="C3" s="285" t="s">
        <v>2</v>
      </c>
      <c r="D3" s="276"/>
      <c r="E3" s="129"/>
      <c r="F3" s="278" t="s">
        <v>3</v>
      </c>
      <c r="G3" s="277"/>
      <c r="H3" s="274"/>
      <c r="I3" s="274"/>
      <c r="J3" s="277"/>
      <c r="K3" s="279"/>
      <c r="L3" s="280"/>
      <c r="M3" s="379"/>
      <c r="N3" s="386"/>
      <c r="O3" s="407" t="s">
        <v>4</v>
      </c>
      <c r="P3" s="407"/>
      <c r="Q3" s="270" t="s">
        <v>5</v>
      </c>
      <c r="R3" s="270"/>
    </row>
    <row r="4" spans="1:18" ht="13.5" customHeight="1" thickBot="1">
      <c r="A4" s="281"/>
      <c r="B4" s="282"/>
      <c r="C4" s="283"/>
      <c r="D4" s="283"/>
      <c r="E4" s="283"/>
      <c r="F4" s="283"/>
      <c r="G4" s="283"/>
      <c r="H4" s="283"/>
      <c r="I4" s="283"/>
      <c r="J4" s="283"/>
      <c r="K4" s="283"/>
      <c r="L4" s="283"/>
      <c r="M4" s="380"/>
      <c r="N4" s="385"/>
      <c r="O4" s="385"/>
      <c r="P4" s="385"/>
      <c r="Q4" s="385"/>
      <c r="R4" s="270"/>
    </row>
    <row r="5" spans="1:18" ht="20.100000000000001" customHeight="1" thickBot="1">
      <c r="A5" s="400" t="s">
        <v>6</v>
      </c>
      <c r="B5" s="128"/>
      <c r="C5" s="98"/>
      <c r="D5" s="98"/>
      <c r="E5" s="100"/>
      <c r="F5" s="98"/>
      <c r="G5" s="115"/>
      <c r="H5" s="101"/>
      <c r="I5" s="101"/>
      <c r="J5" s="101"/>
      <c r="K5" s="101"/>
      <c r="L5" s="101"/>
      <c r="M5" s="381"/>
      <c r="N5" s="381"/>
      <c r="O5" s="381"/>
      <c r="P5" s="381"/>
      <c r="Q5" s="382"/>
      <c r="R5" s="270"/>
    </row>
    <row r="6" spans="1:18" ht="14.1" customHeight="1">
      <c r="A6" s="192"/>
      <c r="B6" s="186"/>
      <c r="C6" s="403"/>
      <c r="D6" s="304" t="s">
        <v>7</v>
      </c>
      <c r="E6" s="306">
        <v>15</v>
      </c>
      <c r="F6" s="305" t="s">
        <v>8</v>
      </c>
      <c r="G6" s="137"/>
      <c r="H6" s="135"/>
      <c r="I6" s="101"/>
      <c r="J6" s="101"/>
      <c r="K6" s="101"/>
      <c r="L6" s="101"/>
      <c r="M6" s="101"/>
      <c r="N6" s="101"/>
      <c r="O6" s="101"/>
      <c r="P6" s="101"/>
      <c r="Q6" s="114"/>
      <c r="R6" s="270"/>
    </row>
    <row r="7" spans="1:18" ht="14.1" customHeight="1">
      <c r="A7" s="287"/>
      <c r="B7" s="135"/>
      <c r="C7" s="133"/>
      <c r="D7" s="166" t="s">
        <v>9</v>
      </c>
      <c r="E7" s="136">
        <v>18</v>
      </c>
      <c r="F7" s="171" t="s">
        <v>8</v>
      </c>
      <c r="G7" s="137"/>
      <c r="H7" s="135"/>
      <c r="I7" s="101"/>
      <c r="J7" s="101"/>
      <c r="K7" s="101"/>
      <c r="L7" s="101"/>
      <c r="M7" s="101"/>
      <c r="N7" s="101"/>
      <c r="O7" s="101"/>
      <c r="P7" s="101"/>
      <c r="Q7" s="114"/>
      <c r="R7" s="270"/>
    </row>
    <row r="8" spans="1:18" ht="14.1" customHeight="1">
      <c r="A8" s="287"/>
      <c r="B8" s="135"/>
      <c r="C8" s="133"/>
      <c r="D8" s="166" t="s">
        <v>10</v>
      </c>
      <c r="E8" s="136">
        <v>22</v>
      </c>
      <c r="F8" s="171" t="s">
        <v>8</v>
      </c>
      <c r="G8" s="137"/>
      <c r="H8" s="135"/>
      <c r="I8" s="101"/>
      <c r="J8" s="101"/>
      <c r="K8" s="101"/>
      <c r="L8" s="101"/>
      <c r="M8" s="101"/>
      <c r="N8" s="101"/>
      <c r="O8" s="101"/>
      <c r="P8" s="101"/>
      <c r="Q8" s="114"/>
      <c r="R8" s="270"/>
    </row>
    <row r="9" spans="1:18" ht="14.1" customHeight="1">
      <c r="A9" s="287"/>
      <c r="B9" s="135"/>
      <c r="C9" s="133"/>
      <c r="D9" s="166" t="s">
        <v>11</v>
      </c>
      <c r="E9" s="136">
        <v>5</v>
      </c>
      <c r="F9" s="171" t="s">
        <v>8</v>
      </c>
      <c r="G9" s="137"/>
      <c r="H9" s="135"/>
      <c r="I9" s="101"/>
      <c r="J9" s="101"/>
      <c r="K9" s="101"/>
      <c r="L9" s="101"/>
      <c r="M9" s="101"/>
      <c r="N9" s="101"/>
      <c r="O9" s="101"/>
      <c r="P9" s="101"/>
      <c r="Q9" s="114"/>
      <c r="R9" s="270"/>
    </row>
    <row r="10" spans="1:18" ht="14.1" customHeight="1">
      <c r="A10" s="287"/>
      <c r="B10" s="135"/>
      <c r="C10" s="133"/>
      <c r="D10" s="166" t="s">
        <v>12</v>
      </c>
      <c r="E10" s="136">
        <v>15</v>
      </c>
      <c r="F10" s="171" t="s">
        <v>13</v>
      </c>
      <c r="G10" s="137"/>
      <c r="H10" s="135"/>
      <c r="I10" s="101"/>
      <c r="J10" s="101"/>
      <c r="K10" s="101"/>
      <c r="L10" s="101"/>
      <c r="M10" s="101"/>
      <c r="N10" s="101"/>
      <c r="O10" s="101"/>
      <c r="P10" s="101"/>
      <c r="Q10" s="114"/>
      <c r="R10" s="270"/>
    </row>
    <row r="11" spans="1:18" ht="14.1" customHeight="1">
      <c r="A11" s="287"/>
      <c r="B11" s="135"/>
      <c r="C11" s="133"/>
      <c r="D11" s="166" t="s">
        <v>14</v>
      </c>
      <c r="E11" s="138">
        <v>300</v>
      </c>
      <c r="F11" s="171" t="s">
        <v>15</v>
      </c>
      <c r="G11" s="137"/>
      <c r="H11" s="135"/>
      <c r="I11" s="101"/>
      <c r="J11" s="101"/>
      <c r="K11" s="101"/>
      <c r="L11" s="101"/>
      <c r="M11" s="101"/>
      <c r="N11" s="101"/>
      <c r="O11" s="101"/>
      <c r="P11" s="101"/>
      <c r="Q11" s="114"/>
      <c r="R11" s="270"/>
    </row>
    <row r="12" spans="1:18" ht="14.1" customHeight="1">
      <c r="A12" s="287"/>
      <c r="B12" s="135"/>
      <c r="C12" s="133"/>
      <c r="D12" s="166" t="s">
        <v>16</v>
      </c>
      <c r="E12" s="138">
        <v>250</v>
      </c>
      <c r="F12" s="171" t="s">
        <v>15</v>
      </c>
      <c r="G12" s="139"/>
      <c r="H12" s="135"/>
      <c r="I12" s="101"/>
      <c r="J12" s="101"/>
      <c r="K12" s="101"/>
      <c r="L12" s="101"/>
      <c r="M12" s="101"/>
      <c r="N12" s="101"/>
      <c r="O12" s="101"/>
      <c r="P12" s="101"/>
      <c r="Q12" s="114"/>
      <c r="R12" s="270"/>
    </row>
    <row r="13" spans="1:18" ht="15.95" customHeight="1" thickBot="1">
      <c r="A13" s="172"/>
      <c r="B13" s="173"/>
      <c r="C13" s="134"/>
      <c r="D13" s="134" t="s">
        <v>17</v>
      </c>
      <c r="E13" s="134">
        <f>'Standard Value Calculator'!S4/1000</f>
        <v>33.200000000000003</v>
      </c>
      <c r="F13" s="174" t="s">
        <v>18</v>
      </c>
      <c r="G13" s="137"/>
      <c r="H13" s="135"/>
      <c r="I13" s="101"/>
      <c r="J13" s="101"/>
      <c r="K13" s="101"/>
      <c r="L13" s="101"/>
      <c r="M13" s="101"/>
      <c r="N13" s="101"/>
      <c r="O13" s="101"/>
      <c r="P13" s="101"/>
      <c r="Q13" s="114"/>
      <c r="R13" s="270"/>
    </row>
    <row r="14" spans="1:18" ht="14.1" customHeight="1">
      <c r="A14" s="287"/>
      <c r="B14" s="135"/>
      <c r="C14" s="135"/>
      <c r="D14" s="140"/>
      <c r="E14" s="141"/>
      <c r="F14" s="135"/>
      <c r="G14" s="137"/>
      <c r="H14" s="135"/>
      <c r="I14" s="101"/>
      <c r="J14" s="101"/>
      <c r="K14" s="101"/>
      <c r="L14" s="101"/>
      <c r="M14" s="101"/>
      <c r="N14" s="101"/>
      <c r="O14" s="101"/>
      <c r="P14" s="101"/>
      <c r="Q14" s="114"/>
      <c r="R14" s="270"/>
    </row>
    <row r="15" spans="1:18" ht="20.100000000000001" customHeight="1" thickBot="1">
      <c r="A15" s="400" t="s">
        <v>19</v>
      </c>
      <c r="B15" s="142"/>
      <c r="C15" s="143"/>
      <c r="D15" s="143"/>
      <c r="E15" s="144"/>
      <c r="F15" s="143"/>
      <c r="G15" s="137"/>
      <c r="H15" s="135"/>
      <c r="I15" s="101"/>
      <c r="J15" s="101"/>
      <c r="K15" s="101"/>
      <c r="L15" s="101"/>
      <c r="M15" s="101"/>
      <c r="N15" s="101"/>
      <c r="O15" s="101"/>
      <c r="P15" s="101"/>
      <c r="Q15" s="114"/>
      <c r="R15" s="270"/>
    </row>
    <row r="16" spans="1:18" ht="14.1" customHeight="1">
      <c r="A16" s="192"/>
      <c r="B16" s="186"/>
      <c r="C16" s="403"/>
      <c r="D16" s="403" t="s">
        <v>20</v>
      </c>
      <c r="E16" s="358">
        <f>Lout1*1000000</f>
        <v>2.8917806695584471</v>
      </c>
      <c r="F16" s="187" t="s">
        <v>21</v>
      </c>
      <c r="G16" s="137"/>
      <c r="H16" s="135"/>
      <c r="I16" s="101"/>
      <c r="J16" s="101"/>
      <c r="K16" s="101"/>
      <c r="L16" s="101"/>
      <c r="M16" s="101"/>
      <c r="N16" s="101"/>
      <c r="O16" s="101"/>
      <c r="P16" s="101"/>
      <c r="Q16" s="114"/>
      <c r="R16" s="270"/>
    </row>
    <row r="17" spans="1:19" ht="14.1" customHeight="1">
      <c r="A17" s="287"/>
      <c r="B17" s="135"/>
      <c r="C17" s="133"/>
      <c r="D17" s="166" t="s">
        <v>22</v>
      </c>
      <c r="E17" s="136">
        <v>3.3</v>
      </c>
      <c r="F17" s="171" t="s">
        <v>21</v>
      </c>
      <c r="G17" s="137"/>
      <c r="H17" s="135"/>
      <c r="I17" s="101"/>
      <c r="J17" s="101"/>
      <c r="K17" s="101"/>
      <c r="L17" s="101"/>
      <c r="M17" s="101"/>
      <c r="N17" s="101"/>
      <c r="O17" s="101"/>
      <c r="P17" s="101"/>
      <c r="Q17" s="114"/>
      <c r="R17" s="270"/>
    </row>
    <row r="18" spans="1:19" ht="14.1" customHeight="1">
      <c r="A18" s="287"/>
      <c r="B18" s="135"/>
      <c r="C18" s="133"/>
      <c r="D18" s="166" t="s">
        <v>23</v>
      </c>
      <c r="E18" s="136">
        <v>6</v>
      </c>
      <c r="F18" s="171" t="s">
        <v>24</v>
      </c>
      <c r="G18" s="137"/>
      <c r="H18" s="135"/>
      <c r="I18" s="101"/>
      <c r="J18" s="101"/>
      <c r="K18" s="101"/>
      <c r="L18" s="101"/>
      <c r="M18" s="101"/>
      <c r="N18" s="101"/>
      <c r="O18" s="101"/>
      <c r="P18" s="101"/>
      <c r="Q18" s="114"/>
      <c r="R18" s="270"/>
    </row>
    <row r="19" spans="1:19" ht="15" customHeight="1">
      <c r="A19" s="287"/>
      <c r="B19" s="135"/>
      <c r="C19" s="133"/>
      <c r="D19" s="286" t="s">
        <v>25</v>
      </c>
      <c r="E19" s="163">
        <f>Iripple1</f>
        <v>4.7535807121299349</v>
      </c>
      <c r="F19" s="175" t="s">
        <v>26</v>
      </c>
      <c r="G19" s="137"/>
      <c r="H19" s="135"/>
      <c r="I19" s="101"/>
      <c r="J19" s="101"/>
      <c r="K19" s="101"/>
      <c r="L19" s="101"/>
      <c r="M19" s="101"/>
      <c r="N19" s="101"/>
      <c r="O19" s="101"/>
      <c r="P19" s="101"/>
      <c r="Q19" s="114"/>
      <c r="R19" s="270"/>
    </row>
    <row r="20" spans="1:19" ht="15" customHeight="1">
      <c r="A20" s="287"/>
      <c r="B20" s="135"/>
      <c r="C20" s="133"/>
      <c r="D20" s="133" t="s">
        <v>27</v>
      </c>
      <c r="E20" s="164">
        <f>Iripple1/Iout*100</f>
        <v>31.690538080866233</v>
      </c>
      <c r="F20" s="175" t="s">
        <v>28</v>
      </c>
      <c r="G20" s="137"/>
      <c r="H20" s="135"/>
      <c r="I20" s="101"/>
      <c r="J20" s="101"/>
      <c r="K20" s="101"/>
      <c r="L20" s="101"/>
      <c r="M20" s="101"/>
      <c r="N20" s="101"/>
      <c r="O20" s="101"/>
      <c r="P20" s="101"/>
      <c r="Q20" s="114"/>
      <c r="R20" s="270"/>
    </row>
    <row r="21" spans="1:19" ht="15" customHeight="1" thickBot="1">
      <c r="A21" s="172"/>
      <c r="B21" s="173"/>
      <c r="C21" s="460"/>
      <c r="D21" s="461" t="s">
        <v>29</v>
      </c>
      <c r="E21" s="462">
        <v>0.2</v>
      </c>
      <c r="F21" s="463" t="s">
        <v>30</v>
      </c>
      <c r="G21" s="137"/>
      <c r="H21" s="135"/>
      <c r="I21" s="101"/>
      <c r="J21" s="101"/>
      <c r="K21" s="101"/>
      <c r="L21" s="101"/>
      <c r="M21" s="101"/>
      <c r="N21" s="101"/>
      <c r="O21" s="101"/>
      <c r="P21" s="101"/>
      <c r="Q21" s="114"/>
      <c r="R21" s="270"/>
    </row>
    <row r="22" spans="1:19" ht="14.1" customHeight="1">
      <c r="A22" s="287"/>
      <c r="B22" s="135"/>
      <c r="C22" s="135"/>
      <c r="D22" s="135"/>
      <c r="E22" s="135"/>
      <c r="F22" s="135"/>
      <c r="G22" s="137"/>
      <c r="H22" s="135"/>
      <c r="I22" s="101"/>
      <c r="J22" s="101"/>
      <c r="K22" s="101"/>
      <c r="L22" s="101"/>
      <c r="M22" s="101"/>
      <c r="N22" s="101"/>
      <c r="O22" s="101"/>
      <c r="P22" s="101"/>
      <c r="Q22" s="114"/>
      <c r="R22" s="270"/>
    </row>
    <row r="23" spans="1:19" ht="20.100000000000001" customHeight="1" thickBot="1">
      <c r="A23" s="400" t="s">
        <v>31</v>
      </c>
      <c r="B23" s="142"/>
      <c r="C23" s="135"/>
      <c r="D23" s="135"/>
      <c r="E23" s="135"/>
      <c r="F23" s="135"/>
      <c r="G23" s="137"/>
      <c r="H23" s="135"/>
      <c r="I23" s="101"/>
      <c r="J23" s="101"/>
      <c r="K23" s="101"/>
      <c r="L23" s="101"/>
      <c r="M23" s="101"/>
      <c r="N23" s="101"/>
      <c r="O23" s="101"/>
      <c r="P23" s="101"/>
      <c r="Q23" s="114"/>
      <c r="R23" s="270"/>
    </row>
    <row r="24" spans="1:19" ht="15" customHeight="1">
      <c r="A24" s="301"/>
      <c r="B24" s="196"/>
      <c r="C24" s="302"/>
      <c r="D24" s="304" t="s">
        <v>32</v>
      </c>
      <c r="E24" s="306">
        <v>6</v>
      </c>
      <c r="F24" s="305" t="s">
        <v>24</v>
      </c>
      <c r="G24" s="137"/>
      <c r="H24" s="135"/>
      <c r="I24" s="101"/>
      <c r="J24" s="101"/>
      <c r="K24" s="101"/>
      <c r="L24" s="101"/>
      <c r="M24" s="101"/>
      <c r="N24" s="101"/>
      <c r="O24" s="101"/>
      <c r="P24" s="101"/>
      <c r="Q24" s="114"/>
      <c r="R24" s="270"/>
      <c r="S24" s="97" t="s">
        <v>33</v>
      </c>
    </row>
    <row r="25" spans="1:19" ht="15" customHeight="1">
      <c r="A25" s="287"/>
      <c r="B25" s="135"/>
      <c r="C25" s="135"/>
      <c r="D25" s="166" t="s">
        <v>34</v>
      </c>
      <c r="E25" s="136">
        <v>13</v>
      </c>
      <c r="F25" s="171" t="s">
        <v>13</v>
      </c>
      <c r="G25" s="137"/>
      <c r="H25" s="135"/>
      <c r="I25" s="101"/>
      <c r="J25" s="101"/>
      <c r="K25" s="101"/>
      <c r="L25" s="101"/>
      <c r="M25" s="101"/>
      <c r="N25" s="101"/>
      <c r="O25" s="101"/>
      <c r="P25" s="101"/>
      <c r="Q25" s="114"/>
      <c r="R25" s="270"/>
    </row>
    <row r="26" spans="1:19" ht="15" customHeight="1">
      <c r="A26" s="135"/>
      <c r="B26" s="135"/>
      <c r="C26" s="135"/>
      <c r="D26" s="133" t="s">
        <v>35</v>
      </c>
      <c r="E26" s="164">
        <f>IF(RDSON_sense=1, Rilim_Rdson, Rilim_shunt)</f>
        <v>536</v>
      </c>
      <c r="F26" s="175" t="s">
        <v>36</v>
      </c>
      <c r="G26" s="139"/>
      <c r="H26" s="135"/>
      <c r="I26" s="101"/>
      <c r="J26" s="101"/>
      <c r="K26" s="101"/>
      <c r="L26" s="101"/>
      <c r="M26" s="101"/>
      <c r="N26" s="101"/>
      <c r="O26" s="101"/>
      <c r="P26" s="101"/>
      <c r="Q26" s="114"/>
      <c r="R26" s="270"/>
    </row>
    <row r="27" spans="1:19" ht="14.1" customHeight="1">
      <c r="A27" s="287"/>
      <c r="B27" s="135"/>
      <c r="C27" s="135"/>
      <c r="D27" s="133" t="s">
        <v>37</v>
      </c>
      <c r="E27" s="163">
        <f>'Variable Management'!B51</f>
        <v>18</v>
      </c>
      <c r="F27" s="175" t="s">
        <v>13</v>
      </c>
      <c r="G27" s="135"/>
      <c r="H27" s="135"/>
      <c r="I27" s="101"/>
      <c r="J27" s="101"/>
      <c r="K27" s="101"/>
      <c r="L27" s="101"/>
      <c r="M27" s="101"/>
      <c r="N27" s="101"/>
      <c r="O27" s="101"/>
      <c r="P27" s="101"/>
      <c r="Q27" s="114"/>
      <c r="R27" s="270"/>
    </row>
    <row r="28" spans="1:19" ht="14.1" customHeight="1" thickBot="1">
      <c r="A28" s="172"/>
      <c r="B28" s="173"/>
      <c r="C28" s="173"/>
      <c r="D28" s="464" t="s">
        <v>38</v>
      </c>
      <c r="E28" s="134">
        <f>_Rs3</f>
        <v>0.81</v>
      </c>
      <c r="F28" s="174" t="s">
        <v>30</v>
      </c>
      <c r="G28" s="135"/>
      <c r="H28" s="135"/>
      <c r="I28" s="101"/>
      <c r="J28" s="101"/>
      <c r="K28" s="101"/>
      <c r="L28" s="101"/>
      <c r="M28" s="101"/>
      <c r="N28" s="101"/>
      <c r="O28" s="101"/>
      <c r="P28" s="101"/>
      <c r="Q28" s="114"/>
      <c r="R28" s="270"/>
    </row>
    <row r="29" spans="1:19" ht="14.1" customHeight="1">
      <c r="A29" s="465"/>
      <c r="B29" s="123"/>
      <c r="C29" s="123"/>
      <c r="D29" s="123"/>
      <c r="E29" s="123"/>
      <c r="F29" s="123"/>
      <c r="G29" s="135"/>
      <c r="H29" s="135"/>
      <c r="I29" s="101"/>
      <c r="J29" s="101"/>
      <c r="K29" s="101"/>
      <c r="L29" s="101"/>
      <c r="M29" s="101"/>
      <c r="N29" s="101"/>
      <c r="O29" s="101"/>
      <c r="P29" s="101"/>
      <c r="Q29" s="114"/>
      <c r="R29" s="270"/>
    </row>
    <row r="30" spans="1:19" ht="18.95" thickBot="1">
      <c r="A30" s="400" t="s">
        <v>39</v>
      </c>
      <c r="B30" s="142"/>
      <c r="C30" s="143"/>
      <c r="D30" s="143"/>
      <c r="E30" s="144"/>
      <c r="F30" s="143"/>
      <c r="G30" s="135"/>
      <c r="H30" s="135"/>
      <c r="I30" s="101"/>
      <c r="J30" s="101"/>
      <c r="K30" s="101"/>
      <c r="L30" s="101"/>
      <c r="M30" s="101"/>
      <c r="N30" s="101"/>
      <c r="O30" s="101"/>
      <c r="P30" s="101"/>
      <c r="Q30" s="114"/>
      <c r="R30" s="270"/>
    </row>
    <row r="31" spans="1:19" ht="14.1" customHeight="1">
      <c r="A31" s="184"/>
      <c r="B31" s="185"/>
      <c r="C31" s="403"/>
      <c r="D31" s="466" t="s">
        <v>40</v>
      </c>
      <c r="E31" s="467">
        <v>200</v>
      </c>
      <c r="F31" s="305" t="s">
        <v>41</v>
      </c>
      <c r="G31" s="135"/>
      <c r="H31" s="135"/>
      <c r="I31" s="101"/>
      <c r="J31" s="101"/>
      <c r="K31" s="101"/>
      <c r="L31" s="101"/>
      <c r="M31" s="101"/>
      <c r="N31" s="101"/>
      <c r="O31" s="101"/>
      <c r="P31" s="101"/>
      <c r="Q31" s="114"/>
      <c r="R31" s="270"/>
    </row>
    <row r="32" spans="1:19" ht="14.1" customHeight="1">
      <c r="A32" s="287"/>
      <c r="B32" s="135"/>
      <c r="C32" s="133"/>
      <c r="D32" s="133" t="s">
        <v>42</v>
      </c>
      <c r="E32" s="164">
        <f>Coutmin*1000000</f>
        <v>11.883951780324837</v>
      </c>
      <c r="F32" s="175" t="s">
        <v>43</v>
      </c>
      <c r="G32" s="135"/>
      <c r="H32" s="135"/>
      <c r="I32" s="101"/>
      <c r="J32" s="101"/>
      <c r="K32" s="101"/>
      <c r="L32" s="101"/>
      <c r="M32" s="101"/>
      <c r="N32" s="101"/>
      <c r="O32" s="101"/>
      <c r="P32" s="101"/>
      <c r="Q32" s="114"/>
      <c r="R32" s="270"/>
    </row>
    <row r="33" spans="1:18" ht="14.1" customHeight="1">
      <c r="A33" s="287"/>
      <c r="B33" s="135"/>
      <c r="C33" s="133"/>
      <c r="D33" s="132" t="s">
        <v>44</v>
      </c>
      <c r="E33" s="136">
        <v>800</v>
      </c>
      <c r="F33" s="171" t="s">
        <v>43</v>
      </c>
      <c r="G33" s="137"/>
      <c r="H33" s="135"/>
      <c r="I33" s="101"/>
      <c r="J33" s="101"/>
      <c r="K33" s="101"/>
      <c r="L33" s="101"/>
      <c r="M33" s="101"/>
      <c r="N33" s="101"/>
      <c r="O33" s="101"/>
      <c r="P33" s="101"/>
      <c r="Q33" s="114"/>
      <c r="R33" s="270"/>
    </row>
    <row r="34" spans="1:18" ht="14.1" customHeight="1">
      <c r="A34" s="287"/>
      <c r="B34" s="135"/>
      <c r="C34" s="133"/>
      <c r="D34" s="133" t="s">
        <v>45</v>
      </c>
      <c r="E34" s="165">
        <f>IF(ISERROR(Resrmax*1000),"N/A",Resrmax*1000)</f>
        <v>42.068904257536914</v>
      </c>
      <c r="F34" s="175" t="s">
        <v>24</v>
      </c>
      <c r="G34" s="137"/>
      <c r="H34" s="135"/>
      <c r="I34" s="101"/>
      <c r="J34" s="101"/>
      <c r="K34" s="101"/>
      <c r="L34" s="101"/>
      <c r="M34" s="101"/>
      <c r="N34" s="101"/>
      <c r="O34" s="101"/>
      <c r="P34" s="101"/>
      <c r="Q34" s="114"/>
      <c r="R34" s="270"/>
    </row>
    <row r="35" spans="1:18" ht="14.1" customHeight="1">
      <c r="A35" s="287"/>
      <c r="B35" s="135"/>
      <c r="C35" s="133"/>
      <c r="D35" s="132" t="s">
        <v>46</v>
      </c>
      <c r="E35" s="138">
        <v>1</v>
      </c>
      <c r="F35" s="171" t="s">
        <v>24</v>
      </c>
      <c r="G35" s="137"/>
      <c r="H35" s="135"/>
      <c r="I35" s="101"/>
      <c r="J35" s="101"/>
      <c r="K35" s="101"/>
      <c r="L35" s="101"/>
      <c r="M35" s="101"/>
      <c r="N35" s="101"/>
      <c r="O35" s="101"/>
      <c r="P35" s="101"/>
      <c r="Q35" s="114"/>
      <c r="R35" s="270"/>
    </row>
    <row r="36" spans="1:18" ht="14.1" customHeight="1">
      <c r="A36" s="287"/>
      <c r="B36" s="135"/>
      <c r="C36" s="135"/>
      <c r="D36" s="133" t="s">
        <v>47</v>
      </c>
      <c r="E36" s="164">
        <f>Vripple2*1000</f>
        <v>5.6056488434927489</v>
      </c>
      <c r="F36" s="175" t="s">
        <v>48</v>
      </c>
      <c r="G36" s="137"/>
      <c r="H36" s="135"/>
      <c r="I36" s="101"/>
      <c r="J36" s="101"/>
      <c r="K36" s="101"/>
      <c r="L36" s="101"/>
      <c r="M36" s="101"/>
      <c r="N36" s="101"/>
      <c r="O36" s="101"/>
      <c r="P36" s="101"/>
      <c r="Q36" s="114"/>
      <c r="R36" s="270"/>
    </row>
    <row r="37" spans="1:18" ht="14.1" customHeight="1" thickBot="1">
      <c r="A37" s="172"/>
      <c r="B37" s="173"/>
      <c r="C37" s="173"/>
      <c r="D37" s="134" t="s">
        <v>49</v>
      </c>
      <c r="E37" s="176">
        <f>Icoutrms</f>
        <v>1.3722405518814156</v>
      </c>
      <c r="F37" s="174" t="s">
        <v>50</v>
      </c>
      <c r="G37" s="139"/>
      <c r="H37" s="135"/>
      <c r="I37" s="101"/>
      <c r="J37" s="101"/>
      <c r="K37" s="116"/>
      <c r="L37" s="101"/>
      <c r="M37" s="101"/>
      <c r="N37" s="101"/>
      <c r="O37" s="101"/>
      <c r="P37" s="101"/>
      <c r="Q37" s="114"/>
      <c r="R37" s="270"/>
    </row>
    <row r="38" spans="1:18" ht="14.1" customHeight="1">
      <c r="A38" s="468"/>
      <c r="B38" s="145"/>
      <c r="C38" s="145"/>
      <c r="D38" s="145"/>
      <c r="E38" s="145"/>
      <c r="F38" s="145"/>
      <c r="G38" s="135"/>
      <c r="H38" s="135"/>
      <c r="I38" s="101"/>
      <c r="J38" s="101"/>
      <c r="K38" s="101"/>
      <c r="L38" s="101"/>
      <c r="M38" s="101"/>
      <c r="N38" s="101"/>
      <c r="O38" s="101"/>
      <c r="P38" s="101"/>
      <c r="Q38" s="114"/>
      <c r="R38" s="270"/>
    </row>
    <row r="39" spans="1:18" ht="18.95" thickBot="1">
      <c r="A39" s="400" t="s">
        <v>51</v>
      </c>
      <c r="B39" s="142"/>
      <c r="C39" s="143"/>
      <c r="D39" s="143"/>
      <c r="E39" s="135"/>
      <c r="F39" s="135"/>
      <c r="G39" s="135"/>
      <c r="H39" s="135"/>
      <c r="I39" s="101"/>
      <c r="J39" s="101"/>
      <c r="K39" s="101"/>
      <c r="L39" s="117"/>
      <c r="M39" s="101"/>
      <c r="N39" s="101"/>
      <c r="O39" s="101"/>
      <c r="P39" s="101"/>
      <c r="Q39" s="114"/>
      <c r="R39" s="270"/>
    </row>
    <row r="40" spans="1:18" ht="14.1" customHeight="1">
      <c r="A40" s="184"/>
      <c r="B40" s="185"/>
      <c r="C40" s="186"/>
      <c r="D40" s="304" t="s">
        <v>52</v>
      </c>
      <c r="E40" s="467">
        <v>480</v>
      </c>
      <c r="F40" s="305" t="s">
        <v>41</v>
      </c>
      <c r="G40" s="135"/>
      <c r="H40" s="135"/>
      <c r="I40" s="101"/>
      <c r="J40" s="118"/>
      <c r="K40" s="101"/>
      <c r="L40" s="101"/>
      <c r="M40" s="101"/>
      <c r="N40" s="101"/>
      <c r="O40" s="101"/>
      <c r="P40" s="101"/>
      <c r="Q40" s="114"/>
      <c r="R40" s="270"/>
    </row>
    <row r="41" spans="1:18" ht="14.1" customHeight="1">
      <c r="A41" s="469"/>
      <c r="B41" s="143"/>
      <c r="C41" s="135"/>
      <c r="D41" s="133" t="s">
        <v>53</v>
      </c>
      <c r="E41" s="164">
        <f>'Variable Management'!B80*1000000</f>
        <v>26.33312883699919</v>
      </c>
      <c r="F41" s="175" t="s">
        <v>43</v>
      </c>
      <c r="G41" s="135"/>
      <c r="H41" s="135"/>
      <c r="I41" s="101"/>
      <c r="J41" s="118"/>
      <c r="K41" s="101"/>
      <c r="L41" s="101"/>
      <c r="M41" s="101"/>
      <c r="N41" s="101"/>
      <c r="O41" s="101"/>
      <c r="P41" s="101"/>
      <c r="Q41" s="114"/>
      <c r="R41" s="270"/>
    </row>
    <row r="42" spans="1:18" ht="14.1" customHeight="1">
      <c r="A42" s="287"/>
      <c r="B42" s="135"/>
      <c r="C42" s="143"/>
      <c r="D42" s="166" t="s">
        <v>54</v>
      </c>
      <c r="E42" s="136">
        <v>250</v>
      </c>
      <c r="F42" s="171" t="s">
        <v>43</v>
      </c>
      <c r="G42" s="135"/>
      <c r="H42" s="135"/>
      <c r="I42" s="101"/>
      <c r="J42" s="118"/>
      <c r="K42" s="101"/>
      <c r="L42" s="101"/>
      <c r="M42" s="101"/>
      <c r="N42" s="101"/>
      <c r="O42" s="101"/>
      <c r="P42" s="101"/>
      <c r="Q42" s="114"/>
      <c r="R42" s="270"/>
    </row>
    <row r="43" spans="1:18" ht="14.1" customHeight="1">
      <c r="A43" s="287"/>
      <c r="B43" s="135"/>
      <c r="C43" s="143"/>
      <c r="D43" s="133" t="s">
        <v>45</v>
      </c>
      <c r="E43" s="165">
        <f>IF(CinEsrMax*1000&lt;0,"N/A",CinEsrMax*1000)</f>
        <v>24.713447295695509</v>
      </c>
      <c r="F43" s="175" t="s">
        <v>24</v>
      </c>
      <c r="G43" s="135"/>
      <c r="H43" s="135"/>
      <c r="I43" s="101"/>
      <c r="J43" s="119"/>
      <c r="K43" s="101"/>
      <c r="L43" s="101"/>
      <c r="M43" s="101"/>
      <c r="N43" s="101"/>
      <c r="O43" s="101"/>
      <c r="P43" s="101"/>
      <c r="Q43" s="114" t="s">
        <v>55</v>
      </c>
      <c r="R43" s="270"/>
    </row>
    <row r="44" spans="1:18" ht="14.1" customHeight="1">
      <c r="A44" s="287"/>
      <c r="B44" s="135"/>
      <c r="C44" s="143"/>
      <c r="D44" s="166" t="s">
        <v>56</v>
      </c>
      <c r="E44" s="136">
        <v>2</v>
      </c>
      <c r="F44" s="171" t="s">
        <v>24</v>
      </c>
      <c r="G44" s="135"/>
      <c r="H44" s="135"/>
      <c r="I44" s="101"/>
      <c r="J44" s="119"/>
      <c r="K44" s="101"/>
      <c r="L44" s="101"/>
      <c r="M44" s="101"/>
      <c r="N44" s="101"/>
      <c r="O44" s="101"/>
      <c r="P44" s="101"/>
      <c r="Q44" s="114"/>
      <c r="R44" s="270"/>
    </row>
    <row r="45" spans="1:18" ht="14.1" customHeight="1">
      <c r="A45" s="287"/>
      <c r="B45" s="135"/>
      <c r="C45" s="143"/>
      <c r="D45" s="133" t="s">
        <v>57</v>
      </c>
      <c r="E45" s="164">
        <f>Vinripple2*1000</f>
        <v>85.313188079168384</v>
      </c>
      <c r="F45" s="175" t="s">
        <v>48</v>
      </c>
      <c r="G45" s="135"/>
      <c r="H45" s="135"/>
      <c r="I45" s="101"/>
      <c r="J45" s="119"/>
      <c r="K45" s="101"/>
      <c r="L45" s="101"/>
      <c r="M45" s="101"/>
      <c r="N45" s="101"/>
      <c r="O45" s="101"/>
      <c r="P45" s="101"/>
      <c r="Q45" s="114"/>
      <c r="R45" s="270"/>
    </row>
    <row r="46" spans="1:18" ht="14.1" customHeight="1" thickBot="1">
      <c r="A46" s="172"/>
      <c r="B46" s="173"/>
      <c r="C46" s="173"/>
      <c r="D46" s="134" t="s">
        <v>58</v>
      </c>
      <c r="E46" s="176">
        <f>Icinrms</f>
        <v>6.8847390587151915</v>
      </c>
      <c r="F46" s="174" t="s">
        <v>50</v>
      </c>
      <c r="G46" s="135"/>
      <c r="H46" s="135"/>
      <c r="I46" s="101"/>
      <c r="J46" s="101"/>
      <c r="K46" s="101"/>
      <c r="L46" s="101"/>
      <c r="M46" s="101"/>
      <c r="N46" s="101"/>
      <c r="O46" s="101"/>
      <c r="P46" s="101"/>
      <c r="Q46" s="114"/>
      <c r="R46" s="270"/>
    </row>
    <row r="47" spans="1:18" ht="14.1" customHeight="1">
      <c r="A47" s="287"/>
      <c r="B47" s="135"/>
      <c r="C47" s="135"/>
      <c r="D47" s="133"/>
      <c r="E47" s="135"/>
      <c r="F47" s="135"/>
      <c r="G47" s="135"/>
      <c r="H47" s="135"/>
      <c r="I47" s="101"/>
      <c r="J47" s="101"/>
      <c r="K47" s="101"/>
      <c r="L47" s="101"/>
      <c r="M47" s="101"/>
      <c r="N47" s="101"/>
      <c r="O47" s="101"/>
      <c r="P47" s="101"/>
      <c r="Q47" s="114"/>
      <c r="R47" s="270"/>
    </row>
    <row r="48" spans="1:18" ht="18.95" thickBot="1">
      <c r="A48" s="400" t="s">
        <v>59</v>
      </c>
      <c r="B48" s="142"/>
      <c r="C48" s="135"/>
      <c r="D48" s="133"/>
      <c r="E48" s="135"/>
      <c r="F48" s="135"/>
      <c r="G48" s="135"/>
      <c r="H48" s="146"/>
      <c r="I48" s="123"/>
      <c r="J48" s="123"/>
      <c r="K48" s="123"/>
      <c r="L48" s="123"/>
      <c r="M48" s="123"/>
      <c r="N48" s="101"/>
      <c r="O48" s="101"/>
      <c r="P48" s="101"/>
      <c r="Q48" s="114"/>
      <c r="R48" s="270"/>
    </row>
    <row r="49" spans="1:35" ht="14.1" customHeight="1">
      <c r="A49" s="192"/>
      <c r="B49" s="186"/>
      <c r="C49" s="186"/>
      <c r="D49" s="470" t="s">
        <v>60</v>
      </c>
      <c r="E49" s="306">
        <v>100</v>
      </c>
      <c r="F49" s="305" t="s">
        <v>61</v>
      </c>
      <c r="G49" s="135"/>
      <c r="H49" s="145"/>
      <c r="I49" s="123"/>
      <c r="J49" s="123"/>
      <c r="K49" s="123"/>
      <c r="L49" s="123"/>
      <c r="M49" s="123"/>
      <c r="N49" s="101"/>
      <c r="O49" s="101"/>
      <c r="P49" s="101"/>
      <c r="Q49" s="114"/>
      <c r="R49" s="270"/>
    </row>
    <row r="50" spans="1:35" ht="14.1" customHeight="1">
      <c r="A50" s="287"/>
      <c r="B50" s="135"/>
      <c r="C50" s="135"/>
      <c r="D50" s="133" t="s">
        <v>62</v>
      </c>
      <c r="E50" s="165">
        <f>Css_u*1000000000</f>
        <v>1200</v>
      </c>
      <c r="F50" s="175" t="s">
        <v>63</v>
      </c>
      <c r="G50" s="135"/>
      <c r="H50" s="145"/>
      <c r="I50" s="123"/>
      <c r="J50" s="123"/>
      <c r="K50" s="123"/>
      <c r="L50" s="123"/>
      <c r="M50" s="123"/>
      <c r="N50" s="101"/>
      <c r="O50" s="101"/>
      <c r="P50" s="101"/>
      <c r="Q50" s="114"/>
      <c r="R50" s="270"/>
    </row>
    <row r="51" spans="1:35" ht="14.1" customHeight="1">
      <c r="A51" s="287"/>
      <c r="B51" s="135"/>
      <c r="C51" s="143"/>
      <c r="D51" s="132" t="s">
        <v>64</v>
      </c>
      <c r="E51" s="218">
        <v>14.5</v>
      </c>
      <c r="F51" s="171" t="s">
        <v>8</v>
      </c>
      <c r="G51" s="135"/>
      <c r="H51" s="135"/>
      <c r="I51" s="101"/>
      <c r="J51" s="99"/>
      <c r="K51" s="131"/>
      <c r="L51" s="101"/>
      <c r="M51" s="123"/>
      <c r="N51" s="101"/>
      <c r="O51" s="101"/>
      <c r="P51" s="101"/>
      <c r="Q51" s="114"/>
      <c r="R51" s="270"/>
    </row>
    <row r="52" spans="1:35" ht="14.1" customHeight="1">
      <c r="A52" s="287"/>
      <c r="B52" s="135"/>
      <c r="C52" s="143"/>
      <c r="D52" s="132" t="s">
        <v>65</v>
      </c>
      <c r="E52" s="218">
        <v>14</v>
      </c>
      <c r="F52" s="171" t="s">
        <v>8</v>
      </c>
      <c r="G52" s="135"/>
      <c r="H52" s="135"/>
      <c r="I52" s="101"/>
      <c r="J52" s="99"/>
      <c r="K52" s="131"/>
      <c r="L52" s="101"/>
      <c r="M52" s="123"/>
      <c r="N52" s="101"/>
      <c r="O52" s="101"/>
      <c r="P52" s="101"/>
      <c r="Q52" s="114"/>
      <c r="R52" s="270"/>
    </row>
    <row r="53" spans="1:35" ht="14.1" customHeight="1">
      <c r="A53" s="287"/>
      <c r="B53" s="135"/>
      <c r="C53" s="135"/>
      <c r="D53" s="133" t="s">
        <v>66</v>
      </c>
      <c r="E53" s="133">
        <f>'Variable Management'!F97</f>
        <v>49.900000000000006</v>
      </c>
      <c r="F53" s="175" t="s">
        <v>18</v>
      </c>
      <c r="G53" s="135"/>
      <c r="H53" s="135"/>
      <c r="I53" s="101"/>
      <c r="J53" s="99"/>
      <c r="K53" s="131"/>
      <c r="L53" s="101"/>
      <c r="M53" s="123"/>
      <c r="N53" s="101"/>
      <c r="O53" s="101"/>
      <c r="P53" s="101"/>
      <c r="Q53" s="114"/>
      <c r="R53" s="270"/>
    </row>
    <row r="54" spans="1:35" ht="14.1" customHeight="1" thickBot="1">
      <c r="A54" s="172"/>
      <c r="B54" s="173"/>
      <c r="C54" s="173"/>
      <c r="D54" s="134" t="s">
        <v>67</v>
      </c>
      <c r="E54" s="134">
        <f>'Variable Management'!F98</f>
        <v>4.53</v>
      </c>
      <c r="F54" s="174" t="s">
        <v>18</v>
      </c>
      <c r="G54" s="135"/>
      <c r="H54" s="135"/>
      <c r="I54" s="101"/>
      <c r="J54" s="99"/>
      <c r="K54" s="131"/>
      <c r="L54" s="101"/>
      <c r="M54" s="123"/>
      <c r="N54" s="101"/>
      <c r="O54" s="101"/>
      <c r="P54" s="101"/>
      <c r="Q54" s="114"/>
      <c r="R54" s="270"/>
    </row>
    <row r="55" spans="1:35" ht="14.1" customHeight="1">
      <c r="A55" s="287" t="s">
        <v>68</v>
      </c>
      <c r="B55" s="135"/>
      <c r="C55" s="135"/>
      <c r="D55" s="133"/>
      <c r="E55" s="147"/>
      <c r="F55" s="135"/>
      <c r="G55" s="135"/>
      <c r="H55" s="135"/>
      <c r="I55" s="101"/>
      <c r="J55" s="99"/>
      <c r="K55" s="131"/>
      <c r="L55" s="101"/>
      <c r="M55" s="123"/>
      <c r="N55" s="101"/>
      <c r="O55" s="101"/>
      <c r="P55" s="101"/>
      <c r="Q55" s="114"/>
      <c r="R55" s="270"/>
    </row>
    <row r="56" spans="1:35" ht="14.1" customHeight="1">
      <c r="A56" s="468" t="s">
        <v>69</v>
      </c>
      <c r="B56" s="123"/>
      <c r="C56" s="123"/>
      <c r="D56" s="123"/>
      <c r="E56" s="123"/>
      <c r="F56" s="123"/>
      <c r="G56" s="135"/>
      <c r="H56" s="135"/>
      <c r="I56" s="101"/>
      <c r="J56" s="99"/>
      <c r="K56" s="131"/>
      <c r="L56" s="101"/>
      <c r="M56" s="123"/>
      <c r="N56" s="101"/>
      <c r="O56" s="101"/>
      <c r="P56" s="101"/>
      <c r="Q56" s="114"/>
      <c r="R56" s="270"/>
    </row>
    <row r="57" spans="1:35" ht="14.1" customHeight="1">
      <c r="A57" s="465"/>
      <c r="B57" s="135"/>
      <c r="C57" s="135"/>
      <c r="D57" s="133"/>
      <c r="E57" s="147"/>
      <c r="F57" s="135"/>
      <c r="G57" s="135"/>
      <c r="H57" s="135"/>
      <c r="I57" s="101"/>
      <c r="J57" s="99"/>
      <c r="K57" s="131"/>
      <c r="L57" s="101"/>
      <c r="M57" s="123"/>
      <c r="N57" s="101"/>
      <c r="O57" s="101"/>
      <c r="P57" s="101"/>
      <c r="Q57" s="114"/>
      <c r="R57" s="270"/>
    </row>
    <row r="58" spans="1:35" ht="24.95" customHeight="1" thickBot="1">
      <c r="A58" s="471" t="s">
        <v>70</v>
      </c>
      <c r="B58" s="148"/>
      <c r="C58" s="143"/>
      <c r="D58" s="143"/>
      <c r="E58" s="144"/>
      <c r="F58" s="143"/>
      <c r="G58" s="135"/>
      <c r="H58" s="135"/>
      <c r="I58" s="101"/>
      <c r="J58" s="101"/>
      <c r="K58" s="101"/>
      <c r="L58" s="101"/>
      <c r="M58" s="101"/>
      <c r="N58" s="101"/>
      <c r="O58" s="101"/>
      <c r="P58" s="101"/>
      <c r="Q58" s="114"/>
      <c r="R58" s="271"/>
      <c r="S58" s="67"/>
      <c r="T58" s="67"/>
      <c r="W58" s="67"/>
      <c r="X58" s="67"/>
      <c r="Y58" s="67"/>
      <c r="AB58" s="67"/>
      <c r="AC58" s="67"/>
      <c r="AD58" s="67"/>
      <c r="AG58" s="67"/>
      <c r="AH58" s="67"/>
      <c r="AI58" s="67"/>
    </row>
    <row r="59" spans="1:35" ht="14.1" customHeight="1">
      <c r="A59" s="192"/>
      <c r="B59" s="186"/>
      <c r="C59" s="403"/>
      <c r="D59" s="403" t="s">
        <v>71</v>
      </c>
      <c r="E59" s="358">
        <f>Fo/1000</f>
        <v>3.1206253464208031</v>
      </c>
      <c r="F59" s="187" t="s">
        <v>15</v>
      </c>
      <c r="G59" s="135"/>
      <c r="H59" s="135"/>
      <c r="I59" s="101"/>
      <c r="J59" s="101"/>
      <c r="K59" s="101"/>
      <c r="L59" s="101"/>
      <c r="M59" s="101"/>
      <c r="N59" s="101"/>
      <c r="O59" s="101"/>
      <c r="P59" s="101"/>
      <c r="Q59" s="114"/>
      <c r="R59" s="271"/>
      <c r="S59" s="67"/>
      <c r="T59" s="67"/>
      <c r="W59" s="67"/>
      <c r="X59" s="67"/>
      <c r="Y59" s="67"/>
      <c r="AB59" s="67"/>
      <c r="AC59" s="67"/>
      <c r="AD59" s="67"/>
      <c r="AG59" s="67"/>
      <c r="AH59" s="67"/>
      <c r="AI59" s="67"/>
    </row>
    <row r="60" spans="1:35" ht="14.1" customHeight="1">
      <c r="A60" s="287"/>
      <c r="B60" s="135"/>
      <c r="C60" s="133"/>
      <c r="D60" s="133" t="s">
        <v>72</v>
      </c>
      <c r="E60" s="164">
        <f>Fesr/1000</f>
        <v>198.94367909219548</v>
      </c>
      <c r="F60" s="175" t="s">
        <v>15</v>
      </c>
      <c r="G60" s="135"/>
      <c r="H60" s="135"/>
      <c r="I60" s="101"/>
      <c r="J60" s="101"/>
      <c r="K60" s="101"/>
      <c r="L60" s="101"/>
      <c r="M60" s="101"/>
      <c r="N60" s="101"/>
      <c r="O60" s="101"/>
      <c r="P60" s="101"/>
      <c r="Q60" s="114"/>
      <c r="R60" s="271"/>
      <c r="S60" s="67"/>
      <c r="T60" s="67"/>
      <c r="W60" s="67"/>
      <c r="X60" s="67"/>
      <c r="Y60" s="67"/>
      <c r="AB60" s="67"/>
      <c r="AC60" s="67"/>
      <c r="AD60" s="67"/>
      <c r="AG60" s="67"/>
      <c r="AH60" s="67"/>
      <c r="AI60" s="67"/>
    </row>
    <row r="61" spans="1:35" ht="14.1" customHeight="1">
      <c r="A61" s="287"/>
      <c r="B61" s="135"/>
      <c r="C61" s="133"/>
      <c r="D61" s="132" t="s">
        <v>73</v>
      </c>
      <c r="E61" s="167">
        <v>35</v>
      </c>
      <c r="F61" s="307" t="s">
        <v>74</v>
      </c>
      <c r="G61" s="135"/>
      <c r="H61" s="135"/>
      <c r="I61" s="101"/>
      <c r="J61" s="101"/>
      <c r="K61" s="101"/>
      <c r="L61" s="101"/>
      <c r="M61" s="101"/>
      <c r="N61" s="101"/>
      <c r="O61" s="101"/>
      <c r="P61" s="101"/>
      <c r="Q61" s="114"/>
      <c r="R61" s="271"/>
      <c r="S61" s="67"/>
      <c r="T61" s="67"/>
      <c r="W61" s="67"/>
      <c r="X61" s="67"/>
      <c r="Y61" s="67"/>
      <c r="AB61" s="67"/>
      <c r="AC61" s="67"/>
      <c r="AD61" s="67"/>
      <c r="AG61" s="67"/>
      <c r="AH61" s="67"/>
      <c r="AI61" s="67"/>
    </row>
    <row r="62" spans="1:35" ht="14.1" customHeight="1">
      <c r="A62" s="287"/>
      <c r="B62" s="135"/>
      <c r="C62" s="133"/>
      <c r="D62" s="133" t="s">
        <v>75</v>
      </c>
      <c r="E62" s="162">
        <f>Kmidband</f>
        <v>0.74771338251467667</v>
      </c>
      <c r="F62" s="175" t="s">
        <v>76</v>
      </c>
      <c r="G62" s="135"/>
      <c r="H62" s="135"/>
      <c r="I62" s="101"/>
      <c r="J62" s="101"/>
      <c r="K62" s="101"/>
      <c r="L62" s="101"/>
      <c r="M62" s="101"/>
      <c r="N62" s="101"/>
      <c r="O62" s="101"/>
      <c r="P62" s="101"/>
      <c r="Q62" s="114"/>
      <c r="R62" s="271"/>
      <c r="S62" s="67"/>
      <c r="T62" s="67"/>
      <c r="W62" s="67"/>
      <c r="X62" s="67"/>
      <c r="Y62" s="67"/>
      <c r="AB62" s="67"/>
      <c r="AC62" s="67"/>
      <c r="AD62" s="67"/>
      <c r="AG62" s="67"/>
      <c r="AH62" s="67"/>
      <c r="AI62" s="67"/>
    </row>
    <row r="63" spans="1:35" ht="15.95" customHeight="1">
      <c r="A63" s="287"/>
      <c r="B63" s="135"/>
      <c r="C63" s="133"/>
      <c r="D63" s="132" t="s">
        <v>77</v>
      </c>
      <c r="E63" s="168">
        <v>22.1</v>
      </c>
      <c r="F63" s="171" t="s">
        <v>18</v>
      </c>
      <c r="G63" s="135"/>
      <c r="H63" s="135"/>
      <c r="I63" s="101"/>
      <c r="J63" s="101"/>
      <c r="K63" s="101"/>
      <c r="L63" s="101"/>
      <c r="M63" s="101"/>
      <c r="N63" s="101"/>
      <c r="O63" s="101"/>
      <c r="P63" s="101"/>
      <c r="Q63" s="114"/>
      <c r="R63" s="271"/>
      <c r="S63" s="67"/>
      <c r="T63" s="67"/>
      <c r="W63" s="67"/>
      <c r="X63" s="67"/>
      <c r="Y63" s="67"/>
      <c r="AB63" s="67"/>
      <c r="AC63" s="67"/>
      <c r="AD63" s="67"/>
      <c r="AG63" s="67"/>
      <c r="AH63" s="67"/>
      <c r="AI63" s="67"/>
    </row>
    <row r="64" spans="1:35" ht="15.95" customHeight="1">
      <c r="A64" s="287"/>
      <c r="B64" s="135"/>
      <c r="C64" s="133"/>
      <c r="D64" s="133" t="s">
        <v>78</v>
      </c>
      <c r="E64" s="133">
        <f>IF(Vout=Vref,"OPEN",Rfb2_u/1000)</f>
        <v>4.22</v>
      </c>
      <c r="F64" s="175" t="str">
        <f>IF(Vout=Vref,"","kΩ")</f>
        <v>kΩ</v>
      </c>
      <c r="G64" s="135"/>
      <c r="H64" s="135"/>
      <c r="I64" s="101"/>
      <c r="J64" s="101"/>
      <c r="K64" s="101"/>
      <c r="L64" s="101"/>
      <c r="M64" s="101"/>
      <c r="N64" s="101"/>
      <c r="O64" s="101"/>
      <c r="P64" s="101"/>
      <c r="Q64" s="114"/>
      <c r="R64" s="271"/>
      <c r="S64" s="67"/>
      <c r="T64" s="67"/>
      <c r="W64" s="67"/>
      <c r="X64" s="67"/>
      <c r="Y64" s="67"/>
      <c r="AB64" s="67"/>
      <c r="AC64" s="67"/>
      <c r="AD64" s="67"/>
      <c r="AG64" s="67"/>
      <c r="AH64" s="67"/>
      <c r="AI64" s="67"/>
    </row>
    <row r="65" spans="1:35" ht="15.95" customHeight="1" thickBot="1">
      <c r="A65" s="172"/>
      <c r="B65" s="460"/>
      <c r="C65" s="460"/>
      <c r="D65" s="464" t="s">
        <v>79</v>
      </c>
      <c r="E65" s="472">
        <f>'Variable Management'!B129</f>
        <v>4.9895734597156407</v>
      </c>
      <c r="F65" s="174" t="s">
        <v>8</v>
      </c>
      <c r="G65" s="135"/>
      <c r="H65" s="135"/>
      <c r="I65" s="101"/>
      <c r="J65" s="101"/>
      <c r="K65" s="101"/>
      <c r="L65" s="101"/>
      <c r="M65" s="101"/>
      <c r="N65" s="101"/>
      <c r="O65" s="101"/>
      <c r="P65" s="101"/>
      <c r="Q65" s="114"/>
      <c r="R65" s="271"/>
      <c r="S65" s="67"/>
      <c r="T65" s="67"/>
      <c r="W65" s="67"/>
      <c r="X65" s="67"/>
      <c r="Y65" s="67"/>
      <c r="AB65" s="67"/>
      <c r="AC65" s="67"/>
      <c r="AD65" s="67"/>
      <c r="AG65" s="67"/>
      <c r="AH65" s="67"/>
      <c r="AI65" s="67"/>
    </row>
    <row r="66" spans="1:35" ht="15" thickBot="1">
      <c r="A66" s="287"/>
      <c r="B66" s="135"/>
      <c r="C66" s="133"/>
      <c r="D66" s="149"/>
      <c r="E66" s="150"/>
      <c r="F66" s="151"/>
      <c r="G66" s="135"/>
      <c r="H66" s="135"/>
      <c r="I66" s="101"/>
      <c r="J66" s="101"/>
      <c r="K66" s="101"/>
      <c r="L66" s="101"/>
      <c r="M66" s="101"/>
      <c r="N66" s="101"/>
      <c r="O66" s="101"/>
      <c r="P66" s="101"/>
      <c r="Q66" s="114"/>
      <c r="R66" s="271"/>
      <c r="S66" s="67"/>
      <c r="T66" s="67"/>
      <c r="W66" s="67"/>
      <c r="X66" s="67"/>
      <c r="Y66" s="67"/>
      <c r="AB66" s="67"/>
      <c r="AC66" s="67"/>
      <c r="AD66" s="67"/>
      <c r="AG66" s="67"/>
      <c r="AH66" s="67"/>
      <c r="AI66" s="67"/>
    </row>
    <row r="67" spans="1:35" ht="15.95" customHeight="1">
      <c r="A67" s="258" t="s">
        <v>80</v>
      </c>
      <c r="B67" s="196"/>
      <c r="C67" s="196"/>
      <c r="D67" s="198" t="s">
        <v>81</v>
      </c>
      <c r="E67" s="199">
        <f>Fo/1000*0.7</f>
        <v>2.1844377424945622</v>
      </c>
      <c r="F67" s="201" t="str">
        <f>"      kHz  "</f>
        <v xml:space="preserve">      kHz  </v>
      </c>
      <c r="G67" s="153"/>
      <c r="H67" s="154"/>
      <c r="I67" s="101"/>
      <c r="J67" s="101"/>
      <c r="K67" s="101"/>
      <c r="L67" s="101"/>
      <c r="M67" s="101"/>
      <c r="N67" s="101"/>
      <c r="O67" s="101"/>
      <c r="P67" s="101"/>
      <c r="Q67" s="114"/>
      <c r="R67" s="271"/>
      <c r="S67" s="67"/>
      <c r="T67" s="67"/>
      <c r="W67" s="67"/>
      <c r="X67" s="67"/>
      <c r="Y67" s="67"/>
      <c r="AB67" s="67"/>
      <c r="AC67" s="67"/>
      <c r="AD67" s="67"/>
      <c r="AG67" s="67"/>
      <c r="AH67" s="67"/>
      <c r="AI67" s="67"/>
    </row>
    <row r="68" spans="1:35" ht="15.95" customHeight="1">
      <c r="A68" s="473" t="str">
        <f>" Baseline P/Z Frequencies:"</f>
        <v xml:space="preserve"> Baseline P/Z Frequencies:</v>
      </c>
      <c r="B68" s="123"/>
      <c r="C68" s="123"/>
      <c r="D68" s="152" t="s">
        <v>82</v>
      </c>
      <c r="E68" s="169">
        <f>Fo/1000*0.9</f>
        <v>2.8085628117787227</v>
      </c>
      <c r="F68" s="177" t="str">
        <f>"      kHz"</f>
        <v xml:space="preserve">      kHz</v>
      </c>
      <c r="G68" s="153"/>
      <c r="H68" s="154"/>
      <c r="I68" s="101"/>
      <c r="J68" s="101"/>
      <c r="K68" s="101"/>
      <c r="L68" s="101"/>
      <c r="M68" s="101"/>
      <c r="N68" s="101"/>
      <c r="O68" s="101"/>
      <c r="P68" s="101"/>
      <c r="Q68" s="114"/>
      <c r="R68" s="271"/>
      <c r="S68" s="67"/>
      <c r="T68" s="67"/>
      <c r="W68" s="67"/>
      <c r="X68" s="67"/>
      <c r="Y68" s="67"/>
      <c r="AB68" s="67"/>
      <c r="AC68" s="67"/>
      <c r="AD68" s="67"/>
      <c r="AG68" s="67"/>
      <c r="AH68" s="67"/>
      <c r="AI68" s="67"/>
    </row>
    <row r="69" spans="1:35" ht="15.95" customHeight="1">
      <c r="A69" s="465"/>
      <c r="B69" s="123"/>
      <c r="C69" s="123"/>
      <c r="D69" s="155" t="s">
        <v>83</v>
      </c>
      <c r="E69" s="170">
        <f>Fesr/1000</f>
        <v>198.94367909219548</v>
      </c>
      <c r="F69" s="177" t="str">
        <f>"      kHz"</f>
        <v xml:space="preserve">      kHz</v>
      </c>
      <c r="G69" s="156"/>
      <c r="H69" s="154"/>
      <c r="I69" s="101"/>
      <c r="J69" s="101"/>
      <c r="K69" s="101"/>
      <c r="L69" s="101"/>
      <c r="M69" s="101"/>
      <c r="N69" s="101"/>
      <c r="O69" s="101"/>
      <c r="P69" s="101"/>
      <c r="Q69" s="114"/>
      <c r="R69" s="271"/>
      <c r="S69" s="67"/>
      <c r="T69" s="67"/>
      <c r="W69" s="67"/>
      <c r="X69" s="67"/>
      <c r="Y69" s="67"/>
      <c r="AB69" s="67"/>
      <c r="AC69" s="67"/>
      <c r="AD69" s="67"/>
      <c r="AG69" s="67"/>
      <c r="AH69" s="67"/>
      <c r="AI69" s="67"/>
    </row>
    <row r="70" spans="1:35" ht="15.95" customHeight="1" thickBot="1">
      <c r="A70" s="197"/>
      <c r="B70" s="460"/>
      <c r="C70" s="460"/>
      <c r="D70" s="474" t="s">
        <v>84</v>
      </c>
      <c r="E70" s="475">
        <f>Fsw/2000</f>
        <v>125</v>
      </c>
      <c r="F70" s="476" t="str">
        <f>"      kHz"</f>
        <v xml:space="preserve">      kHz</v>
      </c>
      <c r="G70" s="156"/>
      <c r="H70" s="154"/>
      <c r="I70" s="101"/>
      <c r="J70" s="101"/>
      <c r="K70" s="101"/>
      <c r="L70" s="101"/>
      <c r="M70" s="101"/>
      <c r="N70" s="101"/>
      <c r="O70" s="101"/>
      <c r="P70" s="101"/>
      <c r="Q70" s="114"/>
      <c r="R70" s="271"/>
      <c r="S70" s="67"/>
      <c r="T70" s="67"/>
      <c r="W70" s="67"/>
      <c r="X70" s="67"/>
      <c r="Y70" s="67"/>
      <c r="AB70" s="67"/>
      <c r="AC70" s="67"/>
      <c r="AD70" s="67"/>
      <c r="AG70" s="67"/>
      <c r="AH70" s="67"/>
      <c r="AI70" s="67"/>
    </row>
    <row r="71" spans="1:35" ht="15.75" customHeight="1">
      <c r="A71" s="477"/>
      <c r="B71" s="157"/>
      <c r="C71" s="158"/>
      <c r="D71" s="145"/>
      <c r="E71" s="145"/>
      <c r="F71" s="145"/>
      <c r="G71" s="156"/>
      <c r="H71" s="154"/>
      <c r="I71" s="101"/>
      <c r="J71" s="101"/>
      <c r="K71" s="101"/>
      <c r="L71" s="101"/>
      <c r="M71" s="101"/>
      <c r="N71" s="101"/>
      <c r="O71" s="101"/>
      <c r="P71" s="101"/>
      <c r="Q71" s="114"/>
      <c r="R71" s="271"/>
      <c r="S71" s="67"/>
      <c r="T71" s="67"/>
      <c r="W71" s="67"/>
      <c r="X71" s="67"/>
      <c r="Y71" s="67"/>
      <c r="AB71" s="67"/>
      <c r="AC71" s="67"/>
      <c r="AD71" s="67"/>
      <c r="AG71" s="67"/>
      <c r="AH71" s="67"/>
      <c r="AI71" s="67"/>
    </row>
    <row r="72" spans="1:35" ht="18" customHeight="1">
      <c r="A72" s="469" t="s">
        <v>85</v>
      </c>
      <c r="B72" s="159"/>
      <c r="C72" s="133"/>
      <c r="D72" s="149"/>
      <c r="E72" s="150"/>
      <c r="F72" s="151"/>
      <c r="G72" s="160"/>
      <c r="H72" s="135"/>
      <c r="I72" s="101"/>
      <c r="J72" s="101"/>
      <c r="K72" s="101"/>
      <c r="L72" s="101"/>
      <c r="M72" s="101"/>
      <c r="N72" s="101"/>
      <c r="O72" s="101"/>
      <c r="P72" s="101"/>
      <c r="Q72" s="114"/>
      <c r="R72" s="271"/>
      <c r="S72" s="202"/>
      <c r="T72" s="202"/>
      <c r="U72" s="203"/>
      <c r="V72" s="203"/>
      <c r="W72" s="202"/>
      <c r="X72" s="202"/>
      <c r="Y72" s="202"/>
      <c r="Z72" s="203"/>
      <c r="AA72" s="203"/>
      <c r="AB72" s="202"/>
      <c r="AC72" s="202"/>
      <c r="AD72" s="202"/>
      <c r="AE72" s="203"/>
      <c r="AF72" s="203"/>
      <c r="AG72" s="67"/>
      <c r="AH72" s="67"/>
      <c r="AI72" s="67"/>
    </row>
    <row r="73" spans="1:35" s="213" customFormat="1" ht="13.5" customHeight="1" thickBot="1">
      <c r="A73" s="478"/>
      <c r="B73" s="215" t="s">
        <v>86</v>
      </c>
      <c r="C73" s="216" t="s">
        <v>87</v>
      </c>
      <c r="D73" s="479" t="str">
        <f>"    Selected"</f>
        <v xml:space="preserve">    Selected</v>
      </c>
      <c r="E73" s="480"/>
      <c r="F73" s="406" t="s">
        <v>88</v>
      </c>
      <c r="G73" s="406"/>
      <c r="H73" s="406"/>
      <c r="I73" s="208"/>
      <c r="J73" s="208"/>
      <c r="K73" s="208"/>
      <c r="L73" s="208"/>
      <c r="M73" s="208"/>
      <c r="N73" s="208"/>
      <c r="O73" s="208"/>
      <c r="P73" s="208"/>
      <c r="Q73" s="209"/>
      <c r="R73" s="272"/>
      <c r="S73" s="210"/>
      <c r="T73" s="210"/>
      <c r="U73" s="211"/>
      <c r="V73" s="211"/>
      <c r="W73" s="210"/>
      <c r="X73" s="210"/>
      <c r="Y73" s="210"/>
      <c r="Z73" s="211"/>
      <c r="AA73" s="211"/>
      <c r="AB73" s="210"/>
      <c r="AC73" s="210"/>
      <c r="AD73" s="210"/>
      <c r="AE73" s="211"/>
      <c r="AF73" s="211"/>
      <c r="AG73" s="212"/>
      <c r="AH73" s="212"/>
      <c r="AI73" s="212"/>
    </row>
    <row r="74" spans="1:35" ht="15">
      <c r="A74" s="183" t="s">
        <v>89</v>
      </c>
      <c r="B74" s="190">
        <f>Rcea1/1000</f>
        <v>16.524465753574354</v>
      </c>
      <c r="C74" s="178">
        <f>'Standard Value Calculator'!S27</f>
        <v>16.5</v>
      </c>
      <c r="D74" s="179">
        <v>16.5</v>
      </c>
      <c r="E74" s="180" t="s">
        <v>18</v>
      </c>
      <c r="F74" s="182">
        <f>Fz1_u/1000</f>
        <v>2.0522881144262586</v>
      </c>
      <c r="G74" s="189" t="s">
        <v>90</v>
      </c>
      <c r="H74" s="145"/>
      <c r="I74" s="101"/>
      <c r="J74" s="101"/>
      <c r="K74" s="101"/>
      <c r="L74" s="101"/>
      <c r="M74" s="101"/>
      <c r="N74" s="101"/>
      <c r="O74" s="101"/>
      <c r="P74" s="101"/>
      <c r="Q74" s="114"/>
      <c r="R74" s="271"/>
      <c r="S74" s="202"/>
      <c r="T74" s="202"/>
      <c r="U74" s="203"/>
      <c r="V74" s="203"/>
      <c r="W74" s="202"/>
      <c r="X74" s="202"/>
      <c r="Y74" s="202"/>
      <c r="Z74" s="203"/>
      <c r="AA74" s="203"/>
      <c r="AB74" s="202"/>
      <c r="AC74" s="202"/>
      <c r="AD74" s="202"/>
      <c r="AE74" s="203"/>
      <c r="AF74" s="203"/>
      <c r="AG74" s="67"/>
      <c r="AH74" s="67"/>
      <c r="AI74" s="67"/>
    </row>
    <row r="75" spans="1:35" ht="15">
      <c r="A75" s="481" t="s">
        <v>91</v>
      </c>
      <c r="B75" s="191">
        <f>Cc1ea*1000000000000</f>
        <v>4409.1313124136032</v>
      </c>
      <c r="C75" s="154">
        <f>'Standard Value Calculator'!S28</f>
        <v>4700</v>
      </c>
      <c r="D75" s="161">
        <v>4700</v>
      </c>
      <c r="E75" s="181" t="s">
        <v>92</v>
      </c>
      <c r="F75" s="482">
        <f>Fz2_u/1000</f>
        <v>2.6296518239907409</v>
      </c>
      <c r="G75" s="177" t="s">
        <v>93</v>
      </c>
      <c r="H75" s="145"/>
      <c r="I75" s="101"/>
      <c r="J75" s="101"/>
      <c r="K75" s="101"/>
      <c r="L75" s="101"/>
      <c r="M75" s="101"/>
      <c r="N75" s="101"/>
      <c r="O75" s="101"/>
      <c r="P75" s="101"/>
      <c r="Q75" s="114"/>
      <c r="R75" s="271"/>
      <c r="S75" s="202"/>
      <c r="T75" s="202"/>
      <c r="U75" s="203"/>
      <c r="V75" s="203"/>
      <c r="W75" s="202"/>
      <c r="X75" s="202"/>
      <c r="Y75" s="202"/>
      <c r="Z75" s="203"/>
      <c r="AA75" s="203"/>
      <c r="AB75" s="202"/>
      <c r="AC75" s="202"/>
      <c r="AD75" s="202"/>
      <c r="AE75" s="203"/>
      <c r="AF75" s="203"/>
      <c r="AG75" s="67"/>
      <c r="AH75" s="67"/>
      <c r="AI75" s="67"/>
    </row>
    <row r="76" spans="1:35" ht="15">
      <c r="A76" s="481" t="s">
        <v>94</v>
      </c>
      <c r="B76" s="191">
        <f>Cc2ea*1000000000000</f>
        <v>78.422251003148133</v>
      </c>
      <c r="C76" s="154">
        <f>'Standard Value Calculator'!S29</f>
        <v>82</v>
      </c>
      <c r="D76" s="161">
        <v>82</v>
      </c>
      <c r="E76" s="181" t="s">
        <v>92</v>
      </c>
      <c r="F76" s="483">
        <f>Fp1_u/1000</f>
        <v>186.53884584359633</v>
      </c>
      <c r="G76" s="177" t="s">
        <v>95</v>
      </c>
      <c r="H76" s="145"/>
      <c r="I76" s="101"/>
      <c r="J76" s="101"/>
      <c r="K76" s="101"/>
      <c r="L76" s="101"/>
      <c r="M76" s="101"/>
      <c r="N76" s="101"/>
      <c r="O76" s="101"/>
      <c r="P76" s="101"/>
      <c r="Q76" s="114"/>
      <c r="R76" s="271"/>
      <c r="S76" s="202"/>
      <c r="T76" s="202"/>
      <c r="U76" s="203"/>
      <c r="V76" s="203"/>
      <c r="W76" s="202"/>
      <c r="X76" s="202"/>
      <c r="Y76" s="202"/>
      <c r="Z76" s="203"/>
      <c r="AA76" s="203"/>
      <c r="AB76" s="202"/>
      <c r="AC76" s="202"/>
      <c r="AD76" s="202"/>
      <c r="AE76" s="203"/>
      <c r="AF76" s="203"/>
      <c r="AG76" s="67"/>
      <c r="AH76" s="67"/>
      <c r="AI76" s="67"/>
    </row>
    <row r="77" spans="1:35" ht="16.350000000000001" customHeight="1">
      <c r="A77" s="481" t="s">
        <v>96</v>
      </c>
      <c r="B77" s="191">
        <f>Rcea2</f>
        <v>316.4616276647198</v>
      </c>
      <c r="C77" s="154">
        <f>'Standard Value Calculator'!S30</f>
        <v>316</v>
      </c>
      <c r="D77" s="161">
        <v>316</v>
      </c>
      <c r="E77" s="181" t="s">
        <v>36</v>
      </c>
      <c r="F77" s="483">
        <f>Fp2_u/1000</f>
        <v>119.68343613641916</v>
      </c>
      <c r="G77" s="177" t="s">
        <v>97</v>
      </c>
      <c r="H77" s="145"/>
      <c r="I77" s="101"/>
      <c r="J77" s="101"/>
      <c r="K77" s="101"/>
      <c r="L77" s="101"/>
      <c r="M77" s="101"/>
      <c r="N77" s="101"/>
      <c r="O77" s="101"/>
      <c r="P77" s="101"/>
      <c r="Q77" s="114"/>
      <c r="R77" s="271"/>
      <c r="S77" s="202"/>
      <c r="T77" s="202"/>
      <c r="U77" s="203"/>
      <c r="V77" s="203"/>
      <c r="W77" s="202"/>
      <c r="X77" s="202"/>
      <c r="Y77" s="202"/>
      <c r="Z77" s="203"/>
      <c r="AA77" s="203"/>
      <c r="AB77" s="202"/>
      <c r="AC77" s="202"/>
      <c r="AD77" s="202"/>
      <c r="AE77" s="203"/>
      <c r="AF77" s="203"/>
      <c r="AG77" s="67"/>
      <c r="AH77" s="67"/>
      <c r="AI77" s="67"/>
    </row>
    <row r="78" spans="1:35" ht="15" customHeight="1" thickBot="1">
      <c r="A78" s="193" t="s">
        <v>98</v>
      </c>
      <c r="B78" s="484">
        <f>Cc3ea*1000000000000</f>
        <v>2527.9526175210485</v>
      </c>
      <c r="C78" s="485">
        <f>'Standard Value Calculator'!S31</f>
        <v>2700</v>
      </c>
      <c r="D78" s="486">
        <v>2700</v>
      </c>
      <c r="E78" s="487" t="s">
        <v>92</v>
      </c>
      <c r="F78" s="488"/>
      <c r="G78" s="489"/>
      <c r="H78" s="145"/>
      <c r="I78" s="101"/>
      <c r="J78" s="101"/>
      <c r="K78" s="101"/>
      <c r="L78" s="132"/>
      <c r="M78" s="405"/>
      <c r="N78" s="143"/>
      <c r="O78" s="101"/>
      <c r="P78" s="101"/>
      <c r="Q78" s="114"/>
      <c r="R78" s="271"/>
      <c r="S78" s="202"/>
      <c r="T78" s="202"/>
      <c r="U78" s="203"/>
      <c r="V78" s="203"/>
      <c r="W78" s="202"/>
      <c r="X78" s="202"/>
      <c r="Y78" s="202"/>
      <c r="Z78" s="203"/>
      <c r="AA78" s="203"/>
      <c r="AB78" s="202"/>
      <c r="AC78" s="202"/>
      <c r="AD78" s="202"/>
      <c r="AE78" s="203"/>
      <c r="AF78" s="203"/>
      <c r="AG78" s="67"/>
      <c r="AH78" s="67"/>
      <c r="AI78" s="67"/>
    </row>
    <row r="79" spans="1:35" ht="15" thickBot="1">
      <c r="A79" s="287"/>
      <c r="B79" s="133"/>
      <c r="C79" s="133"/>
      <c r="D79" s="135"/>
      <c r="E79" s="135"/>
      <c r="F79" s="135"/>
      <c r="G79" s="135"/>
      <c r="H79" s="135"/>
      <c r="I79" s="101"/>
      <c r="J79" s="101"/>
      <c r="K79" s="101"/>
      <c r="L79" s="101"/>
      <c r="M79" s="101"/>
      <c r="N79" s="101"/>
      <c r="O79" s="101"/>
      <c r="P79" s="101"/>
      <c r="Q79" s="114"/>
      <c r="R79" s="271"/>
      <c r="S79" s="202"/>
      <c r="T79" s="202"/>
      <c r="U79" s="203"/>
      <c r="V79" s="203"/>
      <c r="W79" s="202"/>
      <c r="X79" s="202"/>
      <c r="Y79" s="202"/>
      <c r="Z79" s="203"/>
      <c r="AA79" s="203"/>
      <c r="AB79" s="202"/>
      <c r="AC79" s="202"/>
      <c r="AD79" s="202"/>
      <c r="AE79" s="203"/>
      <c r="AF79" s="203"/>
      <c r="AG79" s="67"/>
      <c r="AH79" s="67"/>
      <c r="AI79" s="67"/>
    </row>
    <row r="80" spans="1:35" s="103" customFormat="1" ht="18.95" thickBot="1">
      <c r="A80" s="194" t="s">
        <v>99</v>
      </c>
      <c r="B80" s="490"/>
      <c r="C80" s="491"/>
      <c r="D80" s="491"/>
      <c r="E80" s="491"/>
      <c r="F80" s="491"/>
      <c r="G80" s="491"/>
      <c r="H80" s="491"/>
      <c r="I80" s="492"/>
      <c r="J80" s="492"/>
      <c r="K80" s="492"/>
      <c r="L80" s="492"/>
      <c r="M80" s="492"/>
      <c r="N80" s="492"/>
      <c r="O80" s="492"/>
      <c r="P80" s="492"/>
      <c r="Q80" s="102"/>
      <c r="R80" s="273"/>
      <c r="S80" s="204"/>
      <c r="T80" s="204"/>
      <c r="U80" s="205"/>
      <c r="V80" s="205"/>
      <c r="W80" s="204"/>
      <c r="X80" s="204"/>
      <c r="Y80" s="204"/>
      <c r="Z80" s="205"/>
      <c r="AA80" s="205"/>
      <c r="AB80" s="204"/>
      <c r="AC80" s="204"/>
      <c r="AD80" s="204"/>
      <c r="AE80" s="205"/>
      <c r="AF80" s="205"/>
      <c r="AG80" s="68"/>
      <c r="AH80" s="68"/>
      <c r="AI80" s="68"/>
    </row>
    <row r="81" spans="1:35">
      <c r="A81" s="468"/>
      <c r="B81" s="145"/>
      <c r="C81" s="135"/>
      <c r="D81" s="135"/>
      <c r="E81" s="135"/>
      <c r="F81" s="135"/>
      <c r="G81" s="135"/>
      <c r="H81" s="135"/>
      <c r="I81" s="101"/>
      <c r="J81" s="101"/>
      <c r="K81" s="101"/>
      <c r="L81" s="101"/>
      <c r="M81" s="101"/>
      <c r="N81" s="101"/>
      <c r="O81" s="101"/>
      <c r="P81" s="101"/>
      <c r="Q81" s="114"/>
      <c r="R81" s="271"/>
      <c r="S81" s="202"/>
      <c r="T81" s="202"/>
      <c r="U81" s="203"/>
      <c r="V81" s="203"/>
      <c r="W81" s="202"/>
      <c r="X81" s="202"/>
      <c r="Y81" s="202"/>
      <c r="Z81" s="203"/>
      <c r="AA81" s="203"/>
      <c r="AB81" s="202"/>
      <c r="AC81" s="202"/>
      <c r="AD81" s="202"/>
      <c r="AE81" s="203"/>
      <c r="AF81" s="203"/>
      <c r="AG81" s="67"/>
      <c r="AH81" s="67"/>
      <c r="AI81" s="67"/>
    </row>
    <row r="82" spans="1:35" ht="18">
      <c r="A82" s="400" t="s">
        <v>100</v>
      </c>
      <c r="B82" s="142"/>
      <c r="C82" s="135"/>
      <c r="D82" s="135"/>
      <c r="E82" s="135"/>
      <c r="F82" s="135"/>
      <c r="G82" s="135"/>
      <c r="H82" s="135"/>
      <c r="I82" s="101"/>
      <c r="J82" s="101"/>
      <c r="K82" s="101"/>
      <c r="L82" s="101"/>
      <c r="M82" s="101"/>
      <c r="N82" s="101"/>
      <c r="O82" s="101"/>
      <c r="P82" s="101"/>
      <c r="Q82" s="114"/>
      <c r="R82" s="271"/>
      <c r="S82" s="202"/>
      <c r="T82" s="202"/>
      <c r="U82" s="203"/>
      <c r="V82" s="203"/>
      <c r="W82" s="202"/>
      <c r="X82" s="202"/>
      <c r="Y82" s="202"/>
      <c r="Z82" s="203"/>
      <c r="AA82" s="203"/>
      <c r="AB82" s="202"/>
      <c r="AC82" s="202"/>
      <c r="AD82" s="202"/>
      <c r="AE82" s="203"/>
      <c r="AF82" s="203"/>
      <c r="AG82" s="67"/>
      <c r="AH82" s="67"/>
      <c r="AI82" s="67"/>
    </row>
    <row r="83" spans="1:35" ht="13.5" customHeight="1" thickBot="1">
      <c r="A83" s="287"/>
      <c r="B83" s="135"/>
      <c r="C83" s="135"/>
      <c r="D83" s="135"/>
      <c r="E83" s="135"/>
      <c r="F83" s="135"/>
      <c r="G83" s="135"/>
      <c r="H83" s="135"/>
      <c r="I83" s="101"/>
      <c r="J83" s="101"/>
      <c r="K83" s="101"/>
      <c r="L83" s="101"/>
      <c r="M83" s="101"/>
      <c r="N83" s="101"/>
      <c r="O83" s="101"/>
      <c r="P83" s="101"/>
      <c r="Q83" s="114"/>
      <c r="R83" s="271"/>
      <c r="S83" s="202"/>
      <c r="T83" s="130"/>
      <c r="U83" s="130"/>
      <c r="V83" s="203"/>
      <c r="W83" s="202"/>
      <c r="X83" s="202"/>
      <c r="Y83" s="202"/>
      <c r="Z83" s="203"/>
      <c r="AA83" s="203"/>
      <c r="AB83" s="202"/>
      <c r="AC83" s="202"/>
      <c r="AD83" s="202"/>
      <c r="AE83" s="203"/>
      <c r="AF83" s="203"/>
      <c r="AG83" s="67"/>
      <c r="AH83" s="67"/>
      <c r="AI83" s="67"/>
    </row>
    <row r="84" spans="1:35" ht="18" customHeight="1">
      <c r="A84" s="184"/>
      <c r="B84" s="185"/>
      <c r="C84" s="186"/>
      <c r="D84" s="214" t="s">
        <v>101</v>
      </c>
      <c r="E84" s="261" t="s">
        <v>102</v>
      </c>
      <c r="F84" s="187"/>
      <c r="G84" s="135"/>
      <c r="H84" s="135"/>
      <c r="I84" s="101"/>
      <c r="J84" s="101"/>
      <c r="K84" s="101"/>
      <c r="L84" s="101"/>
      <c r="M84" s="101"/>
      <c r="N84" s="101"/>
      <c r="O84" s="101"/>
      <c r="P84" s="101"/>
      <c r="Q84" s="114"/>
      <c r="R84" s="271"/>
      <c r="S84" s="202"/>
      <c r="T84" s="130"/>
      <c r="U84" s="130"/>
      <c r="V84" s="203"/>
      <c r="W84" s="202"/>
      <c r="X84" s="202"/>
      <c r="Y84" s="202"/>
      <c r="Z84" s="203"/>
      <c r="AA84" s="203"/>
      <c r="AB84" s="202"/>
      <c r="AC84" s="202"/>
      <c r="AD84" s="202"/>
      <c r="AE84" s="203"/>
      <c r="AF84" s="203"/>
      <c r="AG84" s="67"/>
      <c r="AH84" s="67"/>
      <c r="AI84" s="67"/>
    </row>
    <row r="85" spans="1:35" ht="14.45" customHeight="1">
      <c r="A85" s="287"/>
      <c r="B85" s="135"/>
      <c r="C85" s="143"/>
      <c r="D85" s="132" t="s">
        <v>103</v>
      </c>
      <c r="E85" s="136">
        <v>52</v>
      </c>
      <c r="F85" s="175" t="s">
        <v>24</v>
      </c>
      <c r="G85" s="135"/>
      <c r="H85" s="135"/>
      <c r="I85" s="101"/>
      <c r="J85" s="101"/>
      <c r="K85" s="101"/>
      <c r="L85" s="101"/>
      <c r="M85" s="101"/>
      <c r="N85" s="101"/>
      <c r="O85" s="101"/>
      <c r="P85" s="101"/>
      <c r="Q85" s="114"/>
      <c r="R85" s="271"/>
      <c r="S85" s="202"/>
      <c r="T85" s="130"/>
      <c r="U85" s="130"/>
      <c r="V85" s="203"/>
      <c r="W85" s="202"/>
      <c r="X85" s="202"/>
      <c r="Y85" s="202"/>
      <c r="Z85" s="203"/>
      <c r="AA85" s="203"/>
      <c r="AB85" s="202"/>
      <c r="AC85" s="202"/>
      <c r="AD85" s="202"/>
      <c r="AE85" s="203"/>
      <c r="AF85" s="203"/>
      <c r="AG85" s="67"/>
      <c r="AH85" s="67"/>
      <c r="AI85" s="67"/>
    </row>
    <row r="86" spans="1:35" ht="14.45" customHeight="1">
      <c r="A86" s="287"/>
      <c r="B86" s="135"/>
      <c r="C86" s="143"/>
      <c r="D86" s="132" t="s">
        <v>104</v>
      </c>
      <c r="E86" s="136">
        <v>3.2</v>
      </c>
      <c r="F86" s="175" t="s">
        <v>105</v>
      </c>
      <c r="G86" s="135"/>
      <c r="H86" s="135"/>
      <c r="I86" s="101"/>
      <c r="J86" s="101"/>
      <c r="K86" s="101"/>
      <c r="L86" s="101"/>
      <c r="M86" s="101"/>
      <c r="N86" s="101"/>
      <c r="O86" s="101"/>
      <c r="P86" s="101"/>
      <c r="Q86" s="114"/>
      <c r="R86" s="271"/>
      <c r="S86" s="202"/>
      <c r="T86" s="130"/>
      <c r="U86" s="130"/>
      <c r="V86" s="203"/>
      <c r="W86" s="202"/>
      <c r="X86" s="202"/>
      <c r="Y86" s="202"/>
      <c r="Z86" s="203"/>
      <c r="AA86" s="203"/>
      <c r="AB86" s="202"/>
      <c r="AC86" s="202"/>
      <c r="AD86" s="202"/>
      <c r="AE86" s="203"/>
      <c r="AF86" s="203"/>
      <c r="AG86" s="67"/>
      <c r="AH86" s="67"/>
      <c r="AI86" s="67"/>
    </row>
    <row r="87" spans="1:35" ht="14.45" customHeight="1">
      <c r="A87" s="287"/>
      <c r="B87" s="135"/>
      <c r="C87" s="143"/>
      <c r="D87" s="132" t="s">
        <v>106</v>
      </c>
      <c r="E87" s="136">
        <v>0.8</v>
      </c>
      <c r="F87" s="175" t="s">
        <v>105</v>
      </c>
      <c r="G87" s="135"/>
      <c r="H87" s="135"/>
      <c r="I87" s="101"/>
      <c r="J87" s="101"/>
      <c r="K87" s="101"/>
      <c r="L87" s="101"/>
      <c r="M87" s="101"/>
      <c r="N87" s="101"/>
      <c r="O87" s="101"/>
      <c r="P87" s="101"/>
      <c r="Q87" s="114"/>
      <c r="R87" s="271"/>
      <c r="S87" s="202"/>
      <c r="T87" s="130"/>
      <c r="U87" s="130"/>
      <c r="V87" s="203"/>
      <c r="W87" s="202"/>
      <c r="X87" s="202"/>
      <c r="Y87" s="202"/>
      <c r="Z87" s="203"/>
      <c r="AA87" s="203"/>
      <c r="AB87" s="202"/>
      <c r="AC87" s="202"/>
      <c r="AD87" s="202"/>
      <c r="AE87" s="203"/>
      <c r="AF87" s="203"/>
      <c r="AG87" s="67"/>
      <c r="AH87" s="67"/>
      <c r="AI87" s="67"/>
    </row>
    <row r="88" spans="1:35" ht="14.45" customHeight="1">
      <c r="A88" s="287"/>
      <c r="B88" s="135"/>
      <c r="C88" s="143"/>
      <c r="D88" s="132" t="s">
        <v>107</v>
      </c>
      <c r="E88" s="136">
        <v>1.6</v>
      </c>
      <c r="F88" s="175" t="s">
        <v>105</v>
      </c>
      <c r="G88" s="135"/>
      <c r="H88" s="135"/>
      <c r="I88" s="101"/>
      <c r="J88" s="101"/>
      <c r="K88" s="101"/>
      <c r="L88" s="101"/>
      <c r="M88" s="101"/>
      <c r="N88" s="101"/>
      <c r="O88" s="101"/>
      <c r="P88" s="101"/>
      <c r="Q88" s="114"/>
      <c r="R88" s="271"/>
      <c r="S88" s="202"/>
      <c r="T88" s="130"/>
      <c r="U88" s="130"/>
      <c r="V88" s="203"/>
      <c r="W88" s="202"/>
      <c r="X88" s="202"/>
      <c r="Y88" s="202"/>
      <c r="Z88" s="203"/>
      <c r="AA88" s="203"/>
      <c r="AB88" s="202"/>
      <c r="AC88" s="202"/>
      <c r="AD88" s="202"/>
      <c r="AE88" s="203"/>
      <c r="AF88" s="203"/>
      <c r="AG88" s="67"/>
      <c r="AH88" s="67"/>
      <c r="AI88" s="67"/>
    </row>
    <row r="89" spans="1:35" ht="14.45" customHeight="1">
      <c r="A89" s="287"/>
      <c r="B89" s="135"/>
      <c r="C89" s="143"/>
      <c r="D89" s="132" t="s">
        <v>108</v>
      </c>
      <c r="E89" s="136">
        <v>69</v>
      </c>
      <c r="F89" s="175" t="s">
        <v>92</v>
      </c>
      <c r="G89" s="135"/>
      <c r="H89" s="135"/>
      <c r="I89" s="101"/>
      <c r="J89" s="101"/>
      <c r="K89" s="101"/>
      <c r="L89" s="101"/>
      <c r="M89" s="101"/>
      <c r="N89" s="101"/>
      <c r="O89" s="101"/>
      <c r="P89" s="101"/>
      <c r="Q89" s="114"/>
      <c r="R89" s="271"/>
      <c r="S89" s="202"/>
      <c r="T89" s="130"/>
      <c r="U89" s="130"/>
      <c r="V89" s="203"/>
      <c r="W89" s="202"/>
      <c r="X89" s="202"/>
      <c r="Y89" s="202"/>
      <c r="Z89" s="203"/>
      <c r="AA89" s="203"/>
      <c r="AB89" s="202"/>
      <c r="AC89" s="202"/>
      <c r="AD89" s="202"/>
      <c r="AE89" s="203"/>
      <c r="AF89" s="203"/>
      <c r="AG89" s="67"/>
      <c r="AH89" s="67"/>
      <c r="AI89" s="67"/>
    </row>
    <row r="90" spans="1:35" ht="14.45" customHeight="1">
      <c r="A90" s="287"/>
      <c r="B90" s="135"/>
      <c r="C90" s="143"/>
      <c r="D90" s="132" t="s">
        <v>109</v>
      </c>
      <c r="E90" s="136">
        <v>4.5999999999999996</v>
      </c>
      <c r="F90" s="175" t="s">
        <v>36</v>
      </c>
      <c r="G90" s="135"/>
      <c r="H90" s="135"/>
      <c r="I90" s="101"/>
      <c r="J90" s="101"/>
      <c r="K90" s="101"/>
      <c r="L90" s="101"/>
      <c r="M90" s="101"/>
      <c r="N90" s="101"/>
      <c r="O90" s="101"/>
      <c r="P90" s="101"/>
      <c r="Q90" s="114"/>
      <c r="R90" s="271"/>
      <c r="S90" s="202"/>
      <c r="T90" s="130"/>
      <c r="U90" s="130"/>
      <c r="V90" s="203"/>
      <c r="W90" s="202"/>
      <c r="X90" s="202"/>
      <c r="Y90" s="202"/>
      <c r="Z90" s="203"/>
      <c r="AA90" s="203"/>
      <c r="AB90" s="202"/>
      <c r="AC90" s="202"/>
      <c r="AD90" s="202"/>
      <c r="AE90" s="203"/>
      <c r="AF90" s="203"/>
      <c r="AG90" s="67"/>
      <c r="AH90" s="67"/>
      <c r="AI90" s="67"/>
    </row>
    <row r="91" spans="1:35" ht="14.45" customHeight="1">
      <c r="A91" s="287"/>
      <c r="B91" s="135"/>
      <c r="C91" s="143"/>
      <c r="D91" s="132" t="s">
        <v>110</v>
      </c>
      <c r="E91" s="136">
        <v>45</v>
      </c>
      <c r="F91" s="175" t="s">
        <v>111</v>
      </c>
      <c r="G91" s="135"/>
      <c r="H91" s="135"/>
      <c r="I91" s="101"/>
      <c r="J91" s="101"/>
      <c r="K91" s="101"/>
      <c r="L91" s="101"/>
      <c r="M91" s="101"/>
      <c r="N91" s="101"/>
      <c r="O91" s="101"/>
      <c r="P91" s="101"/>
      <c r="Q91" s="114"/>
      <c r="R91" s="271"/>
      <c r="S91" s="202"/>
      <c r="T91" s="130"/>
      <c r="U91" s="130"/>
      <c r="V91" s="203"/>
      <c r="W91" s="202"/>
      <c r="X91" s="202"/>
      <c r="Y91" s="202"/>
      <c r="Z91" s="203"/>
      <c r="AA91" s="203"/>
      <c r="AB91" s="202"/>
      <c r="AC91" s="202"/>
      <c r="AD91" s="202"/>
      <c r="AE91" s="203"/>
      <c r="AF91" s="203"/>
      <c r="AG91" s="67"/>
      <c r="AH91" s="67"/>
      <c r="AI91" s="67"/>
    </row>
    <row r="92" spans="1:35" ht="14.45" customHeight="1">
      <c r="A92" s="287"/>
      <c r="B92" s="135"/>
      <c r="C92" s="143"/>
      <c r="D92" s="132" t="s">
        <v>112</v>
      </c>
      <c r="E92" s="136">
        <v>5</v>
      </c>
      <c r="F92" s="175" t="s">
        <v>8</v>
      </c>
      <c r="G92" s="135"/>
      <c r="H92" s="135"/>
      <c r="I92" s="101"/>
      <c r="J92" s="101"/>
      <c r="K92" s="101"/>
      <c r="L92" s="101"/>
      <c r="M92" s="101"/>
      <c r="N92" s="101"/>
      <c r="O92" s="101"/>
      <c r="P92" s="101"/>
      <c r="Q92" s="114"/>
      <c r="R92" s="271"/>
      <c r="S92" s="202"/>
      <c r="T92" s="130"/>
      <c r="U92" s="130"/>
      <c r="V92" s="203"/>
      <c r="W92" s="202"/>
      <c r="X92" s="202"/>
      <c r="Y92" s="202"/>
      <c r="Z92" s="203"/>
      <c r="AA92" s="203"/>
      <c r="AB92" s="202"/>
      <c r="AC92" s="202"/>
      <c r="AD92" s="202"/>
      <c r="AE92" s="203"/>
      <c r="AF92" s="203"/>
      <c r="AG92" s="67"/>
      <c r="AH92" s="67"/>
      <c r="AI92" s="67"/>
    </row>
    <row r="93" spans="1:35" ht="14.45" customHeight="1">
      <c r="A93" s="287"/>
      <c r="B93" s="135"/>
      <c r="C93" s="143"/>
      <c r="D93" s="132" t="s">
        <v>113</v>
      </c>
      <c r="E93" s="136">
        <v>0.8</v>
      </c>
      <c r="F93" s="175" t="s">
        <v>8</v>
      </c>
      <c r="G93" s="135"/>
      <c r="H93" s="135"/>
      <c r="I93" s="101"/>
      <c r="J93" s="101"/>
      <c r="K93" s="101"/>
      <c r="L93" s="101"/>
      <c r="M93" s="101"/>
      <c r="N93" s="101"/>
      <c r="O93" s="101"/>
      <c r="P93" s="101"/>
      <c r="Q93" s="114"/>
      <c r="R93" s="271"/>
      <c r="S93" s="202"/>
      <c r="T93" s="130"/>
      <c r="U93" s="130"/>
      <c r="V93" s="203"/>
      <c r="W93" s="202"/>
      <c r="X93" s="202"/>
      <c r="Y93" s="202"/>
      <c r="Z93" s="203"/>
      <c r="AA93" s="203"/>
      <c r="AB93" s="202"/>
      <c r="AC93" s="202"/>
      <c r="AD93" s="202"/>
      <c r="AE93" s="203"/>
      <c r="AF93" s="203"/>
      <c r="AG93" s="67"/>
      <c r="AH93" s="67"/>
      <c r="AI93" s="67"/>
    </row>
    <row r="94" spans="1:35" ht="14.45" customHeight="1" thickBot="1">
      <c r="A94" s="172"/>
      <c r="B94" s="173"/>
      <c r="C94" s="493"/>
      <c r="D94" s="494" t="s">
        <v>114</v>
      </c>
      <c r="E94" s="462">
        <v>55</v>
      </c>
      <c r="F94" s="174" t="s">
        <v>115</v>
      </c>
      <c r="G94" s="135"/>
      <c r="H94" s="135"/>
      <c r="I94" s="101"/>
      <c r="J94" s="101"/>
      <c r="K94" s="101"/>
      <c r="L94" s="101"/>
      <c r="M94" s="101"/>
      <c r="N94" s="101"/>
      <c r="O94" s="101"/>
      <c r="P94" s="101"/>
      <c r="Q94" s="114"/>
      <c r="R94" s="271"/>
      <c r="S94" s="202"/>
      <c r="T94" s="130"/>
      <c r="U94" s="130"/>
      <c r="V94" s="203"/>
      <c r="W94" s="202"/>
      <c r="X94" s="202"/>
      <c r="Y94" s="202"/>
      <c r="Z94" s="203"/>
      <c r="AA94" s="203"/>
      <c r="AB94" s="202"/>
      <c r="AC94" s="202"/>
      <c r="AD94" s="202"/>
      <c r="AE94" s="203"/>
      <c r="AF94" s="203"/>
      <c r="AG94" s="67"/>
      <c r="AH94" s="67"/>
      <c r="AI94" s="67"/>
    </row>
    <row r="95" spans="1:35" ht="18" customHeight="1" thickBot="1">
      <c r="A95" s="287"/>
      <c r="B95" s="135"/>
      <c r="C95" s="143"/>
      <c r="D95" s="132"/>
      <c r="E95" s="145"/>
      <c r="F95" s="206"/>
      <c r="G95" s="135"/>
      <c r="H95" s="135"/>
      <c r="I95" s="101"/>
      <c r="J95" s="101"/>
      <c r="K95" s="101"/>
      <c r="L95" s="101"/>
      <c r="M95" s="101"/>
      <c r="N95" s="101"/>
      <c r="O95" s="101"/>
      <c r="P95" s="101"/>
      <c r="Q95" s="114"/>
      <c r="R95" s="271"/>
      <c r="S95" s="202"/>
      <c r="T95" s="130"/>
      <c r="U95" s="130"/>
      <c r="V95" s="203"/>
      <c r="W95" s="202"/>
      <c r="X95" s="202"/>
      <c r="Y95" s="202"/>
      <c r="Z95" s="203"/>
      <c r="AA95" s="203"/>
      <c r="AB95" s="202"/>
      <c r="AC95" s="202"/>
      <c r="AD95" s="202"/>
      <c r="AE95" s="203"/>
      <c r="AF95" s="203"/>
      <c r="AG95" s="67"/>
      <c r="AH95" s="67"/>
      <c r="AI95" s="67"/>
    </row>
    <row r="96" spans="1:35" ht="18" customHeight="1">
      <c r="A96" s="184"/>
      <c r="B96" s="185"/>
      <c r="C96" s="188"/>
      <c r="D96" s="214" t="s">
        <v>116</v>
      </c>
      <c r="E96" s="261" t="s">
        <v>117</v>
      </c>
      <c r="F96" s="187"/>
      <c r="G96" s="135"/>
      <c r="H96" s="135"/>
      <c r="I96" s="101"/>
      <c r="J96" s="101"/>
      <c r="K96" s="101"/>
      <c r="L96" s="101"/>
      <c r="M96" s="101"/>
      <c r="N96" s="101"/>
      <c r="O96" s="101"/>
      <c r="P96" s="101"/>
      <c r="Q96" s="114"/>
      <c r="R96" s="271"/>
      <c r="S96" s="202"/>
      <c r="T96" s="130"/>
      <c r="U96" s="130"/>
      <c r="V96" s="203"/>
      <c r="W96" s="202"/>
      <c r="X96" s="202"/>
      <c r="Y96" s="202"/>
      <c r="Z96" s="203"/>
      <c r="AA96" s="203"/>
      <c r="AB96" s="202"/>
      <c r="AC96" s="202"/>
      <c r="AD96" s="202"/>
      <c r="AE96" s="203"/>
      <c r="AF96" s="203"/>
      <c r="AG96" s="67"/>
      <c r="AH96" s="67"/>
      <c r="AI96" s="67"/>
    </row>
    <row r="97" spans="1:35" ht="14.45" customHeight="1">
      <c r="A97" s="287"/>
      <c r="B97" s="135"/>
      <c r="C97" s="135"/>
      <c r="D97" s="132" t="s">
        <v>103</v>
      </c>
      <c r="E97" s="136">
        <v>10</v>
      </c>
      <c r="F97" s="175" t="s">
        <v>24</v>
      </c>
      <c r="G97" s="135"/>
      <c r="H97" s="135"/>
      <c r="I97" s="101"/>
      <c r="J97" s="101"/>
      <c r="K97" s="101"/>
      <c r="L97" s="101"/>
      <c r="M97" s="101"/>
      <c r="N97" s="101"/>
      <c r="O97" s="101"/>
      <c r="P97" s="101"/>
      <c r="Q97" s="114"/>
      <c r="R97" s="271"/>
      <c r="S97" s="202"/>
      <c r="T97" s="130"/>
      <c r="U97" s="130"/>
      <c r="V97" s="203"/>
      <c r="W97" s="202"/>
      <c r="X97" s="202"/>
      <c r="Y97" s="202"/>
      <c r="Z97" s="203"/>
      <c r="AA97" s="203"/>
      <c r="AB97" s="202"/>
      <c r="AC97" s="202"/>
      <c r="AD97" s="202"/>
      <c r="AE97" s="203"/>
      <c r="AF97" s="203"/>
      <c r="AG97" s="67"/>
      <c r="AH97" s="67"/>
      <c r="AI97" s="67"/>
    </row>
    <row r="98" spans="1:35" ht="14.45" customHeight="1">
      <c r="A98" s="287"/>
      <c r="B98" s="135"/>
      <c r="C98" s="135"/>
      <c r="D98" s="132" t="s">
        <v>104</v>
      </c>
      <c r="E98" s="136">
        <v>13</v>
      </c>
      <c r="F98" s="175" t="s">
        <v>105</v>
      </c>
      <c r="G98" s="135"/>
      <c r="H98" s="135"/>
      <c r="I98" s="101"/>
      <c r="J98" s="101"/>
      <c r="K98" s="101"/>
      <c r="L98" s="101"/>
      <c r="M98" s="101"/>
      <c r="N98" s="101"/>
      <c r="O98" s="101"/>
      <c r="P98" s="101"/>
      <c r="Q98" s="114"/>
      <c r="R98" s="271"/>
      <c r="S98" s="67"/>
      <c r="T98" s="5"/>
      <c r="U98" s="5"/>
      <c r="W98" s="67"/>
      <c r="X98" s="67"/>
      <c r="Y98" s="67"/>
      <c r="AB98" s="67"/>
      <c r="AC98" s="67"/>
      <c r="AD98" s="67"/>
      <c r="AG98" s="67"/>
      <c r="AH98" s="67"/>
      <c r="AI98" s="67"/>
    </row>
    <row r="99" spans="1:35" ht="14.45" customHeight="1">
      <c r="A99" s="287"/>
      <c r="B99" s="135"/>
      <c r="C99" s="135"/>
      <c r="D99" s="132" t="s">
        <v>118</v>
      </c>
      <c r="E99" s="136">
        <v>20</v>
      </c>
      <c r="F99" s="175" t="s">
        <v>105</v>
      </c>
      <c r="G99" s="135"/>
      <c r="H99" s="135"/>
      <c r="I99" s="101"/>
      <c r="J99" s="101"/>
      <c r="K99" s="101"/>
      <c r="L99" s="101"/>
      <c r="M99" s="101"/>
      <c r="N99" s="101"/>
      <c r="O99" s="101"/>
      <c r="P99" s="101"/>
      <c r="Q99" s="114"/>
      <c r="R99" s="271"/>
      <c r="S99" s="67"/>
      <c r="T99" s="67"/>
      <c r="W99" s="67"/>
      <c r="X99" s="67"/>
      <c r="Y99" s="67"/>
      <c r="AB99" s="67"/>
      <c r="AC99" s="67"/>
      <c r="AD99" s="67"/>
      <c r="AG99" s="67"/>
      <c r="AH99" s="67"/>
      <c r="AI99" s="67"/>
    </row>
    <row r="100" spans="1:35" ht="14.45" customHeight="1">
      <c r="A100" s="287"/>
      <c r="B100" s="135"/>
      <c r="C100" s="135"/>
      <c r="D100" s="132" t="s">
        <v>108</v>
      </c>
      <c r="E100" s="136">
        <v>580</v>
      </c>
      <c r="F100" s="175" t="s">
        <v>92</v>
      </c>
      <c r="G100" s="135"/>
      <c r="H100" s="135"/>
      <c r="I100" s="101"/>
      <c r="J100" s="101"/>
      <c r="K100" s="101"/>
      <c r="L100" s="101"/>
      <c r="M100" s="101"/>
      <c r="N100" s="101"/>
      <c r="O100" s="101"/>
      <c r="P100" s="101"/>
      <c r="Q100" s="114"/>
      <c r="R100" s="271"/>
      <c r="S100" s="67"/>
      <c r="T100" s="67"/>
      <c r="W100" s="67"/>
      <c r="X100" s="67"/>
      <c r="Y100" s="67"/>
      <c r="AB100" s="67"/>
      <c r="AC100" s="67"/>
      <c r="AD100" s="67"/>
      <c r="AG100" s="67"/>
      <c r="AH100" s="67"/>
      <c r="AI100" s="67"/>
    </row>
    <row r="101" spans="1:35" ht="14.25" customHeight="1">
      <c r="A101" s="287"/>
      <c r="B101" s="135"/>
      <c r="C101" s="135"/>
      <c r="D101" s="132" t="s">
        <v>119</v>
      </c>
      <c r="E101" s="136">
        <v>0.9</v>
      </c>
      <c r="F101" s="175" t="s">
        <v>8</v>
      </c>
      <c r="G101" s="135"/>
      <c r="H101" s="135"/>
      <c r="I101" s="101"/>
      <c r="J101" s="101"/>
      <c r="K101" s="101"/>
      <c r="L101" s="101"/>
      <c r="M101" s="101"/>
      <c r="N101" s="101"/>
      <c r="O101" s="101"/>
      <c r="P101" s="101"/>
      <c r="Q101" s="114"/>
      <c r="R101" s="271"/>
      <c r="S101" s="67"/>
      <c r="T101" s="67"/>
      <c r="W101" s="67"/>
      <c r="X101" s="67"/>
      <c r="Y101" s="67"/>
      <c r="AB101" s="67"/>
      <c r="AC101" s="67"/>
      <c r="AD101" s="67"/>
      <c r="AG101" s="67"/>
      <c r="AH101" s="67"/>
      <c r="AI101" s="67"/>
    </row>
    <row r="102" spans="1:35" ht="14.45" customHeight="1">
      <c r="A102" s="287"/>
      <c r="B102" s="135"/>
      <c r="C102" s="135"/>
      <c r="D102" s="132" t="s">
        <v>120</v>
      </c>
      <c r="E102" s="136">
        <v>50</v>
      </c>
      <c r="F102" s="175" t="s">
        <v>105</v>
      </c>
      <c r="G102" s="135"/>
      <c r="H102" s="135"/>
      <c r="I102" s="104"/>
      <c r="J102" s="105"/>
      <c r="K102" s="101"/>
      <c r="L102" s="101"/>
      <c r="M102" s="101"/>
      <c r="N102" s="101"/>
      <c r="O102" s="101"/>
      <c r="P102" s="101"/>
      <c r="Q102" s="114"/>
      <c r="R102" s="271"/>
      <c r="S102" s="67"/>
      <c r="T102" s="67"/>
      <c r="W102" s="67"/>
      <c r="X102" s="67"/>
      <c r="Y102" s="67"/>
      <c r="AB102" s="67"/>
      <c r="AC102" s="67"/>
      <c r="AD102" s="67"/>
      <c r="AG102" s="67"/>
      <c r="AH102" s="67"/>
      <c r="AI102" s="67"/>
    </row>
    <row r="103" spans="1:35" ht="14.45" customHeight="1" thickBot="1">
      <c r="A103" s="172"/>
      <c r="B103" s="173"/>
      <c r="C103" s="173"/>
      <c r="D103" s="494" t="s">
        <v>114</v>
      </c>
      <c r="E103" s="462">
        <v>40</v>
      </c>
      <c r="F103" s="174" t="s">
        <v>115</v>
      </c>
      <c r="G103" s="135"/>
      <c r="H103" s="135"/>
      <c r="I103" s="101"/>
      <c r="J103" s="101"/>
      <c r="K103" s="101"/>
      <c r="L103" s="101"/>
      <c r="M103" s="101"/>
      <c r="N103" s="101"/>
      <c r="O103" s="101"/>
      <c r="P103" s="101"/>
      <c r="Q103" s="114"/>
      <c r="R103" s="271"/>
      <c r="S103" s="67"/>
      <c r="T103" s="67"/>
      <c r="W103" s="67"/>
      <c r="X103" s="67"/>
      <c r="Y103" s="67"/>
      <c r="AB103" s="67"/>
      <c r="AC103" s="67"/>
      <c r="AD103" s="67"/>
      <c r="AG103" s="67"/>
      <c r="AH103" s="67"/>
      <c r="AI103" s="67"/>
    </row>
    <row r="104" spans="1:35" ht="14.45" customHeight="1">
      <c r="A104" s="469"/>
      <c r="B104" s="143"/>
      <c r="C104" s="135"/>
      <c r="D104" s="207"/>
      <c r="E104" s="159"/>
      <c r="F104" s="186"/>
      <c r="G104" s="135"/>
      <c r="H104" s="135"/>
      <c r="I104" s="101"/>
      <c r="J104" s="101"/>
      <c r="K104" s="101"/>
      <c r="L104" s="101"/>
      <c r="M104" s="101"/>
      <c r="N104" s="101"/>
      <c r="O104" s="101"/>
      <c r="P104" s="101"/>
      <c r="Q104" s="114"/>
      <c r="R104" s="271"/>
      <c r="S104" s="67"/>
      <c r="T104" s="67"/>
      <c r="W104" s="67"/>
      <c r="X104" s="67"/>
      <c r="Y104" s="67"/>
      <c r="AB104" s="67"/>
      <c r="AC104" s="67"/>
      <c r="AD104" s="67"/>
      <c r="AG104" s="67"/>
      <c r="AH104" s="67"/>
      <c r="AI104" s="67"/>
    </row>
    <row r="105" spans="1:35" ht="14.45" customHeight="1">
      <c r="A105" s="287"/>
      <c r="B105" s="135"/>
      <c r="C105" s="135"/>
      <c r="D105" s="132"/>
      <c r="E105" s="399"/>
      <c r="F105" s="135"/>
      <c r="G105" s="135"/>
      <c r="H105" s="135"/>
      <c r="I105" s="101"/>
      <c r="J105" s="101"/>
      <c r="K105" s="101"/>
      <c r="L105" s="101"/>
      <c r="M105" s="101"/>
      <c r="N105" s="101"/>
      <c r="O105" s="101"/>
      <c r="P105" s="101"/>
      <c r="Q105" s="114"/>
      <c r="R105" s="271"/>
      <c r="S105" s="67"/>
      <c r="T105" s="67"/>
      <c r="W105" s="67"/>
      <c r="X105" s="67"/>
      <c r="Y105" s="67"/>
      <c r="AB105" s="67"/>
      <c r="AC105" s="67"/>
      <c r="AD105" s="67"/>
      <c r="AG105" s="67"/>
      <c r="AH105" s="67"/>
      <c r="AI105" s="67"/>
    </row>
    <row r="106" spans="1:35" ht="18" customHeight="1" thickBot="1">
      <c r="A106" s="400" t="s">
        <v>121</v>
      </c>
      <c r="B106" s="145"/>
      <c r="C106" s="401"/>
      <c r="D106" s="402"/>
      <c r="E106" s="123"/>
      <c r="F106" s="123"/>
      <c r="G106" s="135"/>
      <c r="H106" s="135"/>
      <c r="I106" s="101"/>
      <c r="J106" s="101"/>
      <c r="K106" s="101"/>
      <c r="L106" s="101"/>
      <c r="M106" s="101"/>
      <c r="N106" s="101"/>
      <c r="O106" s="101"/>
      <c r="P106" s="101"/>
      <c r="Q106" s="114"/>
      <c r="R106" s="271"/>
      <c r="S106" s="67"/>
      <c r="T106" s="67"/>
      <c r="W106" s="67"/>
      <c r="X106" s="67"/>
      <c r="Y106" s="67"/>
      <c r="AB106" s="67"/>
      <c r="AC106" s="67"/>
      <c r="AD106" s="67"/>
      <c r="AG106" s="67"/>
      <c r="AH106" s="67"/>
      <c r="AI106" s="67"/>
    </row>
    <row r="107" spans="1:35" ht="14.45" customHeight="1">
      <c r="A107" s="192"/>
      <c r="B107" s="186"/>
      <c r="C107" s="403"/>
      <c r="D107" s="403" t="s">
        <v>122</v>
      </c>
      <c r="E107" s="404">
        <f>'Power Calculations'!AN9</f>
        <v>6.6375000000000003E-2</v>
      </c>
      <c r="F107" s="187" t="s">
        <v>30</v>
      </c>
      <c r="G107" s="135"/>
      <c r="H107" s="135"/>
      <c r="I107" s="101"/>
      <c r="J107" s="101"/>
      <c r="K107" s="101"/>
      <c r="L107" s="101"/>
      <c r="M107" s="101"/>
      <c r="N107" s="101"/>
      <c r="O107" s="101"/>
      <c r="P107" s="101"/>
      <c r="Q107" s="114"/>
      <c r="R107" s="271"/>
      <c r="S107" s="67"/>
      <c r="T107" s="67"/>
      <c r="W107" s="67"/>
      <c r="X107" s="67"/>
      <c r="Y107" s="67"/>
      <c r="AB107" s="67"/>
      <c r="AC107" s="67"/>
      <c r="AD107" s="67"/>
      <c r="AG107" s="67"/>
      <c r="AH107" s="67"/>
      <c r="AI107" s="67"/>
    </row>
    <row r="108" spans="1:35" ht="19.5" customHeight="1" thickBot="1">
      <c r="A108" s="172"/>
      <c r="B108" s="173"/>
      <c r="C108" s="173"/>
      <c r="D108" s="495" t="s">
        <v>123</v>
      </c>
      <c r="E108" s="496">
        <f>'Power Calculations'!AN9*50</f>
        <v>3.3187500000000001</v>
      </c>
      <c r="F108" s="497" t="s">
        <v>124</v>
      </c>
      <c r="G108" s="123"/>
      <c r="H108" s="135"/>
      <c r="I108" s="101"/>
      <c r="J108" s="101"/>
      <c r="K108" s="101"/>
      <c r="L108" s="101"/>
      <c r="M108" s="101"/>
      <c r="N108" s="101"/>
      <c r="O108" s="101"/>
      <c r="P108" s="101"/>
      <c r="Q108" s="114"/>
      <c r="R108" s="271"/>
      <c r="S108" s="67"/>
      <c r="T108" s="67"/>
      <c r="W108" s="67"/>
      <c r="X108" s="67"/>
      <c r="Y108" s="67"/>
      <c r="AB108" s="67"/>
      <c r="AC108" s="67"/>
      <c r="AD108" s="67"/>
      <c r="AG108" s="67"/>
      <c r="AH108" s="67"/>
      <c r="AI108" s="67"/>
    </row>
    <row r="109" spans="1:35" ht="15.75" customHeight="1">
      <c r="A109" s="465"/>
      <c r="B109" s="123"/>
      <c r="C109" s="123"/>
      <c r="D109" s="123"/>
      <c r="E109" s="123"/>
      <c r="F109" s="123"/>
      <c r="G109" s="123"/>
      <c r="H109" s="135"/>
      <c r="I109" s="101"/>
      <c r="J109" s="101"/>
      <c r="K109" s="101"/>
      <c r="L109" s="101"/>
      <c r="M109" s="101"/>
      <c r="N109" s="101"/>
      <c r="O109" s="101"/>
      <c r="P109" s="101"/>
      <c r="Q109" s="114"/>
      <c r="R109" s="271"/>
      <c r="S109" s="67"/>
      <c r="T109" s="67"/>
      <c r="W109" s="67"/>
      <c r="X109" s="67"/>
      <c r="Y109" s="67"/>
      <c r="AB109" s="67"/>
      <c r="AC109" s="67"/>
      <c r="AD109" s="67"/>
      <c r="AG109" s="67"/>
      <c r="AH109" s="67"/>
      <c r="AI109" s="67"/>
    </row>
    <row r="110" spans="1:35" ht="14.45" customHeight="1">
      <c r="A110" s="465"/>
      <c r="B110" s="123"/>
      <c r="C110" s="123"/>
      <c r="D110" s="123"/>
      <c r="E110" s="123"/>
      <c r="F110" s="123"/>
      <c r="G110" s="123"/>
      <c r="H110" s="135"/>
      <c r="I110" s="101"/>
      <c r="J110" s="101"/>
      <c r="K110" s="101"/>
      <c r="L110" s="101"/>
      <c r="M110" s="101"/>
      <c r="N110" s="101"/>
      <c r="O110" s="101"/>
      <c r="P110" s="101"/>
      <c r="Q110" s="114"/>
      <c r="R110" s="271"/>
      <c r="S110" s="67"/>
      <c r="T110" s="67"/>
      <c r="W110" s="67"/>
      <c r="X110" s="67"/>
      <c r="Y110" s="67"/>
      <c r="AB110" s="67"/>
      <c r="AC110" s="67"/>
      <c r="AD110" s="67"/>
      <c r="AG110" s="67"/>
      <c r="AH110" s="67"/>
      <c r="AI110" s="67"/>
    </row>
    <row r="111" spans="1:35" ht="16.350000000000001" customHeight="1" thickBot="1">
      <c r="A111" s="287"/>
      <c r="B111" s="135"/>
      <c r="C111" s="135"/>
      <c r="D111" s="132"/>
      <c r="E111" s="200"/>
      <c r="F111" s="135"/>
      <c r="G111" s="135"/>
      <c r="H111" s="135"/>
      <c r="I111" s="101"/>
      <c r="J111" s="101"/>
      <c r="K111" s="101"/>
      <c r="L111" s="101"/>
      <c r="M111" s="101"/>
      <c r="N111" s="101"/>
      <c r="O111" s="101"/>
      <c r="P111" s="101"/>
      <c r="Q111" s="114"/>
      <c r="R111" s="271"/>
      <c r="S111" s="67"/>
      <c r="T111" s="67"/>
      <c r="W111" s="67"/>
      <c r="X111" s="67"/>
      <c r="Y111" s="67"/>
      <c r="AB111" s="67"/>
      <c r="AC111" s="67"/>
      <c r="AD111" s="67"/>
      <c r="AG111" s="67"/>
      <c r="AH111" s="67"/>
      <c r="AI111" s="67"/>
    </row>
    <row r="112" spans="1:35" ht="15" thickBot="1">
      <c r="A112" s="267"/>
      <c r="B112" s="268"/>
      <c r="C112" s="269"/>
      <c r="D112" s="269"/>
      <c r="E112" s="269"/>
      <c r="F112" s="269"/>
      <c r="G112" s="269"/>
      <c r="H112" s="269"/>
      <c r="I112" s="269"/>
      <c r="J112" s="269"/>
      <c r="K112" s="269"/>
      <c r="L112" s="269"/>
      <c r="M112" s="269"/>
      <c r="N112" s="269"/>
      <c r="O112" s="269"/>
      <c r="P112" s="269"/>
      <c r="Q112" s="269"/>
      <c r="R112" s="498"/>
      <c r="S112" s="67"/>
      <c r="T112" s="67"/>
      <c r="W112" s="67"/>
      <c r="X112" s="67"/>
      <c r="Y112" s="67"/>
      <c r="AB112" s="67"/>
      <c r="AC112" s="67"/>
      <c r="AD112" s="67"/>
      <c r="AG112" s="67"/>
      <c r="AH112" s="67"/>
      <c r="AI112" s="67"/>
    </row>
    <row r="113" spans="18:35">
      <c r="R113" s="67"/>
      <c r="S113" s="67"/>
      <c r="T113" s="67"/>
      <c r="W113" s="67"/>
      <c r="X113" s="67"/>
      <c r="Y113" s="67"/>
      <c r="AB113" s="67"/>
      <c r="AC113" s="67"/>
      <c r="AD113" s="67"/>
      <c r="AG113" s="67"/>
      <c r="AH113" s="67"/>
      <c r="AI113" s="67"/>
    </row>
    <row r="114" spans="18:35">
      <c r="R114" s="67"/>
      <c r="S114" s="67"/>
      <c r="T114" s="67"/>
      <c r="W114" s="67"/>
      <c r="X114" s="67"/>
      <c r="Y114" s="67"/>
      <c r="AB114" s="67"/>
      <c r="AC114" s="67"/>
      <c r="AD114" s="67"/>
      <c r="AG114" s="67"/>
      <c r="AH114" s="67"/>
      <c r="AI114" s="67"/>
    </row>
    <row r="115" spans="18:35">
      <c r="R115" s="67"/>
      <c r="S115" s="67"/>
      <c r="T115" s="67"/>
      <c r="W115" s="67"/>
      <c r="X115" s="67"/>
      <c r="Y115" s="67"/>
      <c r="AB115" s="67"/>
      <c r="AC115" s="67"/>
      <c r="AD115" s="67"/>
      <c r="AG115" s="67"/>
      <c r="AH115" s="67"/>
      <c r="AI115" s="67"/>
    </row>
    <row r="116" spans="18:35">
      <c r="R116" s="67"/>
      <c r="S116" s="67"/>
      <c r="T116" s="67"/>
      <c r="W116" s="67"/>
      <c r="X116" s="67"/>
      <c r="Y116" s="67"/>
      <c r="AB116" s="67"/>
      <c r="AC116" s="67"/>
      <c r="AD116" s="67"/>
      <c r="AG116" s="67"/>
      <c r="AH116" s="67"/>
      <c r="AI116" s="67"/>
    </row>
    <row r="117" spans="18:35">
      <c r="R117" s="67"/>
      <c r="S117" s="67"/>
      <c r="T117" s="67"/>
      <c r="W117" s="67"/>
      <c r="X117" s="67"/>
      <c r="Y117" s="67"/>
      <c r="AB117" s="67"/>
      <c r="AC117" s="67"/>
      <c r="AD117" s="67"/>
      <c r="AG117" s="67"/>
      <c r="AH117" s="67"/>
      <c r="AI117" s="67"/>
    </row>
    <row r="118" spans="18:35">
      <c r="R118" s="67"/>
      <c r="S118" s="67"/>
      <c r="T118" s="67"/>
      <c r="W118" s="67"/>
      <c r="X118" s="67"/>
      <c r="Y118" s="67"/>
      <c r="AB118" s="67"/>
      <c r="AC118" s="67"/>
      <c r="AD118" s="67"/>
      <c r="AG118" s="67"/>
      <c r="AH118" s="67"/>
      <c r="AI118" s="67"/>
    </row>
    <row r="119" spans="18:35">
      <c r="R119" s="67"/>
      <c r="S119" s="67"/>
      <c r="T119" s="67"/>
      <c r="W119" s="67"/>
      <c r="X119" s="67"/>
      <c r="Y119" s="67"/>
      <c r="AB119" s="67"/>
      <c r="AC119" s="67"/>
      <c r="AD119" s="67"/>
      <c r="AG119" s="67"/>
      <c r="AH119" s="67"/>
      <c r="AI119" s="67"/>
    </row>
    <row r="120" spans="18:35">
      <c r="R120" s="67"/>
      <c r="S120" s="67"/>
      <c r="T120" s="67"/>
      <c r="W120" s="67"/>
      <c r="X120" s="67"/>
      <c r="Y120" s="67"/>
      <c r="AB120" s="67"/>
      <c r="AC120" s="67"/>
      <c r="AD120" s="67"/>
      <c r="AG120" s="67"/>
      <c r="AH120" s="67"/>
      <c r="AI120" s="67"/>
    </row>
    <row r="121" spans="18:35">
      <c r="R121" s="67"/>
      <c r="S121" s="67"/>
      <c r="T121" s="67"/>
      <c r="W121" s="67"/>
      <c r="X121" s="67"/>
      <c r="Y121" s="67"/>
      <c r="AB121" s="67"/>
      <c r="AC121" s="67"/>
      <c r="AD121" s="67"/>
      <c r="AG121" s="67"/>
      <c r="AH121" s="67"/>
      <c r="AI121" s="67"/>
    </row>
    <row r="122" spans="18:35">
      <c r="R122" s="67"/>
      <c r="S122" s="67"/>
      <c r="T122" s="67"/>
      <c r="W122" s="67"/>
      <c r="X122" s="67"/>
      <c r="Y122" s="67"/>
      <c r="AB122" s="67"/>
      <c r="AC122" s="67"/>
      <c r="AD122" s="67"/>
      <c r="AG122" s="67"/>
      <c r="AH122" s="67"/>
      <c r="AI122" s="67"/>
    </row>
    <row r="123" spans="18:35">
      <c r="R123" s="67"/>
      <c r="S123" s="67"/>
      <c r="T123" s="67"/>
      <c r="W123" s="67"/>
      <c r="X123" s="67"/>
      <c r="Y123" s="67"/>
      <c r="AB123" s="67"/>
      <c r="AC123" s="67"/>
      <c r="AD123" s="67"/>
      <c r="AG123" s="67"/>
      <c r="AH123" s="67"/>
      <c r="AI123" s="67"/>
    </row>
    <row r="124" spans="18:35">
      <c r="R124" s="67"/>
      <c r="S124" s="67"/>
      <c r="T124" s="67"/>
      <c r="W124" s="67"/>
      <c r="X124" s="67"/>
      <c r="Y124" s="67"/>
      <c r="AB124" s="67"/>
      <c r="AC124" s="67"/>
      <c r="AD124" s="67"/>
      <c r="AG124" s="67"/>
      <c r="AH124" s="67"/>
      <c r="AI124" s="67"/>
    </row>
    <row r="125" spans="18:35">
      <c r="R125" s="67"/>
      <c r="S125" s="67"/>
      <c r="T125" s="67"/>
      <c r="W125" s="67"/>
      <c r="X125" s="67"/>
      <c r="Y125" s="67"/>
      <c r="AB125" s="67"/>
      <c r="AC125" s="67"/>
      <c r="AD125" s="67"/>
      <c r="AG125" s="67"/>
      <c r="AH125" s="67"/>
      <c r="AI125" s="67"/>
    </row>
    <row r="126" spans="18:35">
      <c r="R126" s="67"/>
      <c r="S126" s="67"/>
      <c r="T126" s="67"/>
      <c r="W126" s="67"/>
      <c r="X126" s="67"/>
      <c r="Y126" s="67"/>
      <c r="AB126" s="67"/>
      <c r="AC126" s="67"/>
      <c r="AD126" s="67"/>
      <c r="AG126" s="67"/>
      <c r="AH126" s="67"/>
      <c r="AI126" s="67"/>
    </row>
    <row r="127" spans="18:35">
      <c r="R127" s="67"/>
      <c r="S127" s="67"/>
      <c r="T127" s="67"/>
      <c r="W127" s="67"/>
      <c r="X127" s="67"/>
      <c r="Y127" s="67"/>
      <c r="AB127" s="67"/>
      <c r="AC127" s="67"/>
      <c r="AD127" s="67"/>
      <c r="AG127" s="67"/>
      <c r="AH127" s="67"/>
      <c r="AI127" s="67"/>
    </row>
    <row r="128" spans="18:35">
      <c r="R128" s="67"/>
      <c r="S128" s="67"/>
      <c r="T128" s="67"/>
      <c r="W128" s="67"/>
      <c r="X128" s="67"/>
      <c r="Y128" s="67"/>
      <c r="AB128" s="67"/>
      <c r="AC128" s="67"/>
      <c r="AD128" s="67"/>
      <c r="AG128" s="67"/>
      <c r="AH128" s="67"/>
      <c r="AI128" s="67"/>
    </row>
    <row r="129" spans="18:35">
      <c r="R129" s="67"/>
      <c r="S129" s="67"/>
      <c r="T129" s="67"/>
      <c r="W129" s="67"/>
      <c r="X129" s="67"/>
      <c r="Y129" s="67"/>
      <c r="AB129" s="67"/>
      <c r="AC129" s="67"/>
      <c r="AD129" s="67"/>
      <c r="AG129" s="67"/>
      <c r="AH129" s="67"/>
      <c r="AI129" s="67"/>
    </row>
    <row r="130" spans="18:35">
      <c r="R130" s="67"/>
      <c r="S130" s="67"/>
      <c r="T130" s="67"/>
      <c r="W130" s="67"/>
      <c r="X130" s="67"/>
      <c r="Y130" s="67"/>
      <c r="AB130" s="67"/>
      <c r="AC130" s="67"/>
      <c r="AD130" s="67"/>
      <c r="AG130" s="67"/>
      <c r="AH130" s="67"/>
      <c r="AI130" s="67"/>
    </row>
    <row r="131" spans="18:35">
      <c r="R131" s="67"/>
      <c r="S131" s="67"/>
      <c r="T131" s="67"/>
      <c r="W131" s="67"/>
      <c r="X131" s="67"/>
      <c r="Y131" s="67"/>
      <c r="AB131" s="67"/>
      <c r="AC131" s="67"/>
      <c r="AD131" s="67"/>
      <c r="AG131" s="67"/>
      <c r="AH131" s="67"/>
      <c r="AI131" s="67"/>
    </row>
    <row r="132" spans="18:35">
      <c r="R132" s="67"/>
      <c r="S132" s="67"/>
      <c r="T132" s="67"/>
      <c r="W132" s="67"/>
      <c r="X132" s="67"/>
      <c r="Y132" s="67"/>
      <c r="AB132" s="67"/>
      <c r="AC132" s="67"/>
      <c r="AD132" s="67"/>
      <c r="AG132" s="67"/>
      <c r="AH132" s="67"/>
      <c r="AI132" s="67"/>
    </row>
    <row r="133" spans="18:35">
      <c r="R133" s="67"/>
      <c r="S133" s="67"/>
      <c r="T133" s="67"/>
      <c r="W133" s="67"/>
      <c r="X133" s="67"/>
      <c r="Y133" s="67"/>
      <c r="AB133" s="67"/>
      <c r="AC133" s="67"/>
      <c r="AD133" s="67"/>
      <c r="AG133" s="67"/>
      <c r="AH133" s="67"/>
      <c r="AI133" s="67"/>
    </row>
    <row r="134" spans="18:35">
      <c r="R134" s="67"/>
      <c r="S134" s="67"/>
      <c r="T134" s="67"/>
      <c r="W134" s="67"/>
      <c r="X134" s="67"/>
      <c r="Y134" s="67"/>
      <c r="AB134" s="67"/>
      <c r="AC134" s="67"/>
      <c r="AD134" s="67"/>
      <c r="AG134" s="67"/>
      <c r="AH134" s="67"/>
      <c r="AI134" s="67"/>
    </row>
    <row r="135" spans="18:35">
      <c r="R135" s="67"/>
      <c r="S135" s="67"/>
      <c r="T135" s="67"/>
      <c r="W135" s="67"/>
      <c r="X135" s="67"/>
      <c r="Y135" s="67"/>
      <c r="AB135" s="67"/>
      <c r="AC135" s="67"/>
      <c r="AD135" s="67"/>
      <c r="AG135" s="67"/>
      <c r="AH135" s="67"/>
      <c r="AI135" s="67"/>
    </row>
    <row r="136" spans="18:35">
      <c r="R136" s="67"/>
      <c r="S136" s="67"/>
      <c r="T136" s="67"/>
      <c r="W136" s="67"/>
      <c r="X136" s="67"/>
      <c r="Y136" s="67"/>
      <c r="AB136" s="67"/>
      <c r="AC136" s="67"/>
      <c r="AD136" s="67"/>
      <c r="AG136" s="67"/>
      <c r="AH136" s="67"/>
      <c r="AI136" s="67"/>
    </row>
    <row r="137" spans="18:35">
      <c r="R137" s="67"/>
      <c r="S137" s="67"/>
      <c r="T137" s="67"/>
      <c r="W137" s="67"/>
      <c r="X137" s="67"/>
      <c r="Y137" s="67"/>
      <c r="AB137" s="67"/>
      <c r="AC137" s="67"/>
      <c r="AD137" s="67"/>
      <c r="AG137" s="67"/>
      <c r="AH137" s="67"/>
      <c r="AI137" s="67"/>
    </row>
    <row r="138" spans="18:35">
      <c r="R138" s="67"/>
      <c r="S138" s="67"/>
      <c r="T138" s="67"/>
      <c r="W138" s="67"/>
      <c r="X138" s="67"/>
      <c r="Y138" s="67"/>
      <c r="AB138" s="67"/>
      <c r="AC138" s="67"/>
      <c r="AD138" s="67"/>
      <c r="AG138" s="67"/>
      <c r="AH138" s="67"/>
      <c r="AI138" s="67"/>
    </row>
    <row r="139" spans="18:35">
      <c r="R139" s="67"/>
      <c r="S139" s="67"/>
      <c r="T139" s="67"/>
      <c r="W139" s="67"/>
      <c r="X139" s="67"/>
      <c r="Y139" s="67"/>
      <c r="AB139" s="67"/>
      <c r="AC139" s="67"/>
      <c r="AD139" s="67"/>
      <c r="AG139" s="67"/>
      <c r="AH139" s="67"/>
      <c r="AI139" s="67"/>
    </row>
    <row r="140" spans="18:35">
      <c r="R140" s="67"/>
      <c r="S140" s="67"/>
      <c r="T140" s="67"/>
      <c r="W140" s="67"/>
      <c r="X140" s="67"/>
      <c r="Y140" s="67"/>
      <c r="AB140" s="67"/>
      <c r="AC140" s="67"/>
      <c r="AD140" s="67"/>
      <c r="AG140" s="67"/>
      <c r="AH140" s="67"/>
      <c r="AI140" s="67"/>
    </row>
    <row r="141" spans="18:35">
      <c r="R141" s="67"/>
      <c r="S141" s="67"/>
      <c r="T141" s="67"/>
      <c r="W141" s="67"/>
      <c r="X141" s="67"/>
      <c r="Y141" s="67"/>
      <c r="AB141" s="67"/>
      <c r="AC141" s="67"/>
      <c r="AD141" s="67"/>
      <c r="AG141" s="67"/>
      <c r="AH141" s="67"/>
      <c r="AI141" s="67"/>
    </row>
    <row r="142" spans="18:35">
      <c r="R142" s="67"/>
      <c r="S142" s="67"/>
      <c r="T142" s="67"/>
      <c r="W142" s="67"/>
      <c r="X142" s="67"/>
      <c r="Y142" s="67"/>
      <c r="AB142" s="67"/>
      <c r="AC142" s="67"/>
      <c r="AD142" s="67"/>
      <c r="AG142" s="67"/>
      <c r="AH142" s="67"/>
      <c r="AI142" s="67"/>
    </row>
    <row r="143" spans="18:35">
      <c r="R143" s="67"/>
      <c r="S143" s="67"/>
      <c r="T143" s="67"/>
      <c r="W143" s="67"/>
      <c r="X143" s="67"/>
      <c r="Y143" s="67"/>
      <c r="AB143" s="67"/>
      <c r="AC143" s="67"/>
      <c r="AD143" s="67"/>
      <c r="AG143" s="67"/>
      <c r="AH143" s="67"/>
      <c r="AI143" s="67"/>
    </row>
    <row r="144" spans="18:35">
      <c r="R144" s="67"/>
      <c r="S144" s="67"/>
      <c r="T144" s="67"/>
      <c r="W144" s="67"/>
      <c r="X144" s="67"/>
      <c r="Y144" s="67"/>
      <c r="AB144" s="67"/>
      <c r="AC144" s="67"/>
      <c r="AD144" s="67"/>
      <c r="AG144" s="67"/>
      <c r="AH144" s="67"/>
      <c r="AI144" s="67"/>
    </row>
    <row r="145" spans="18:35">
      <c r="R145" s="67"/>
      <c r="S145" s="67"/>
      <c r="T145" s="67"/>
      <c r="W145" s="67"/>
      <c r="X145" s="67"/>
      <c r="Y145" s="67"/>
      <c r="AB145" s="67"/>
      <c r="AC145" s="67"/>
      <c r="AD145" s="67"/>
      <c r="AG145" s="67"/>
      <c r="AH145" s="67"/>
      <c r="AI145" s="67"/>
    </row>
    <row r="146" spans="18:35">
      <c r="R146" s="67"/>
      <c r="S146" s="67"/>
      <c r="T146" s="67"/>
      <c r="W146" s="67"/>
      <c r="X146" s="67"/>
      <c r="Y146" s="67"/>
      <c r="AB146" s="67"/>
      <c r="AC146" s="67"/>
      <c r="AD146" s="67"/>
      <c r="AG146" s="67"/>
      <c r="AH146" s="67"/>
      <c r="AI146" s="67"/>
    </row>
    <row r="147" spans="18:35">
      <c r="R147" s="67"/>
      <c r="S147" s="67"/>
      <c r="T147" s="67"/>
      <c r="W147" s="67"/>
      <c r="X147" s="67"/>
      <c r="Y147" s="67"/>
      <c r="AB147" s="67"/>
      <c r="AC147" s="67"/>
      <c r="AD147" s="67"/>
      <c r="AG147" s="67"/>
      <c r="AH147" s="67"/>
      <c r="AI147" s="67"/>
    </row>
    <row r="148" spans="18:35">
      <c r="R148" s="67"/>
      <c r="S148" s="67"/>
      <c r="T148" s="67"/>
      <c r="W148" s="67"/>
      <c r="X148" s="67"/>
      <c r="Y148" s="67"/>
      <c r="AB148" s="67"/>
      <c r="AC148" s="67"/>
      <c r="AD148" s="67"/>
      <c r="AG148" s="67"/>
      <c r="AH148" s="67"/>
      <c r="AI148" s="67"/>
    </row>
    <row r="149" spans="18:35">
      <c r="R149" s="67"/>
      <c r="S149" s="67"/>
      <c r="T149" s="67"/>
      <c r="W149" s="67"/>
      <c r="X149" s="67"/>
      <c r="Y149" s="67"/>
      <c r="AB149" s="67"/>
      <c r="AC149" s="67"/>
      <c r="AD149" s="67"/>
      <c r="AG149" s="67"/>
      <c r="AH149" s="67"/>
      <c r="AI149" s="67"/>
    </row>
    <row r="150" spans="18:35">
      <c r="R150" s="67"/>
      <c r="S150" s="67"/>
      <c r="T150" s="67"/>
      <c r="W150" s="67"/>
      <c r="X150" s="67"/>
      <c r="Y150" s="67"/>
      <c r="AB150" s="67"/>
      <c r="AC150" s="67"/>
      <c r="AD150" s="67"/>
      <c r="AG150" s="67"/>
      <c r="AH150" s="67"/>
      <c r="AI150" s="67"/>
    </row>
    <row r="151" spans="18:35">
      <c r="R151" s="67"/>
      <c r="S151" s="67"/>
      <c r="T151" s="67"/>
      <c r="W151" s="67"/>
      <c r="X151" s="67"/>
      <c r="Y151" s="67"/>
      <c r="AB151" s="67"/>
      <c r="AC151" s="67"/>
      <c r="AD151" s="67"/>
      <c r="AG151" s="67"/>
      <c r="AH151" s="67"/>
      <c r="AI151" s="67"/>
    </row>
    <row r="152" spans="18:35">
      <c r="R152" s="67"/>
      <c r="S152" s="67"/>
      <c r="T152" s="67"/>
      <c r="W152" s="67"/>
      <c r="X152" s="67"/>
      <c r="Y152" s="67"/>
      <c r="AB152" s="67"/>
      <c r="AC152" s="67"/>
      <c r="AD152" s="67"/>
      <c r="AG152" s="67"/>
      <c r="AH152" s="67"/>
      <c r="AI152" s="67"/>
    </row>
    <row r="153" spans="18:35">
      <c r="R153" s="67"/>
      <c r="S153" s="67"/>
      <c r="T153" s="67"/>
      <c r="W153" s="67"/>
      <c r="X153" s="67"/>
      <c r="Y153" s="67"/>
      <c r="AB153" s="67"/>
      <c r="AC153" s="67"/>
      <c r="AD153" s="67"/>
      <c r="AG153" s="67"/>
      <c r="AH153" s="67"/>
      <c r="AI153" s="67"/>
    </row>
    <row r="154" spans="18:35">
      <c r="R154" s="67"/>
      <c r="S154" s="67"/>
      <c r="T154" s="67"/>
      <c r="W154" s="67"/>
      <c r="X154" s="67"/>
      <c r="Y154" s="67"/>
      <c r="AB154" s="67"/>
      <c r="AC154" s="67"/>
      <c r="AD154" s="67"/>
      <c r="AG154" s="67"/>
      <c r="AH154" s="67"/>
      <c r="AI154" s="67"/>
    </row>
    <row r="155" spans="18:35">
      <c r="R155" s="67"/>
      <c r="S155" s="67"/>
      <c r="T155" s="67"/>
      <c r="W155" s="67"/>
      <c r="X155" s="67"/>
      <c r="Y155" s="67"/>
      <c r="AB155" s="67"/>
      <c r="AC155" s="67"/>
      <c r="AD155" s="67"/>
      <c r="AG155" s="67"/>
      <c r="AH155" s="67"/>
      <c r="AI155" s="67"/>
    </row>
    <row r="156" spans="18:35">
      <c r="R156" s="67"/>
      <c r="S156" s="67"/>
      <c r="T156" s="67"/>
      <c r="W156" s="67"/>
      <c r="X156" s="67"/>
      <c r="Y156" s="67"/>
      <c r="AB156" s="67"/>
      <c r="AC156" s="67"/>
      <c r="AD156" s="67"/>
      <c r="AG156" s="67"/>
      <c r="AH156" s="67"/>
      <c r="AI156" s="67"/>
    </row>
    <row r="157" spans="18:35">
      <c r="R157" s="67"/>
      <c r="S157" s="67"/>
      <c r="T157" s="67"/>
      <c r="W157" s="67"/>
      <c r="X157" s="67"/>
      <c r="Y157" s="67"/>
      <c r="AB157" s="67"/>
      <c r="AC157" s="67"/>
      <c r="AD157" s="67"/>
      <c r="AG157" s="67"/>
      <c r="AH157" s="67"/>
      <c r="AI157" s="67"/>
    </row>
    <row r="158" spans="18:35">
      <c r="R158" s="67"/>
      <c r="S158" s="67"/>
      <c r="T158" s="67"/>
      <c r="W158" s="67"/>
      <c r="X158" s="67"/>
      <c r="Y158" s="67"/>
      <c r="AB158" s="67"/>
      <c r="AC158" s="67"/>
      <c r="AD158" s="67"/>
      <c r="AG158" s="67"/>
      <c r="AH158" s="67"/>
      <c r="AI158" s="67"/>
    </row>
    <row r="159" spans="18:35">
      <c r="R159" s="67"/>
      <c r="S159" s="67"/>
      <c r="T159" s="67"/>
      <c r="W159" s="67"/>
      <c r="X159" s="67"/>
      <c r="Y159" s="67"/>
      <c r="AB159" s="67"/>
      <c r="AC159" s="67"/>
      <c r="AD159" s="67"/>
      <c r="AG159" s="67"/>
      <c r="AH159" s="67"/>
      <c r="AI159" s="67"/>
    </row>
    <row r="160" spans="18:35">
      <c r="R160" s="67"/>
      <c r="S160" s="67"/>
      <c r="T160" s="67"/>
      <c r="W160" s="67"/>
      <c r="X160" s="67"/>
      <c r="Y160" s="67"/>
      <c r="AB160" s="67"/>
      <c r="AC160" s="67"/>
      <c r="AD160" s="67"/>
      <c r="AG160" s="67"/>
      <c r="AH160" s="67"/>
      <c r="AI160" s="67"/>
    </row>
    <row r="161" spans="18:35">
      <c r="R161" s="67"/>
      <c r="S161" s="67"/>
      <c r="T161" s="67"/>
      <c r="W161" s="67"/>
      <c r="X161" s="67"/>
      <c r="Y161" s="67"/>
      <c r="AB161" s="67"/>
      <c r="AC161" s="67"/>
      <c r="AD161" s="67"/>
      <c r="AG161" s="67"/>
      <c r="AH161" s="67"/>
      <c r="AI161" s="67"/>
    </row>
    <row r="162" spans="18:35">
      <c r="R162" s="67"/>
      <c r="S162" s="67"/>
      <c r="T162" s="67"/>
      <c r="W162" s="67"/>
      <c r="X162" s="67"/>
      <c r="Y162" s="67"/>
      <c r="AB162" s="67"/>
      <c r="AC162" s="67"/>
      <c r="AD162" s="67"/>
      <c r="AG162" s="67"/>
      <c r="AH162" s="67"/>
      <c r="AI162" s="67"/>
    </row>
    <row r="163" spans="18:35">
      <c r="R163" s="67"/>
      <c r="S163" s="67"/>
      <c r="T163" s="67"/>
      <c r="W163" s="67"/>
      <c r="X163" s="67"/>
      <c r="Y163" s="67"/>
      <c r="AB163" s="67"/>
      <c r="AC163" s="67"/>
      <c r="AD163" s="67"/>
      <c r="AG163" s="67"/>
      <c r="AH163" s="67"/>
      <c r="AI163" s="67"/>
    </row>
    <row r="164" spans="18:35">
      <c r="R164" s="67"/>
      <c r="S164" s="67"/>
      <c r="T164" s="67"/>
      <c r="W164" s="67"/>
      <c r="X164" s="67"/>
      <c r="Y164" s="67"/>
      <c r="AB164" s="67"/>
      <c r="AC164" s="67"/>
      <c r="AD164" s="67"/>
      <c r="AG164" s="67"/>
      <c r="AH164" s="67"/>
      <c r="AI164" s="67"/>
    </row>
    <row r="165" spans="18:35">
      <c r="R165" s="67"/>
      <c r="S165" s="67"/>
      <c r="T165" s="67"/>
      <c r="W165" s="67"/>
      <c r="X165" s="67"/>
      <c r="Y165" s="67"/>
      <c r="AB165" s="67"/>
      <c r="AC165" s="67"/>
      <c r="AD165" s="67"/>
      <c r="AG165" s="67"/>
      <c r="AH165" s="67"/>
      <c r="AI165" s="67"/>
    </row>
    <row r="166" spans="18:35">
      <c r="R166" s="67"/>
      <c r="S166" s="67"/>
      <c r="T166" s="67"/>
      <c r="W166" s="67"/>
      <c r="X166" s="67"/>
      <c r="Y166" s="67"/>
      <c r="AB166" s="67"/>
      <c r="AC166" s="67"/>
      <c r="AD166" s="67"/>
      <c r="AG166" s="67"/>
      <c r="AH166" s="67"/>
      <c r="AI166" s="67"/>
    </row>
    <row r="167" spans="18:35">
      <c r="R167" s="67"/>
      <c r="S167" s="67"/>
      <c r="T167" s="67"/>
      <c r="W167" s="67"/>
      <c r="X167" s="67"/>
      <c r="Y167" s="67"/>
      <c r="AB167" s="67"/>
      <c r="AC167" s="67"/>
      <c r="AD167" s="67"/>
      <c r="AG167" s="67"/>
      <c r="AH167" s="67"/>
      <c r="AI167" s="67"/>
    </row>
    <row r="168" spans="18:35">
      <c r="R168" s="67"/>
      <c r="S168" s="67"/>
      <c r="T168" s="67"/>
      <c r="W168" s="67"/>
      <c r="X168" s="67"/>
      <c r="Y168" s="67"/>
      <c r="AB168" s="67"/>
      <c r="AC168" s="67"/>
      <c r="AD168" s="67"/>
      <c r="AG168" s="67"/>
      <c r="AH168" s="67"/>
      <c r="AI168" s="67"/>
    </row>
    <row r="169" spans="18:35">
      <c r="R169" s="67"/>
      <c r="S169" s="67"/>
      <c r="T169" s="67"/>
      <c r="W169" s="67"/>
      <c r="X169" s="67"/>
      <c r="Y169" s="67"/>
      <c r="AB169" s="67"/>
      <c r="AC169" s="67"/>
      <c r="AD169" s="67"/>
      <c r="AG169" s="67"/>
      <c r="AH169" s="67"/>
      <c r="AI169" s="67"/>
    </row>
    <row r="170" spans="18:35">
      <c r="R170" s="67"/>
      <c r="S170" s="67"/>
      <c r="T170" s="67"/>
      <c r="W170" s="67"/>
      <c r="X170" s="67"/>
      <c r="Y170" s="67"/>
      <c r="AB170" s="67"/>
      <c r="AC170" s="67"/>
      <c r="AD170" s="67"/>
      <c r="AG170" s="67"/>
      <c r="AH170" s="67"/>
      <c r="AI170" s="67"/>
    </row>
    <row r="171" spans="18:35">
      <c r="R171" s="67"/>
      <c r="S171" s="67"/>
      <c r="T171" s="67"/>
      <c r="W171" s="67"/>
      <c r="X171" s="67"/>
      <c r="Y171" s="67"/>
      <c r="AB171" s="67"/>
      <c r="AC171" s="67"/>
      <c r="AD171" s="67"/>
      <c r="AG171" s="67"/>
      <c r="AH171" s="67"/>
      <c r="AI171" s="67"/>
    </row>
    <row r="172" spans="18:35">
      <c r="R172" s="67"/>
      <c r="S172" s="67"/>
      <c r="T172" s="67"/>
      <c r="W172" s="67"/>
      <c r="X172" s="67"/>
      <c r="Y172" s="67"/>
      <c r="AB172" s="67"/>
      <c r="AC172" s="67"/>
      <c r="AD172" s="67"/>
      <c r="AG172" s="67"/>
      <c r="AH172" s="67"/>
      <c r="AI172" s="67"/>
    </row>
    <row r="173" spans="18:35">
      <c r="R173" s="67"/>
      <c r="S173" s="67"/>
      <c r="T173" s="67"/>
      <c r="W173" s="67"/>
      <c r="X173" s="67"/>
      <c r="Y173" s="67"/>
      <c r="AB173" s="67"/>
      <c r="AC173" s="67"/>
      <c r="AD173" s="67"/>
      <c r="AG173" s="67"/>
      <c r="AH173" s="67"/>
      <c r="AI173" s="67"/>
    </row>
    <row r="174" spans="18:35">
      <c r="R174" s="67"/>
      <c r="S174" s="67"/>
      <c r="T174" s="67"/>
      <c r="W174" s="67"/>
      <c r="X174" s="67"/>
      <c r="Y174" s="67"/>
      <c r="AB174" s="67"/>
      <c r="AC174" s="67"/>
      <c r="AD174" s="67"/>
      <c r="AG174" s="67"/>
      <c r="AH174" s="67"/>
      <c r="AI174" s="67"/>
    </row>
    <row r="175" spans="18:35">
      <c r="R175" s="67"/>
      <c r="S175" s="67"/>
      <c r="T175" s="67"/>
      <c r="W175" s="67"/>
      <c r="X175" s="67"/>
      <c r="Y175" s="67"/>
      <c r="AB175" s="67"/>
      <c r="AC175" s="67"/>
      <c r="AD175" s="67"/>
      <c r="AG175" s="67"/>
      <c r="AH175" s="67"/>
      <c r="AI175" s="67"/>
    </row>
    <row r="176" spans="18:35">
      <c r="R176" s="67"/>
      <c r="S176" s="67"/>
      <c r="T176" s="67"/>
      <c r="W176" s="67"/>
      <c r="X176" s="67"/>
      <c r="Y176" s="67"/>
      <c r="AB176" s="67"/>
      <c r="AC176" s="67"/>
      <c r="AD176" s="67"/>
      <c r="AG176" s="67"/>
      <c r="AH176" s="67"/>
      <c r="AI176" s="67"/>
    </row>
    <row r="177" spans="18:35">
      <c r="R177" s="67"/>
      <c r="S177" s="67"/>
      <c r="T177" s="67"/>
      <c r="W177" s="67"/>
      <c r="X177" s="67"/>
      <c r="Y177" s="67"/>
      <c r="AB177" s="67"/>
      <c r="AC177" s="67"/>
      <c r="AD177" s="67"/>
      <c r="AG177" s="67"/>
      <c r="AH177" s="67"/>
      <c r="AI177" s="67"/>
    </row>
    <row r="178" spans="18:35">
      <c r="R178" s="67"/>
      <c r="S178" s="67"/>
      <c r="T178" s="67"/>
      <c r="W178" s="67"/>
      <c r="X178" s="67"/>
      <c r="Y178" s="67"/>
      <c r="AB178" s="67"/>
      <c r="AC178" s="67"/>
      <c r="AD178" s="67"/>
      <c r="AG178" s="67"/>
      <c r="AH178" s="67"/>
      <c r="AI178" s="67"/>
    </row>
    <row r="179" spans="18:35">
      <c r="R179" s="67"/>
      <c r="S179" s="67"/>
      <c r="T179" s="67"/>
      <c r="W179" s="67"/>
      <c r="X179" s="67"/>
      <c r="Y179" s="67"/>
      <c r="AB179" s="67"/>
      <c r="AC179" s="67"/>
      <c r="AD179" s="67"/>
      <c r="AG179" s="67"/>
      <c r="AH179" s="67"/>
      <c r="AI179" s="67"/>
    </row>
    <row r="180" spans="18:35">
      <c r="R180" s="67"/>
      <c r="S180" s="67"/>
      <c r="T180" s="67"/>
      <c r="W180" s="67"/>
      <c r="X180" s="67"/>
      <c r="Y180" s="67"/>
      <c r="AB180" s="67"/>
      <c r="AC180" s="67"/>
      <c r="AD180" s="67"/>
      <c r="AG180" s="67"/>
      <c r="AH180" s="67"/>
      <c r="AI180" s="67"/>
    </row>
    <row r="181" spans="18:35">
      <c r="R181" s="67"/>
      <c r="S181" s="67"/>
      <c r="T181" s="67"/>
      <c r="W181" s="67"/>
      <c r="X181" s="67"/>
      <c r="Y181" s="67"/>
      <c r="AB181" s="67"/>
      <c r="AC181" s="67"/>
      <c r="AD181" s="67"/>
      <c r="AG181" s="67"/>
      <c r="AH181" s="67"/>
      <c r="AI181" s="67"/>
    </row>
    <row r="182" spans="18:35">
      <c r="R182" s="67"/>
      <c r="S182" s="67"/>
      <c r="T182" s="67"/>
      <c r="W182" s="67"/>
      <c r="X182" s="67"/>
      <c r="Y182" s="67"/>
      <c r="AB182" s="67"/>
      <c r="AC182" s="67"/>
      <c r="AD182" s="67"/>
      <c r="AG182" s="67"/>
      <c r="AH182" s="67"/>
      <c r="AI182" s="67"/>
    </row>
    <row r="183" spans="18:35">
      <c r="R183" s="67"/>
      <c r="S183" s="67"/>
      <c r="T183" s="67"/>
      <c r="W183" s="67"/>
      <c r="X183" s="67"/>
      <c r="Y183" s="67"/>
      <c r="AB183" s="67"/>
      <c r="AC183" s="67"/>
      <c r="AD183" s="67"/>
      <c r="AG183" s="67"/>
      <c r="AH183" s="67"/>
      <c r="AI183" s="67"/>
    </row>
    <row r="184" spans="18:35">
      <c r="R184" s="67"/>
      <c r="S184" s="67"/>
      <c r="T184" s="67"/>
      <c r="W184" s="67"/>
      <c r="X184" s="67"/>
      <c r="Y184" s="67"/>
      <c r="AB184" s="67"/>
      <c r="AC184" s="67"/>
      <c r="AD184" s="67"/>
      <c r="AG184" s="67"/>
      <c r="AH184" s="67"/>
      <c r="AI184" s="67"/>
    </row>
    <row r="185" spans="18:35">
      <c r="R185" s="67"/>
      <c r="S185" s="67"/>
      <c r="T185" s="67"/>
      <c r="W185" s="67"/>
      <c r="X185" s="67"/>
      <c r="Y185" s="67"/>
      <c r="AB185" s="67"/>
      <c r="AC185" s="67"/>
      <c r="AD185" s="67"/>
      <c r="AG185" s="67"/>
      <c r="AH185" s="67"/>
      <c r="AI185" s="67"/>
    </row>
    <row r="186" spans="18:35">
      <c r="R186" s="67"/>
      <c r="S186" s="67"/>
      <c r="T186" s="67"/>
      <c r="W186" s="67"/>
      <c r="X186" s="67"/>
      <c r="Y186" s="67"/>
      <c r="AB186" s="67"/>
      <c r="AC186" s="67"/>
      <c r="AD186" s="67"/>
      <c r="AG186" s="67"/>
      <c r="AH186" s="67"/>
      <c r="AI186" s="67"/>
    </row>
    <row r="187" spans="18:35">
      <c r="R187" s="67"/>
      <c r="S187" s="67"/>
      <c r="T187" s="67"/>
      <c r="W187" s="67"/>
      <c r="X187" s="67"/>
      <c r="Y187" s="67"/>
      <c r="AB187" s="67"/>
      <c r="AC187" s="67"/>
      <c r="AD187" s="67"/>
      <c r="AG187" s="67"/>
      <c r="AH187" s="67"/>
      <c r="AI187" s="67"/>
    </row>
    <row r="188" spans="18:35">
      <c r="R188" s="67"/>
      <c r="S188" s="67"/>
      <c r="T188" s="67"/>
      <c r="W188" s="67"/>
      <c r="X188" s="67"/>
      <c r="Y188" s="67"/>
      <c r="AB188" s="67"/>
      <c r="AC188" s="67"/>
      <c r="AD188" s="67"/>
      <c r="AG188" s="67"/>
      <c r="AH188" s="67"/>
      <c r="AI188" s="67"/>
    </row>
    <row r="189" spans="18:35">
      <c r="R189" s="67"/>
      <c r="S189" s="67"/>
      <c r="T189" s="67"/>
      <c r="W189" s="67"/>
      <c r="X189" s="67"/>
      <c r="Y189" s="67"/>
      <c r="AB189" s="67"/>
      <c r="AC189" s="67"/>
      <c r="AD189" s="67"/>
      <c r="AG189" s="67"/>
      <c r="AH189" s="67"/>
      <c r="AI189" s="67"/>
    </row>
    <row r="190" spans="18:35">
      <c r="R190" s="67"/>
      <c r="S190" s="67"/>
      <c r="T190" s="67"/>
      <c r="W190" s="67"/>
      <c r="X190" s="67"/>
      <c r="Y190" s="67"/>
      <c r="AB190" s="67"/>
      <c r="AC190" s="67"/>
      <c r="AD190" s="67"/>
      <c r="AG190" s="67"/>
      <c r="AH190" s="67"/>
      <c r="AI190" s="67"/>
    </row>
    <row r="191" spans="18:35">
      <c r="R191" s="67"/>
      <c r="S191" s="67"/>
      <c r="T191" s="67"/>
      <c r="W191" s="67"/>
      <c r="X191" s="67"/>
      <c r="Y191" s="67"/>
      <c r="AB191" s="67"/>
      <c r="AC191" s="67"/>
      <c r="AD191" s="67"/>
      <c r="AG191" s="67"/>
      <c r="AH191" s="67"/>
      <c r="AI191" s="67"/>
    </row>
    <row r="192" spans="18:35">
      <c r="R192" s="67"/>
      <c r="S192" s="67"/>
      <c r="T192" s="67"/>
      <c r="W192" s="67"/>
      <c r="X192" s="67"/>
      <c r="Y192" s="67"/>
      <c r="AB192" s="67"/>
      <c r="AC192" s="67"/>
      <c r="AD192" s="67"/>
      <c r="AG192" s="67"/>
      <c r="AH192" s="67"/>
      <c r="AI192" s="67"/>
    </row>
    <row r="193" spans="18:35">
      <c r="R193" s="67"/>
      <c r="S193" s="67"/>
      <c r="T193" s="67"/>
      <c r="W193" s="67"/>
      <c r="X193" s="67"/>
      <c r="Y193" s="67"/>
      <c r="AB193" s="67"/>
      <c r="AC193" s="67"/>
      <c r="AD193" s="67"/>
      <c r="AG193" s="67"/>
      <c r="AH193" s="67"/>
      <c r="AI193" s="67"/>
    </row>
    <row r="194" spans="18:35">
      <c r="R194" s="67"/>
      <c r="S194" s="67"/>
      <c r="T194" s="67"/>
      <c r="W194" s="67"/>
      <c r="X194" s="67"/>
      <c r="Y194" s="67"/>
      <c r="AB194" s="67"/>
      <c r="AC194" s="67"/>
      <c r="AD194" s="67"/>
      <c r="AG194" s="67"/>
      <c r="AH194" s="67"/>
      <c r="AI194" s="67"/>
    </row>
    <row r="195" spans="18:35">
      <c r="R195" s="67"/>
      <c r="S195" s="67"/>
      <c r="T195" s="67"/>
      <c r="W195" s="67"/>
      <c r="X195" s="67"/>
      <c r="Y195" s="67"/>
      <c r="AB195" s="67"/>
      <c r="AC195" s="67"/>
      <c r="AD195" s="67"/>
      <c r="AG195" s="67"/>
      <c r="AH195" s="67"/>
      <c r="AI195" s="67"/>
    </row>
    <row r="196" spans="18:35">
      <c r="R196" s="67"/>
      <c r="S196" s="67"/>
      <c r="T196" s="67"/>
      <c r="W196" s="67"/>
      <c r="X196" s="67"/>
      <c r="Y196" s="67"/>
      <c r="AB196" s="67"/>
      <c r="AC196" s="67"/>
      <c r="AD196" s="67"/>
      <c r="AG196" s="67"/>
      <c r="AH196" s="67"/>
      <c r="AI196" s="67"/>
    </row>
    <row r="197" spans="18:35">
      <c r="R197" s="67"/>
      <c r="S197" s="67"/>
      <c r="T197" s="67"/>
      <c r="W197" s="67"/>
      <c r="X197" s="67"/>
      <c r="Y197" s="67"/>
      <c r="AB197" s="67"/>
      <c r="AC197" s="67"/>
      <c r="AD197" s="67"/>
      <c r="AG197" s="67"/>
      <c r="AH197" s="67"/>
      <c r="AI197" s="67"/>
    </row>
    <row r="198" spans="18:35">
      <c r="R198" s="67"/>
      <c r="S198" s="67"/>
      <c r="T198" s="67"/>
      <c r="W198" s="67"/>
      <c r="X198" s="67"/>
      <c r="Y198" s="67"/>
      <c r="AB198" s="67"/>
      <c r="AC198" s="67"/>
      <c r="AD198" s="67"/>
      <c r="AG198" s="67"/>
      <c r="AH198" s="67"/>
      <c r="AI198" s="67"/>
    </row>
    <row r="199" spans="18:35">
      <c r="R199" s="67"/>
      <c r="S199" s="67"/>
      <c r="T199" s="67"/>
      <c r="W199" s="67"/>
      <c r="X199" s="67"/>
      <c r="Y199" s="67"/>
      <c r="AB199" s="67"/>
      <c r="AC199" s="67"/>
      <c r="AD199" s="67"/>
      <c r="AG199" s="67"/>
      <c r="AH199" s="67"/>
      <c r="AI199" s="67"/>
    </row>
    <row r="200" spans="18:35">
      <c r="R200" s="67"/>
      <c r="S200" s="67"/>
      <c r="T200" s="67"/>
      <c r="W200" s="67"/>
      <c r="X200" s="67"/>
      <c r="Y200" s="67"/>
      <c r="AB200" s="67"/>
      <c r="AC200" s="67"/>
      <c r="AD200" s="67"/>
      <c r="AG200" s="67"/>
      <c r="AH200" s="67"/>
      <c r="AI200" s="67"/>
    </row>
    <row r="201" spans="18:35">
      <c r="R201" s="67"/>
      <c r="S201" s="67"/>
      <c r="T201" s="67"/>
      <c r="W201" s="67"/>
      <c r="X201" s="67"/>
      <c r="Y201" s="67"/>
      <c r="AB201" s="67"/>
      <c r="AC201" s="67"/>
      <c r="AD201" s="67"/>
      <c r="AG201" s="67"/>
      <c r="AH201" s="67"/>
      <c r="AI201" s="67"/>
    </row>
    <row r="202" spans="18:35">
      <c r="R202" s="67"/>
      <c r="S202" s="67"/>
      <c r="T202" s="67"/>
      <c r="W202" s="67"/>
      <c r="X202" s="67"/>
      <c r="Y202" s="67"/>
      <c r="AB202" s="67"/>
      <c r="AC202" s="67"/>
      <c r="AD202" s="67"/>
      <c r="AG202" s="67"/>
      <c r="AH202" s="67"/>
      <c r="AI202" s="67"/>
    </row>
    <row r="203" spans="18:35">
      <c r="R203" s="67"/>
      <c r="S203" s="67"/>
      <c r="T203" s="67"/>
      <c r="W203" s="67"/>
      <c r="X203" s="67"/>
      <c r="Y203" s="67"/>
      <c r="AB203" s="67"/>
      <c r="AC203" s="67"/>
      <c r="AD203" s="67"/>
      <c r="AG203" s="67"/>
      <c r="AH203" s="67"/>
      <c r="AI203" s="67"/>
    </row>
    <row r="204" spans="18:35">
      <c r="R204" s="67"/>
      <c r="S204" s="67"/>
      <c r="T204" s="67"/>
      <c r="W204" s="67"/>
      <c r="X204" s="67"/>
      <c r="Y204" s="67"/>
      <c r="AB204" s="67"/>
      <c r="AC204" s="67"/>
      <c r="AD204" s="67"/>
      <c r="AG204" s="67"/>
      <c r="AH204" s="67"/>
      <c r="AI204" s="67"/>
    </row>
    <row r="205" spans="18:35">
      <c r="R205" s="67"/>
      <c r="S205" s="67"/>
      <c r="T205" s="67"/>
      <c r="W205" s="67"/>
      <c r="X205" s="67"/>
      <c r="Y205" s="67"/>
      <c r="AB205" s="67"/>
      <c r="AC205" s="67"/>
      <c r="AD205" s="67"/>
      <c r="AG205" s="67"/>
      <c r="AH205" s="67"/>
      <c r="AI205" s="67"/>
    </row>
    <row r="206" spans="18:35">
      <c r="R206" s="67"/>
      <c r="S206" s="67"/>
      <c r="T206" s="67"/>
      <c r="W206" s="67"/>
      <c r="X206" s="67"/>
      <c r="Y206" s="67"/>
      <c r="AB206" s="67"/>
      <c r="AC206" s="67"/>
      <c r="AD206" s="67"/>
      <c r="AG206" s="67"/>
      <c r="AH206" s="67"/>
      <c r="AI206" s="67"/>
    </row>
    <row r="207" spans="18:35">
      <c r="R207" s="67"/>
      <c r="S207" s="67"/>
      <c r="T207" s="67"/>
      <c r="W207" s="67"/>
      <c r="X207" s="67"/>
      <c r="Y207" s="67"/>
      <c r="AB207" s="67"/>
      <c r="AC207" s="67"/>
      <c r="AD207" s="67"/>
      <c r="AG207" s="67"/>
      <c r="AH207" s="67"/>
      <c r="AI207" s="67"/>
    </row>
    <row r="208" spans="18:35">
      <c r="R208" s="67"/>
      <c r="S208" s="67"/>
      <c r="T208" s="67"/>
      <c r="W208" s="67"/>
      <c r="X208" s="67"/>
      <c r="Y208" s="67"/>
      <c r="AB208" s="67"/>
      <c r="AC208" s="67"/>
      <c r="AD208" s="67"/>
      <c r="AG208" s="67"/>
      <c r="AH208" s="67"/>
      <c r="AI208" s="67"/>
    </row>
    <row r="209" spans="18:35">
      <c r="R209" s="67"/>
      <c r="S209" s="67"/>
      <c r="T209" s="67"/>
      <c r="W209" s="67"/>
      <c r="X209" s="67"/>
      <c r="Y209" s="67"/>
      <c r="AB209" s="67"/>
      <c r="AC209" s="67"/>
      <c r="AD209" s="67"/>
      <c r="AG209" s="67"/>
      <c r="AH209" s="67"/>
      <c r="AI209" s="67"/>
    </row>
    <row r="210" spans="18:35">
      <c r="R210" s="67"/>
      <c r="S210" s="67"/>
      <c r="T210" s="67"/>
      <c r="W210" s="67"/>
      <c r="X210" s="67"/>
      <c r="Y210" s="67"/>
      <c r="AB210" s="67"/>
      <c r="AC210" s="67"/>
      <c r="AD210" s="67"/>
      <c r="AG210" s="67"/>
      <c r="AH210" s="67"/>
      <c r="AI210" s="67"/>
    </row>
    <row r="211" spans="18:35">
      <c r="R211" s="67"/>
      <c r="S211" s="67"/>
      <c r="T211" s="67"/>
      <c r="W211" s="67"/>
      <c r="X211" s="67"/>
      <c r="Y211" s="67"/>
      <c r="AB211" s="67"/>
      <c r="AC211" s="67"/>
      <c r="AD211" s="67"/>
      <c r="AG211" s="67"/>
      <c r="AH211" s="67"/>
      <c r="AI211" s="67"/>
    </row>
    <row r="212" spans="18:35">
      <c r="R212" s="67"/>
      <c r="S212" s="67"/>
      <c r="T212" s="67"/>
      <c r="W212" s="67"/>
      <c r="X212" s="67"/>
      <c r="Y212" s="67"/>
      <c r="AB212" s="67"/>
      <c r="AC212" s="67"/>
      <c r="AD212" s="67"/>
      <c r="AG212" s="67"/>
      <c r="AH212" s="67"/>
      <c r="AI212" s="67"/>
    </row>
    <row r="213" spans="18:35">
      <c r="R213" s="67"/>
      <c r="S213" s="67"/>
      <c r="T213" s="67"/>
      <c r="W213" s="67"/>
      <c r="X213" s="67"/>
      <c r="Y213" s="67"/>
      <c r="AB213" s="67"/>
      <c r="AC213" s="67"/>
      <c r="AD213" s="67"/>
      <c r="AG213" s="67"/>
      <c r="AH213" s="67"/>
      <c r="AI213" s="67"/>
    </row>
    <row r="214" spans="18:35">
      <c r="R214" s="67"/>
      <c r="S214" s="67"/>
      <c r="T214" s="67"/>
      <c r="W214" s="67"/>
      <c r="X214" s="67"/>
      <c r="Y214" s="67"/>
      <c r="AB214" s="67"/>
      <c r="AC214" s="67"/>
      <c r="AD214" s="67"/>
      <c r="AG214" s="67"/>
      <c r="AH214" s="67"/>
      <c r="AI214" s="67"/>
    </row>
    <row r="215" spans="18:35">
      <c r="R215" s="67"/>
      <c r="S215" s="67"/>
      <c r="T215" s="67"/>
      <c r="W215" s="67"/>
      <c r="X215" s="67"/>
      <c r="Y215" s="67"/>
      <c r="AB215" s="67"/>
      <c r="AC215" s="67"/>
      <c r="AD215" s="67"/>
      <c r="AG215" s="67"/>
      <c r="AH215" s="67"/>
      <c r="AI215" s="67"/>
    </row>
    <row r="216" spans="18:35">
      <c r="R216" s="67"/>
      <c r="S216" s="67"/>
      <c r="T216" s="67"/>
      <c r="W216" s="67"/>
      <c r="X216" s="67"/>
      <c r="Y216" s="67"/>
      <c r="AB216" s="67"/>
      <c r="AC216" s="67"/>
      <c r="AD216" s="67"/>
      <c r="AG216" s="67"/>
      <c r="AH216" s="67"/>
      <c r="AI216" s="67"/>
    </row>
    <row r="217" spans="18:35">
      <c r="R217" s="67"/>
      <c r="S217" s="67"/>
      <c r="T217" s="67"/>
      <c r="W217" s="67"/>
      <c r="X217" s="67"/>
      <c r="Y217" s="67"/>
      <c r="AB217" s="67"/>
      <c r="AC217" s="67"/>
      <c r="AD217" s="67"/>
      <c r="AG217" s="67"/>
      <c r="AH217" s="67"/>
      <c r="AI217" s="67"/>
    </row>
    <row r="218" spans="18:35">
      <c r="R218" s="67"/>
      <c r="S218" s="67"/>
      <c r="T218" s="67"/>
      <c r="W218" s="67"/>
      <c r="X218" s="67"/>
      <c r="Y218" s="67"/>
      <c r="AB218" s="67"/>
      <c r="AC218" s="67"/>
      <c r="AD218" s="67"/>
      <c r="AG218" s="67"/>
      <c r="AH218" s="67"/>
      <c r="AI218" s="67"/>
    </row>
    <row r="219" spans="18:35">
      <c r="R219" s="67"/>
      <c r="S219" s="67"/>
      <c r="T219" s="67"/>
      <c r="W219" s="67"/>
      <c r="X219" s="67"/>
      <c r="Y219" s="67"/>
      <c r="AB219" s="67"/>
      <c r="AC219" s="67"/>
      <c r="AD219" s="67"/>
      <c r="AG219" s="67"/>
      <c r="AH219" s="67"/>
      <c r="AI219" s="67"/>
    </row>
    <row r="220" spans="18:35">
      <c r="R220" s="67"/>
      <c r="S220" s="67"/>
      <c r="T220" s="67"/>
      <c r="W220" s="67"/>
      <c r="X220" s="67"/>
      <c r="Y220" s="67"/>
      <c r="AB220" s="67"/>
      <c r="AC220" s="67"/>
      <c r="AD220" s="67"/>
      <c r="AG220" s="67"/>
      <c r="AH220" s="67"/>
      <c r="AI220" s="67"/>
    </row>
    <row r="221" spans="18:35">
      <c r="R221" s="67"/>
      <c r="S221" s="67"/>
      <c r="T221" s="67"/>
      <c r="W221" s="67"/>
      <c r="X221" s="67"/>
      <c r="Y221" s="67"/>
      <c r="AB221" s="67"/>
      <c r="AC221" s="67"/>
      <c r="AD221" s="67"/>
      <c r="AG221" s="67"/>
      <c r="AH221" s="67"/>
      <c r="AI221" s="67"/>
    </row>
    <row r="222" spans="18:35">
      <c r="R222" s="67"/>
      <c r="S222" s="67"/>
      <c r="T222" s="67"/>
      <c r="W222" s="67"/>
      <c r="X222" s="67"/>
      <c r="Y222" s="67"/>
      <c r="AB222" s="67"/>
      <c r="AC222" s="67"/>
      <c r="AD222" s="67"/>
      <c r="AG222" s="67"/>
      <c r="AH222" s="67"/>
      <c r="AI222" s="67"/>
    </row>
    <row r="223" spans="18:35">
      <c r="R223" s="67"/>
      <c r="S223" s="67"/>
      <c r="T223" s="67"/>
      <c r="W223" s="67"/>
      <c r="X223" s="67"/>
      <c r="Y223" s="67"/>
      <c r="AB223" s="67"/>
      <c r="AC223" s="67"/>
      <c r="AD223" s="67"/>
      <c r="AG223" s="67"/>
      <c r="AH223" s="67"/>
      <c r="AI223" s="67"/>
    </row>
    <row r="224" spans="18:35">
      <c r="R224" s="67"/>
      <c r="S224" s="67"/>
      <c r="T224" s="67"/>
      <c r="W224" s="67"/>
      <c r="X224" s="67"/>
      <c r="Y224" s="67"/>
      <c r="AB224" s="67"/>
      <c r="AC224" s="67"/>
      <c r="AD224" s="67"/>
      <c r="AG224" s="67"/>
      <c r="AH224" s="67"/>
      <c r="AI224" s="67"/>
    </row>
    <row r="225" spans="18:35">
      <c r="R225" s="67"/>
      <c r="S225" s="67"/>
      <c r="T225" s="67"/>
      <c r="W225" s="67"/>
      <c r="X225" s="67"/>
      <c r="Y225" s="67"/>
      <c r="AB225" s="67"/>
      <c r="AC225" s="67"/>
      <c r="AD225" s="67"/>
      <c r="AG225" s="67"/>
      <c r="AH225" s="67"/>
      <c r="AI225" s="67"/>
    </row>
    <row r="226" spans="18:35">
      <c r="R226" s="67"/>
      <c r="S226" s="67"/>
      <c r="T226" s="67"/>
      <c r="W226" s="67"/>
      <c r="X226" s="67"/>
      <c r="Y226" s="67"/>
      <c r="AB226" s="67"/>
      <c r="AC226" s="67"/>
      <c r="AD226" s="67"/>
      <c r="AG226" s="67"/>
      <c r="AH226" s="67"/>
      <c r="AI226" s="67"/>
    </row>
    <row r="227" spans="18:35">
      <c r="R227" s="67"/>
      <c r="S227" s="67"/>
      <c r="T227" s="67"/>
      <c r="W227" s="67"/>
      <c r="X227" s="67"/>
      <c r="Y227" s="67"/>
      <c r="AB227" s="67"/>
      <c r="AC227" s="67"/>
      <c r="AD227" s="67"/>
      <c r="AG227" s="67"/>
      <c r="AH227" s="67"/>
      <c r="AI227" s="67"/>
    </row>
    <row r="228" spans="18:35">
      <c r="R228" s="67"/>
      <c r="S228" s="67"/>
      <c r="T228" s="67"/>
      <c r="W228" s="67"/>
      <c r="X228" s="67"/>
      <c r="Y228" s="67"/>
      <c r="AB228" s="67"/>
      <c r="AC228" s="67"/>
      <c r="AD228" s="67"/>
      <c r="AG228" s="67"/>
      <c r="AH228" s="67"/>
      <c r="AI228" s="67"/>
    </row>
    <row r="229" spans="18:35">
      <c r="R229" s="67"/>
      <c r="S229" s="67"/>
      <c r="T229" s="67"/>
      <c r="W229" s="67"/>
      <c r="X229" s="67"/>
      <c r="Y229" s="67"/>
      <c r="AB229" s="67"/>
      <c r="AC229" s="67"/>
      <c r="AD229" s="67"/>
      <c r="AG229" s="67"/>
      <c r="AH229" s="67"/>
      <c r="AI229" s="67"/>
    </row>
    <row r="230" spans="18:35">
      <c r="R230" s="67"/>
      <c r="S230" s="67"/>
      <c r="T230" s="67"/>
      <c r="W230" s="67"/>
      <c r="X230" s="67"/>
      <c r="Y230" s="67"/>
      <c r="AB230" s="67"/>
      <c r="AC230" s="67"/>
      <c r="AD230" s="67"/>
      <c r="AG230" s="67"/>
      <c r="AH230" s="67"/>
      <c r="AI230" s="67"/>
    </row>
    <row r="231" spans="18:35">
      <c r="R231" s="67"/>
      <c r="S231" s="67"/>
      <c r="T231" s="67"/>
      <c r="W231" s="67"/>
      <c r="X231" s="67"/>
      <c r="Y231" s="67"/>
      <c r="AB231" s="67"/>
      <c r="AC231" s="67"/>
      <c r="AD231" s="67"/>
      <c r="AG231" s="67"/>
      <c r="AH231" s="67"/>
      <c r="AI231" s="67"/>
    </row>
    <row r="232" spans="18:35">
      <c r="R232" s="67"/>
      <c r="S232" s="67"/>
      <c r="T232" s="67"/>
      <c r="W232" s="67"/>
      <c r="X232" s="67"/>
      <c r="Y232" s="67"/>
      <c r="AB232" s="67"/>
      <c r="AC232" s="67"/>
      <c r="AD232" s="67"/>
      <c r="AG232" s="67"/>
      <c r="AH232" s="67"/>
      <c r="AI232" s="67"/>
    </row>
    <row r="233" spans="18:35">
      <c r="R233" s="67"/>
      <c r="S233" s="67"/>
      <c r="T233" s="67"/>
      <c r="W233" s="67"/>
      <c r="X233" s="67"/>
      <c r="Y233" s="67"/>
      <c r="AB233" s="67"/>
      <c r="AC233" s="67"/>
      <c r="AD233" s="67"/>
      <c r="AG233" s="67"/>
      <c r="AH233" s="67"/>
      <c r="AI233" s="67"/>
    </row>
    <row r="234" spans="18:35">
      <c r="R234" s="67"/>
      <c r="S234" s="67"/>
      <c r="T234" s="67"/>
      <c r="W234" s="67"/>
      <c r="X234" s="67"/>
      <c r="Y234" s="67"/>
      <c r="AB234" s="67"/>
      <c r="AC234" s="67"/>
      <c r="AD234" s="67"/>
      <c r="AG234" s="67"/>
      <c r="AH234" s="67"/>
      <c r="AI234" s="67"/>
    </row>
    <row r="235" spans="18:35">
      <c r="R235" s="67"/>
      <c r="S235" s="67"/>
      <c r="T235" s="67"/>
      <c r="W235" s="67"/>
      <c r="X235" s="67"/>
      <c r="Y235" s="67"/>
      <c r="AB235" s="67"/>
      <c r="AC235" s="67"/>
      <c r="AD235" s="67"/>
      <c r="AG235" s="67"/>
      <c r="AH235" s="67"/>
      <c r="AI235" s="67"/>
    </row>
    <row r="236" spans="18:35">
      <c r="R236" s="67"/>
      <c r="S236" s="67"/>
      <c r="T236" s="67"/>
      <c r="W236" s="67"/>
      <c r="X236" s="67"/>
      <c r="Y236" s="67"/>
      <c r="AB236" s="67"/>
      <c r="AC236" s="67"/>
      <c r="AD236" s="67"/>
      <c r="AG236" s="67"/>
      <c r="AH236" s="67"/>
      <c r="AI236" s="67"/>
    </row>
    <row r="237" spans="18:35">
      <c r="R237" s="67"/>
      <c r="S237" s="67"/>
      <c r="T237" s="67"/>
      <c r="W237" s="67"/>
      <c r="X237" s="67"/>
      <c r="Y237" s="67"/>
      <c r="AB237" s="67"/>
      <c r="AC237" s="67"/>
      <c r="AD237" s="67"/>
      <c r="AG237" s="67"/>
      <c r="AH237" s="67"/>
      <c r="AI237" s="67"/>
    </row>
    <row r="238" spans="18:35">
      <c r="R238" s="67"/>
      <c r="S238" s="67"/>
      <c r="T238" s="67"/>
      <c r="W238" s="67"/>
      <c r="X238" s="67"/>
      <c r="Y238" s="67"/>
      <c r="AB238" s="67"/>
      <c r="AC238" s="67"/>
      <c r="AD238" s="67"/>
      <c r="AG238" s="67"/>
      <c r="AH238" s="67"/>
      <c r="AI238" s="67"/>
    </row>
    <row r="239" spans="18:35">
      <c r="R239" s="67"/>
      <c r="S239" s="67"/>
      <c r="T239" s="67"/>
      <c r="W239" s="67"/>
      <c r="X239" s="67"/>
      <c r="Y239" s="67"/>
      <c r="AB239" s="67"/>
      <c r="AC239" s="67"/>
      <c r="AD239" s="67"/>
      <c r="AG239" s="67"/>
      <c r="AH239" s="67"/>
      <c r="AI239" s="67"/>
    </row>
    <row r="240" spans="18:35">
      <c r="R240" s="67"/>
      <c r="S240" s="67"/>
      <c r="T240" s="67"/>
      <c r="W240" s="67"/>
      <c r="X240" s="67"/>
      <c r="Y240" s="67"/>
      <c r="AB240" s="67"/>
      <c r="AC240" s="67"/>
      <c r="AD240" s="67"/>
      <c r="AG240" s="67"/>
      <c r="AH240" s="67"/>
      <c r="AI240" s="67"/>
    </row>
    <row r="241" spans="18:35">
      <c r="R241" s="67"/>
      <c r="S241" s="67"/>
      <c r="T241" s="67"/>
      <c r="W241" s="67"/>
      <c r="X241" s="67"/>
      <c r="Y241" s="67"/>
      <c r="AB241" s="67"/>
      <c r="AC241" s="67"/>
      <c r="AD241" s="67"/>
      <c r="AG241" s="67"/>
      <c r="AH241" s="67"/>
      <c r="AI241" s="67"/>
    </row>
    <row r="242" spans="18:35">
      <c r="R242" s="67"/>
      <c r="S242" s="67"/>
      <c r="T242" s="67"/>
      <c r="W242" s="67"/>
      <c r="X242" s="67"/>
      <c r="Y242" s="67"/>
      <c r="AB242" s="67"/>
      <c r="AC242" s="67"/>
      <c r="AD242" s="67"/>
      <c r="AG242" s="67"/>
      <c r="AH242" s="67"/>
      <c r="AI242" s="67"/>
    </row>
    <row r="243" spans="18:35">
      <c r="R243" s="67"/>
      <c r="S243" s="67"/>
      <c r="T243" s="67"/>
      <c r="W243" s="67"/>
      <c r="X243" s="67"/>
      <c r="Y243" s="67"/>
      <c r="AB243" s="67"/>
      <c r="AC243" s="67"/>
      <c r="AD243" s="67"/>
      <c r="AG243" s="67"/>
      <c r="AH243" s="67"/>
      <c r="AI243" s="67"/>
    </row>
    <row r="244" spans="18:35">
      <c r="R244" s="67"/>
      <c r="S244" s="67"/>
      <c r="T244" s="67"/>
      <c r="W244" s="67"/>
      <c r="X244" s="67"/>
      <c r="Y244" s="67"/>
      <c r="AB244" s="67"/>
      <c r="AC244" s="67"/>
      <c r="AD244" s="67"/>
      <c r="AG244" s="67"/>
      <c r="AH244" s="67"/>
      <c r="AI244" s="67"/>
    </row>
    <row r="245" spans="18:35">
      <c r="R245" s="67"/>
      <c r="S245" s="67"/>
      <c r="T245" s="67"/>
      <c r="W245" s="67"/>
      <c r="X245" s="67"/>
      <c r="Y245" s="67"/>
      <c r="AB245" s="67"/>
      <c r="AC245" s="67"/>
      <c r="AD245" s="67"/>
      <c r="AG245" s="67"/>
      <c r="AH245" s="67"/>
      <c r="AI245" s="67"/>
    </row>
    <row r="246" spans="18:35">
      <c r="R246" s="67"/>
      <c r="S246" s="67"/>
      <c r="T246" s="67"/>
      <c r="W246" s="67"/>
      <c r="X246" s="67"/>
      <c r="Y246" s="67"/>
      <c r="AB246" s="67"/>
      <c r="AC246" s="67"/>
      <c r="AD246" s="67"/>
      <c r="AG246" s="67"/>
      <c r="AH246" s="67"/>
      <c r="AI246" s="67"/>
    </row>
    <row r="247" spans="18:35">
      <c r="R247" s="67"/>
      <c r="S247" s="67"/>
      <c r="T247" s="67"/>
      <c r="W247" s="67"/>
      <c r="X247" s="67"/>
      <c r="Y247" s="67"/>
      <c r="AB247" s="67"/>
      <c r="AC247" s="67"/>
      <c r="AD247" s="67"/>
      <c r="AG247" s="67"/>
      <c r="AH247" s="67"/>
      <c r="AI247" s="67"/>
    </row>
    <row r="248" spans="18:35">
      <c r="R248" s="67"/>
      <c r="S248" s="67"/>
      <c r="T248" s="67"/>
      <c r="W248" s="67"/>
      <c r="X248" s="67"/>
      <c r="Y248" s="67"/>
      <c r="AB248" s="67"/>
      <c r="AC248" s="67"/>
      <c r="AD248" s="67"/>
      <c r="AG248" s="67"/>
      <c r="AH248" s="67"/>
      <c r="AI248" s="67"/>
    </row>
    <row r="249" spans="18:35">
      <c r="R249" s="67"/>
      <c r="S249" s="67"/>
      <c r="T249" s="67"/>
      <c r="W249" s="67"/>
      <c r="X249" s="67"/>
      <c r="Y249" s="67"/>
      <c r="AB249" s="67"/>
      <c r="AC249" s="67"/>
      <c r="AD249" s="67"/>
      <c r="AG249" s="67"/>
      <c r="AH249" s="67"/>
      <c r="AI249" s="67"/>
    </row>
    <row r="250" spans="18:35">
      <c r="R250" s="67"/>
      <c r="S250" s="67"/>
      <c r="T250" s="67"/>
      <c r="W250" s="67"/>
      <c r="X250" s="67"/>
      <c r="Y250" s="67"/>
      <c r="AB250" s="67"/>
      <c r="AC250" s="67"/>
      <c r="AD250" s="67"/>
      <c r="AG250" s="67"/>
      <c r="AH250" s="67"/>
      <c r="AI250" s="67"/>
    </row>
    <row r="251" spans="18:35">
      <c r="R251" s="67"/>
      <c r="S251" s="67"/>
      <c r="T251" s="67"/>
      <c r="W251" s="67"/>
      <c r="X251" s="67"/>
      <c r="Y251" s="67"/>
      <c r="AB251" s="67"/>
      <c r="AC251" s="67"/>
      <c r="AD251" s="67"/>
      <c r="AG251" s="67"/>
      <c r="AH251" s="67"/>
      <c r="AI251" s="67"/>
    </row>
    <row r="252" spans="18:35">
      <c r="R252" s="67"/>
      <c r="S252" s="67"/>
      <c r="T252" s="67"/>
      <c r="W252" s="67"/>
      <c r="X252" s="67"/>
      <c r="Y252" s="67"/>
      <c r="AB252" s="67"/>
      <c r="AC252" s="67"/>
      <c r="AD252" s="67"/>
      <c r="AG252" s="67"/>
      <c r="AH252" s="67"/>
      <c r="AI252" s="67"/>
    </row>
    <row r="253" spans="18:35">
      <c r="R253" s="67"/>
      <c r="S253" s="67"/>
      <c r="T253" s="67"/>
      <c r="W253" s="67"/>
      <c r="X253" s="67"/>
      <c r="Y253" s="67"/>
      <c r="AB253" s="67"/>
      <c r="AC253" s="67"/>
      <c r="AD253" s="67"/>
      <c r="AG253" s="67"/>
      <c r="AH253" s="67"/>
      <c r="AI253" s="67"/>
    </row>
    <row r="254" spans="18:35">
      <c r="R254" s="67"/>
      <c r="S254" s="67"/>
      <c r="T254" s="67"/>
      <c r="W254" s="67"/>
      <c r="X254" s="67"/>
      <c r="Y254" s="67"/>
      <c r="AB254" s="67"/>
      <c r="AC254" s="67"/>
      <c r="AD254" s="67"/>
      <c r="AG254" s="67"/>
      <c r="AH254" s="67"/>
      <c r="AI254" s="67"/>
    </row>
    <row r="255" spans="18:35">
      <c r="R255" s="67"/>
      <c r="S255" s="67"/>
      <c r="T255" s="67"/>
      <c r="W255" s="67"/>
      <c r="X255" s="67"/>
      <c r="Y255" s="67"/>
      <c r="AB255" s="67"/>
      <c r="AC255" s="67"/>
      <c r="AD255" s="67"/>
      <c r="AG255" s="67"/>
      <c r="AH255" s="67"/>
      <c r="AI255" s="67"/>
    </row>
    <row r="256" spans="18:35">
      <c r="R256" s="67"/>
      <c r="S256" s="67"/>
      <c r="T256" s="67"/>
      <c r="W256" s="67"/>
      <c r="X256" s="67"/>
      <c r="Y256" s="67"/>
      <c r="AB256" s="67"/>
      <c r="AC256" s="67"/>
      <c r="AD256" s="67"/>
      <c r="AG256" s="67"/>
      <c r="AH256" s="67"/>
      <c r="AI256" s="67"/>
    </row>
    <row r="257" spans="18:35">
      <c r="R257" s="67"/>
      <c r="S257" s="67"/>
      <c r="T257" s="67"/>
      <c r="W257" s="67"/>
      <c r="X257" s="67"/>
      <c r="Y257" s="67"/>
      <c r="AB257" s="67"/>
      <c r="AC257" s="67"/>
      <c r="AD257" s="67"/>
      <c r="AG257" s="67"/>
      <c r="AH257" s="67"/>
      <c r="AI257" s="67"/>
    </row>
    <row r="258" spans="18:35">
      <c r="R258" s="67"/>
      <c r="S258" s="67"/>
      <c r="T258" s="67"/>
      <c r="W258" s="67"/>
      <c r="X258" s="67"/>
      <c r="Y258" s="67"/>
      <c r="AB258" s="67"/>
      <c r="AC258" s="67"/>
      <c r="AD258" s="67"/>
      <c r="AG258" s="67"/>
      <c r="AH258" s="67"/>
      <c r="AI258" s="67"/>
    </row>
    <row r="259" spans="18:35">
      <c r="R259" s="67"/>
      <c r="S259" s="67"/>
      <c r="T259" s="67"/>
      <c r="W259" s="67"/>
      <c r="X259" s="67"/>
      <c r="Y259" s="67"/>
      <c r="AB259" s="67"/>
      <c r="AC259" s="67"/>
      <c r="AD259" s="67"/>
      <c r="AG259" s="67"/>
      <c r="AH259" s="67"/>
      <c r="AI259" s="67"/>
    </row>
    <row r="260" spans="18:35">
      <c r="R260" s="67"/>
      <c r="S260" s="67"/>
      <c r="T260" s="67"/>
      <c r="W260" s="67"/>
      <c r="X260" s="67"/>
      <c r="Y260" s="67"/>
      <c r="AB260" s="67"/>
      <c r="AC260" s="67"/>
      <c r="AD260" s="67"/>
      <c r="AG260" s="67"/>
      <c r="AH260" s="67"/>
      <c r="AI260" s="67"/>
    </row>
    <row r="261" spans="18:35">
      <c r="R261" s="67"/>
      <c r="S261" s="67"/>
      <c r="T261" s="67"/>
      <c r="W261" s="67"/>
      <c r="X261" s="67"/>
      <c r="Y261" s="67"/>
      <c r="AB261" s="67"/>
      <c r="AC261" s="67"/>
      <c r="AD261" s="67"/>
      <c r="AG261" s="67"/>
      <c r="AH261" s="67"/>
      <c r="AI261" s="67"/>
    </row>
    <row r="262" spans="18:35">
      <c r="R262" s="67"/>
      <c r="S262" s="67"/>
      <c r="T262" s="67"/>
      <c r="W262" s="67"/>
      <c r="X262" s="67"/>
      <c r="Y262" s="67"/>
      <c r="AB262" s="67"/>
      <c r="AC262" s="67"/>
      <c r="AD262" s="67"/>
      <c r="AG262" s="67"/>
      <c r="AH262" s="67"/>
      <c r="AI262" s="67"/>
    </row>
    <row r="263" spans="18:35">
      <c r="R263" s="67"/>
      <c r="S263" s="67"/>
      <c r="T263" s="67"/>
      <c r="W263" s="67"/>
      <c r="X263" s="67"/>
      <c r="Y263" s="67"/>
      <c r="AB263" s="67"/>
      <c r="AC263" s="67"/>
      <c r="AD263" s="67"/>
      <c r="AG263" s="67"/>
      <c r="AH263" s="67"/>
      <c r="AI263" s="67"/>
    </row>
    <row r="264" spans="18:35">
      <c r="R264" s="67"/>
      <c r="S264" s="67"/>
      <c r="T264" s="67"/>
      <c r="W264" s="67"/>
      <c r="X264" s="67"/>
      <c r="Y264" s="67"/>
      <c r="AB264" s="67"/>
      <c r="AC264" s="67"/>
      <c r="AD264" s="67"/>
      <c r="AG264" s="67"/>
      <c r="AH264" s="67"/>
      <c r="AI264" s="67"/>
    </row>
    <row r="265" spans="18:35">
      <c r="R265" s="67"/>
      <c r="S265" s="67"/>
      <c r="T265" s="67"/>
      <c r="W265" s="67"/>
      <c r="X265" s="67"/>
      <c r="Y265" s="67"/>
      <c r="AB265" s="67"/>
      <c r="AC265" s="67"/>
      <c r="AD265" s="67"/>
      <c r="AG265" s="67"/>
      <c r="AH265" s="67"/>
      <c r="AI265" s="67"/>
    </row>
    <row r="266" spans="18:35">
      <c r="R266" s="67"/>
      <c r="S266" s="67"/>
      <c r="T266" s="67"/>
      <c r="W266" s="67"/>
      <c r="X266" s="67"/>
      <c r="Y266" s="67"/>
      <c r="AB266" s="67"/>
      <c r="AC266" s="67"/>
      <c r="AD266" s="67"/>
      <c r="AG266" s="67"/>
      <c r="AH266" s="67"/>
      <c r="AI266" s="67"/>
    </row>
    <row r="267" spans="18:35">
      <c r="R267" s="67"/>
      <c r="S267" s="67"/>
      <c r="T267" s="67"/>
      <c r="W267" s="67"/>
      <c r="X267" s="67"/>
      <c r="Y267" s="67"/>
      <c r="AB267" s="67"/>
      <c r="AC267" s="67"/>
      <c r="AD267" s="67"/>
      <c r="AG267" s="67"/>
      <c r="AH267" s="67"/>
      <c r="AI267" s="67"/>
    </row>
    <row r="268" spans="18:35">
      <c r="R268" s="67"/>
      <c r="S268" s="67"/>
      <c r="T268" s="67"/>
      <c r="W268" s="67"/>
      <c r="X268" s="67"/>
      <c r="Y268" s="67"/>
      <c r="AB268" s="67"/>
      <c r="AC268" s="67"/>
      <c r="AD268" s="67"/>
      <c r="AG268" s="67"/>
      <c r="AH268" s="67"/>
      <c r="AI268" s="67"/>
    </row>
    <row r="269" spans="18:35">
      <c r="R269" s="67"/>
      <c r="S269" s="67"/>
      <c r="T269" s="67"/>
      <c r="W269" s="67"/>
      <c r="X269" s="67"/>
      <c r="Y269" s="67"/>
      <c r="AB269" s="67"/>
      <c r="AC269" s="67"/>
      <c r="AD269" s="67"/>
      <c r="AG269" s="67"/>
      <c r="AH269" s="67"/>
      <c r="AI269" s="67"/>
    </row>
    <row r="270" spans="18:35">
      <c r="R270" s="67"/>
      <c r="S270" s="67"/>
      <c r="T270" s="67"/>
      <c r="W270" s="67"/>
      <c r="X270" s="67"/>
      <c r="Y270" s="67"/>
      <c r="AB270" s="67"/>
      <c r="AC270" s="67"/>
      <c r="AD270" s="67"/>
      <c r="AG270" s="67"/>
      <c r="AH270" s="67"/>
      <c r="AI270" s="67"/>
    </row>
    <row r="271" spans="18:35">
      <c r="R271" s="67"/>
      <c r="S271" s="67"/>
      <c r="T271" s="67"/>
      <c r="W271" s="67"/>
      <c r="X271" s="67"/>
      <c r="Y271" s="67"/>
      <c r="AB271" s="67"/>
      <c r="AC271" s="67"/>
      <c r="AD271" s="67"/>
      <c r="AG271" s="67"/>
      <c r="AH271" s="67"/>
      <c r="AI271" s="67"/>
    </row>
    <row r="272" spans="18:35">
      <c r="R272" s="67"/>
      <c r="S272" s="67"/>
      <c r="T272" s="67"/>
      <c r="W272" s="67"/>
      <c r="X272" s="67"/>
      <c r="Y272" s="67"/>
      <c r="AB272" s="67"/>
      <c r="AC272" s="67"/>
      <c r="AD272" s="67"/>
      <c r="AG272" s="67"/>
      <c r="AH272" s="67"/>
      <c r="AI272" s="67"/>
    </row>
    <row r="273" spans="18:35">
      <c r="R273" s="67"/>
      <c r="S273" s="67"/>
      <c r="T273" s="67"/>
      <c r="W273" s="67"/>
      <c r="X273" s="67"/>
      <c r="Y273" s="67"/>
      <c r="AB273" s="67"/>
      <c r="AC273" s="67"/>
      <c r="AD273" s="67"/>
      <c r="AG273" s="67"/>
      <c r="AH273" s="67"/>
      <c r="AI273" s="67"/>
    </row>
    <row r="274" spans="18:35">
      <c r="R274" s="67"/>
      <c r="S274" s="67"/>
      <c r="T274" s="67"/>
      <c r="W274" s="67"/>
      <c r="X274" s="67"/>
      <c r="Y274" s="67"/>
      <c r="AB274" s="67"/>
      <c r="AC274" s="67"/>
      <c r="AD274" s="67"/>
      <c r="AG274" s="67"/>
      <c r="AH274" s="67"/>
      <c r="AI274" s="67"/>
    </row>
    <row r="275" spans="18:35">
      <c r="R275" s="67"/>
      <c r="S275" s="67"/>
      <c r="T275" s="67"/>
      <c r="W275" s="67"/>
      <c r="X275" s="67"/>
      <c r="Y275" s="67"/>
      <c r="AB275" s="67"/>
      <c r="AC275" s="67"/>
      <c r="AD275" s="67"/>
      <c r="AG275" s="67"/>
      <c r="AH275" s="67"/>
      <c r="AI275" s="67"/>
    </row>
    <row r="276" spans="18:35">
      <c r="R276" s="67"/>
      <c r="S276" s="67"/>
      <c r="T276" s="67"/>
      <c r="W276" s="67"/>
      <c r="X276" s="67"/>
      <c r="Y276" s="67"/>
      <c r="AB276" s="67"/>
      <c r="AC276" s="67"/>
      <c r="AD276" s="67"/>
      <c r="AG276" s="67"/>
      <c r="AH276" s="67"/>
      <c r="AI276" s="67"/>
    </row>
    <row r="277" spans="18:35">
      <c r="R277" s="67"/>
      <c r="S277" s="67"/>
      <c r="T277" s="67"/>
      <c r="W277" s="67"/>
      <c r="X277" s="67"/>
      <c r="Y277" s="67"/>
      <c r="AB277" s="67"/>
      <c r="AC277" s="67"/>
      <c r="AD277" s="67"/>
      <c r="AG277" s="67"/>
      <c r="AH277" s="67"/>
      <c r="AI277" s="67"/>
    </row>
    <row r="278" spans="18:35">
      <c r="R278" s="67"/>
      <c r="S278" s="67"/>
      <c r="T278" s="67"/>
      <c r="W278" s="67"/>
      <c r="X278" s="67"/>
      <c r="Y278" s="67"/>
      <c r="AB278" s="67"/>
      <c r="AC278" s="67"/>
      <c r="AD278" s="67"/>
      <c r="AG278" s="67"/>
      <c r="AH278" s="67"/>
      <c r="AI278" s="67"/>
    </row>
    <row r="279" spans="18:35">
      <c r="R279" s="67"/>
      <c r="S279" s="67"/>
      <c r="T279" s="67"/>
      <c r="W279" s="67"/>
      <c r="X279" s="67"/>
      <c r="Y279" s="67"/>
      <c r="AB279" s="67"/>
      <c r="AC279" s="67"/>
      <c r="AD279" s="67"/>
      <c r="AG279" s="67"/>
      <c r="AH279" s="67"/>
      <c r="AI279" s="67"/>
    </row>
    <row r="280" spans="18:35">
      <c r="R280" s="67"/>
      <c r="S280" s="67"/>
      <c r="T280" s="67"/>
      <c r="W280" s="67"/>
      <c r="X280" s="67"/>
      <c r="Y280" s="67"/>
      <c r="AB280" s="67"/>
      <c r="AC280" s="67"/>
      <c r="AD280" s="67"/>
      <c r="AG280" s="67"/>
      <c r="AH280" s="67"/>
      <c r="AI280" s="67"/>
    </row>
    <row r="281" spans="18:35">
      <c r="R281" s="67"/>
      <c r="S281" s="67"/>
      <c r="T281" s="67"/>
      <c r="W281" s="67"/>
      <c r="X281" s="67"/>
      <c r="Y281" s="67"/>
      <c r="AB281" s="67"/>
      <c r="AC281" s="67"/>
      <c r="AD281" s="67"/>
      <c r="AG281" s="67"/>
      <c r="AH281" s="67"/>
      <c r="AI281" s="67"/>
    </row>
    <row r="282" spans="18:35">
      <c r="R282" s="67"/>
      <c r="S282" s="67"/>
      <c r="T282" s="67"/>
      <c r="W282" s="67"/>
      <c r="X282" s="67"/>
      <c r="Y282" s="67"/>
      <c r="AB282" s="67"/>
      <c r="AC282" s="67"/>
      <c r="AD282" s="67"/>
      <c r="AG282" s="67"/>
      <c r="AH282" s="67"/>
      <c r="AI282" s="67"/>
    </row>
    <row r="283" spans="18:35">
      <c r="R283" s="67"/>
      <c r="S283" s="67"/>
      <c r="T283" s="67"/>
      <c r="W283" s="67"/>
      <c r="X283" s="67"/>
      <c r="Y283" s="67"/>
      <c r="AB283" s="67"/>
      <c r="AC283" s="67"/>
      <c r="AD283" s="67"/>
      <c r="AG283" s="67"/>
      <c r="AH283" s="67"/>
      <c r="AI283" s="67"/>
    </row>
    <row r="284" spans="18:35">
      <c r="R284" s="67"/>
      <c r="S284" s="67"/>
      <c r="T284" s="67"/>
      <c r="W284" s="67"/>
      <c r="X284" s="67"/>
      <c r="Y284" s="67"/>
      <c r="AB284" s="67"/>
      <c r="AC284" s="67"/>
      <c r="AD284" s="67"/>
      <c r="AG284" s="67"/>
      <c r="AH284" s="67"/>
      <c r="AI284" s="67"/>
    </row>
    <row r="285" spans="18:35">
      <c r="R285" s="67"/>
      <c r="S285" s="67"/>
      <c r="T285" s="67"/>
      <c r="W285" s="67"/>
      <c r="X285" s="67"/>
      <c r="Y285" s="67"/>
      <c r="AB285" s="67"/>
      <c r="AC285" s="67"/>
      <c r="AD285" s="67"/>
      <c r="AG285" s="67"/>
      <c r="AH285" s="67"/>
      <c r="AI285" s="67"/>
    </row>
    <row r="286" spans="18:35">
      <c r="R286" s="67"/>
      <c r="S286" s="67"/>
      <c r="T286" s="67"/>
      <c r="W286" s="67"/>
      <c r="X286" s="67"/>
      <c r="Y286" s="67"/>
      <c r="AB286" s="67"/>
      <c r="AC286" s="67"/>
      <c r="AD286" s="67"/>
      <c r="AG286" s="67"/>
      <c r="AH286" s="67"/>
      <c r="AI286" s="67"/>
    </row>
    <row r="287" spans="18:35">
      <c r="R287" s="67"/>
      <c r="S287" s="67"/>
      <c r="T287" s="67"/>
      <c r="W287" s="67"/>
      <c r="X287" s="67"/>
      <c r="Y287" s="67"/>
      <c r="AB287" s="67"/>
      <c r="AC287" s="67"/>
      <c r="AD287" s="67"/>
      <c r="AG287" s="67"/>
      <c r="AH287" s="67"/>
      <c r="AI287" s="67"/>
    </row>
    <row r="288" spans="18:35">
      <c r="R288" s="67"/>
      <c r="S288" s="67"/>
      <c r="T288" s="67"/>
      <c r="W288" s="67"/>
      <c r="X288" s="67"/>
      <c r="Y288" s="67"/>
      <c r="AB288" s="67"/>
      <c r="AC288" s="67"/>
      <c r="AD288" s="67"/>
      <c r="AG288" s="67"/>
      <c r="AH288" s="67"/>
      <c r="AI288" s="67"/>
    </row>
    <row r="289" spans="18:35">
      <c r="R289" s="67"/>
      <c r="S289" s="67"/>
      <c r="T289" s="67"/>
      <c r="W289" s="67"/>
      <c r="X289" s="67"/>
      <c r="Y289" s="67"/>
      <c r="AB289" s="67"/>
      <c r="AC289" s="67"/>
      <c r="AD289" s="67"/>
      <c r="AG289" s="67"/>
      <c r="AH289" s="67"/>
      <c r="AI289" s="67"/>
    </row>
    <row r="290" spans="18:35">
      <c r="R290" s="67"/>
      <c r="S290" s="67"/>
      <c r="T290" s="67"/>
      <c r="W290" s="67"/>
      <c r="X290" s="67"/>
      <c r="Y290" s="67"/>
      <c r="AB290" s="67"/>
      <c r="AC290" s="67"/>
      <c r="AD290" s="67"/>
      <c r="AG290" s="67"/>
      <c r="AH290" s="67"/>
      <c r="AI290" s="67"/>
    </row>
    <row r="291" spans="18:35">
      <c r="R291" s="67"/>
      <c r="S291" s="67"/>
      <c r="T291" s="67"/>
      <c r="W291" s="67"/>
      <c r="X291" s="67"/>
      <c r="Y291" s="67"/>
      <c r="AB291" s="67"/>
      <c r="AC291" s="67"/>
      <c r="AD291" s="67"/>
      <c r="AG291" s="67"/>
      <c r="AH291" s="67"/>
      <c r="AI291" s="67"/>
    </row>
    <row r="292" spans="18:35">
      <c r="R292" s="67"/>
      <c r="S292" s="67"/>
      <c r="T292" s="67"/>
      <c r="W292" s="67"/>
      <c r="X292" s="67"/>
      <c r="Y292" s="67"/>
      <c r="AB292" s="67"/>
      <c r="AC292" s="67"/>
      <c r="AD292" s="67"/>
      <c r="AG292" s="67"/>
      <c r="AH292" s="67"/>
      <c r="AI292" s="67"/>
    </row>
    <row r="293" spans="18:35">
      <c r="R293" s="67"/>
      <c r="S293" s="67"/>
      <c r="T293" s="67"/>
      <c r="W293" s="67"/>
      <c r="X293" s="67"/>
      <c r="Y293" s="67"/>
      <c r="AB293" s="67"/>
      <c r="AC293" s="67"/>
      <c r="AD293" s="67"/>
      <c r="AG293" s="67"/>
      <c r="AH293" s="67"/>
      <c r="AI293" s="67"/>
    </row>
    <row r="294" spans="18:35">
      <c r="R294" s="67"/>
      <c r="S294" s="67"/>
      <c r="T294" s="67"/>
      <c r="W294" s="67"/>
      <c r="X294" s="67"/>
      <c r="Y294" s="67"/>
      <c r="AB294" s="67"/>
      <c r="AC294" s="67"/>
      <c r="AD294" s="67"/>
      <c r="AG294" s="67"/>
      <c r="AH294" s="67"/>
      <c r="AI294" s="67"/>
    </row>
    <row r="295" spans="18:35">
      <c r="R295" s="67"/>
      <c r="S295" s="67"/>
      <c r="T295" s="67"/>
      <c r="W295" s="67"/>
      <c r="X295" s="67"/>
      <c r="Y295" s="67"/>
      <c r="AB295" s="67"/>
      <c r="AC295" s="67"/>
      <c r="AD295" s="67"/>
      <c r="AG295" s="67"/>
      <c r="AH295" s="67"/>
      <c r="AI295" s="67"/>
    </row>
    <row r="296" spans="18:35">
      <c r="R296" s="67"/>
      <c r="S296" s="67"/>
      <c r="T296" s="67"/>
      <c r="W296" s="67"/>
      <c r="X296" s="67"/>
      <c r="Y296" s="67"/>
      <c r="AB296" s="67"/>
      <c r="AC296" s="67"/>
      <c r="AD296" s="67"/>
      <c r="AG296" s="67"/>
      <c r="AH296" s="67"/>
      <c r="AI296" s="67"/>
    </row>
    <row r="297" spans="18:35">
      <c r="R297" s="67"/>
      <c r="S297" s="67"/>
      <c r="T297" s="67"/>
      <c r="W297" s="67"/>
      <c r="X297" s="67"/>
      <c r="Y297" s="67"/>
      <c r="AB297" s="67"/>
      <c r="AC297" s="67"/>
      <c r="AD297" s="67"/>
      <c r="AG297" s="67"/>
      <c r="AH297" s="67"/>
      <c r="AI297" s="67"/>
    </row>
    <row r="298" spans="18:35">
      <c r="R298" s="67"/>
      <c r="S298" s="67"/>
      <c r="T298" s="67"/>
      <c r="W298" s="67"/>
      <c r="X298" s="67"/>
      <c r="Y298" s="67"/>
      <c r="AB298" s="67"/>
      <c r="AC298" s="67"/>
      <c r="AD298" s="67"/>
      <c r="AG298" s="67"/>
      <c r="AH298" s="67"/>
      <c r="AI298" s="67"/>
    </row>
    <row r="299" spans="18:35">
      <c r="R299" s="67"/>
      <c r="S299" s="67"/>
      <c r="T299" s="67"/>
      <c r="W299" s="67"/>
      <c r="X299" s="67"/>
      <c r="Y299" s="67"/>
      <c r="AB299" s="67"/>
      <c r="AC299" s="67"/>
      <c r="AD299" s="67"/>
      <c r="AG299" s="67"/>
      <c r="AH299" s="67"/>
      <c r="AI299" s="67"/>
    </row>
    <row r="300" spans="18:35">
      <c r="R300" s="67"/>
      <c r="S300" s="67"/>
      <c r="T300" s="67"/>
      <c r="W300" s="67"/>
      <c r="X300" s="67"/>
      <c r="Y300" s="67"/>
      <c r="AB300" s="67"/>
      <c r="AC300" s="67"/>
      <c r="AD300" s="67"/>
      <c r="AG300" s="67"/>
      <c r="AH300" s="67"/>
      <c r="AI300" s="67"/>
    </row>
    <row r="301" spans="18:35">
      <c r="R301" s="67"/>
      <c r="S301" s="67"/>
      <c r="T301" s="67"/>
      <c r="W301" s="67"/>
      <c r="X301" s="67"/>
      <c r="Y301" s="67"/>
      <c r="AB301" s="67"/>
      <c r="AC301" s="67"/>
      <c r="AD301" s="67"/>
      <c r="AG301" s="67"/>
      <c r="AH301" s="67"/>
      <c r="AI301" s="67"/>
    </row>
    <row r="302" spans="18:35">
      <c r="R302" s="67"/>
      <c r="S302" s="67"/>
      <c r="T302" s="67"/>
      <c r="W302" s="67"/>
      <c r="X302" s="67"/>
      <c r="Y302" s="67"/>
      <c r="AB302" s="67"/>
      <c r="AC302" s="67"/>
      <c r="AD302" s="67"/>
      <c r="AG302" s="67"/>
      <c r="AH302" s="67"/>
      <c r="AI302" s="67"/>
    </row>
    <row r="303" spans="18:35">
      <c r="R303" s="67"/>
      <c r="S303" s="67"/>
      <c r="T303" s="67"/>
      <c r="W303" s="67"/>
      <c r="X303" s="67"/>
      <c r="Y303" s="67"/>
      <c r="AB303" s="67"/>
      <c r="AC303" s="67"/>
      <c r="AD303" s="67"/>
      <c r="AG303" s="67"/>
      <c r="AH303" s="67"/>
      <c r="AI303" s="67"/>
    </row>
    <row r="304" spans="18:35">
      <c r="R304" s="67"/>
      <c r="S304" s="67"/>
      <c r="T304" s="67"/>
      <c r="W304" s="67"/>
      <c r="X304" s="67"/>
      <c r="Y304" s="67"/>
      <c r="AB304" s="67"/>
      <c r="AC304" s="67"/>
      <c r="AD304" s="67"/>
      <c r="AG304" s="67"/>
      <c r="AH304" s="67"/>
      <c r="AI304" s="67"/>
    </row>
    <row r="305" spans="18:35">
      <c r="R305" s="67"/>
      <c r="S305" s="67"/>
      <c r="T305" s="67"/>
      <c r="W305" s="67"/>
      <c r="X305" s="67"/>
      <c r="Y305" s="67"/>
      <c r="AB305" s="67"/>
      <c r="AC305" s="67"/>
      <c r="AD305" s="67"/>
      <c r="AG305" s="67"/>
      <c r="AH305" s="67"/>
      <c r="AI305" s="67"/>
    </row>
    <row r="306" spans="18:35">
      <c r="R306" s="67"/>
      <c r="S306" s="67"/>
      <c r="T306" s="67"/>
      <c r="W306" s="67"/>
      <c r="X306" s="67"/>
      <c r="Y306" s="67"/>
      <c r="AB306" s="67"/>
      <c r="AC306" s="67"/>
      <c r="AD306" s="67"/>
      <c r="AG306" s="67"/>
      <c r="AH306" s="67"/>
      <c r="AI306" s="67"/>
    </row>
    <row r="307" spans="18:35">
      <c r="R307" s="67"/>
      <c r="S307" s="67"/>
      <c r="T307" s="67"/>
      <c r="W307" s="67"/>
      <c r="X307" s="67"/>
      <c r="Y307" s="67"/>
      <c r="AB307" s="67"/>
      <c r="AC307" s="67"/>
      <c r="AD307" s="67"/>
      <c r="AG307" s="67"/>
      <c r="AH307" s="67"/>
      <c r="AI307" s="67"/>
    </row>
    <row r="308" spans="18:35">
      <c r="R308" s="67"/>
      <c r="S308" s="67"/>
      <c r="T308" s="67"/>
      <c r="W308" s="67"/>
      <c r="X308" s="67"/>
      <c r="Y308" s="67"/>
      <c r="AB308" s="67"/>
      <c r="AC308" s="67"/>
      <c r="AD308" s="67"/>
      <c r="AG308" s="67"/>
      <c r="AH308" s="67"/>
      <c r="AI308" s="67"/>
    </row>
    <row r="309" spans="18:35">
      <c r="R309" s="67"/>
      <c r="S309" s="67"/>
      <c r="T309" s="67"/>
      <c r="W309" s="67"/>
      <c r="X309" s="67"/>
      <c r="Y309" s="67"/>
      <c r="AB309" s="67"/>
      <c r="AC309" s="67"/>
      <c r="AD309" s="67"/>
      <c r="AG309" s="67"/>
      <c r="AH309" s="67"/>
      <c r="AI309" s="67"/>
    </row>
    <row r="310" spans="18:35">
      <c r="R310" s="67"/>
      <c r="S310" s="67"/>
      <c r="T310" s="67"/>
      <c r="W310" s="67"/>
      <c r="X310" s="67"/>
      <c r="Y310" s="67"/>
      <c r="AB310" s="67"/>
      <c r="AC310" s="67"/>
      <c r="AD310" s="67"/>
      <c r="AG310" s="67"/>
      <c r="AH310" s="67"/>
      <c r="AI310" s="67"/>
    </row>
    <row r="311" spans="18:35">
      <c r="R311" s="67"/>
      <c r="S311" s="67"/>
      <c r="T311" s="67"/>
      <c r="W311" s="67"/>
      <c r="X311" s="67"/>
      <c r="Y311" s="67"/>
      <c r="AB311" s="67"/>
      <c r="AC311" s="67"/>
      <c r="AD311" s="67"/>
      <c r="AG311" s="67"/>
      <c r="AH311" s="67"/>
      <c r="AI311" s="67"/>
    </row>
    <row r="312" spans="18:35">
      <c r="R312" s="67"/>
      <c r="S312" s="67"/>
      <c r="T312" s="67"/>
      <c r="W312" s="67"/>
      <c r="X312" s="67"/>
      <c r="Y312" s="67"/>
      <c r="AB312" s="67"/>
      <c r="AC312" s="67"/>
      <c r="AD312" s="67"/>
      <c r="AG312" s="67"/>
      <c r="AH312" s="67"/>
      <c r="AI312" s="67"/>
    </row>
    <row r="313" spans="18:35">
      <c r="R313" s="67"/>
      <c r="S313" s="67"/>
      <c r="T313" s="67"/>
      <c r="W313" s="67"/>
      <c r="X313" s="67"/>
      <c r="Y313" s="67"/>
      <c r="AB313" s="67"/>
      <c r="AC313" s="67"/>
      <c r="AD313" s="67"/>
      <c r="AG313" s="67"/>
      <c r="AH313" s="67"/>
      <c r="AI313" s="67"/>
    </row>
    <row r="314" spans="18:35">
      <c r="R314" s="67"/>
      <c r="S314" s="67"/>
      <c r="T314" s="67"/>
      <c r="W314" s="67"/>
      <c r="X314" s="67"/>
      <c r="Y314" s="67"/>
      <c r="AB314" s="67"/>
      <c r="AC314" s="67"/>
      <c r="AD314" s="67"/>
      <c r="AG314" s="67"/>
      <c r="AH314" s="67"/>
      <c r="AI314" s="67"/>
    </row>
    <row r="315" spans="18:35">
      <c r="R315" s="67"/>
      <c r="S315" s="67"/>
      <c r="T315" s="67"/>
      <c r="W315" s="67"/>
      <c r="X315" s="67"/>
      <c r="Y315" s="67"/>
      <c r="AB315" s="67"/>
      <c r="AC315" s="67"/>
      <c r="AD315" s="67"/>
      <c r="AG315" s="67"/>
      <c r="AH315" s="67"/>
      <c r="AI315" s="67"/>
    </row>
    <row r="316" spans="18:35">
      <c r="R316" s="67"/>
      <c r="S316" s="67"/>
      <c r="T316" s="67"/>
      <c r="W316" s="67"/>
      <c r="X316" s="67"/>
      <c r="Y316" s="67"/>
      <c r="AB316" s="67"/>
      <c r="AC316" s="67"/>
      <c r="AD316" s="67"/>
      <c r="AG316" s="67"/>
      <c r="AH316" s="67"/>
      <c r="AI316" s="67"/>
    </row>
    <row r="317" spans="18:35">
      <c r="R317" s="67"/>
      <c r="S317" s="67"/>
      <c r="T317" s="67"/>
      <c r="W317" s="67"/>
      <c r="X317" s="67"/>
      <c r="Y317" s="67"/>
      <c r="AB317" s="67"/>
      <c r="AC317" s="67"/>
      <c r="AD317" s="67"/>
      <c r="AG317" s="67"/>
      <c r="AH317" s="67"/>
      <c r="AI317" s="67"/>
    </row>
    <row r="318" spans="18:35">
      <c r="R318" s="67"/>
      <c r="S318" s="67"/>
      <c r="T318" s="67"/>
      <c r="W318" s="67"/>
      <c r="X318" s="67"/>
      <c r="Y318" s="67"/>
      <c r="AB318" s="67"/>
      <c r="AC318" s="67"/>
      <c r="AD318" s="67"/>
      <c r="AG318" s="67"/>
      <c r="AH318" s="67"/>
      <c r="AI318" s="67"/>
    </row>
    <row r="319" spans="18:35">
      <c r="R319" s="67"/>
      <c r="S319" s="67"/>
      <c r="T319" s="67"/>
      <c r="W319" s="67"/>
      <c r="X319" s="67"/>
      <c r="Y319" s="67"/>
      <c r="AB319" s="67"/>
      <c r="AC319" s="67"/>
      <c r="AD319" s="67"/>
      <c r="AG319" s="67"/>
      <c r="AH319" s="67"/>
      <c r="AI319" s="67"/>
    </row>
    <row r="320" spans="18:35">
      <c r="R320" s="67"/>
      <c r="S320" s="67"/>
      <c r="T320" s="67"/>
      <c r="W320" s="67"/>
      <c r="X320" s="67"/>
      <c r="Y320" s="67"/>
      <c r="AB320" s="67"/>
      <c r="AC320" s="67"/>
      <c r="AD320" s="67"/>
      <c r="AG320" s="67"/>
      <c r="AH320" s="67"/>
      <c r="AI320" s="67"/>
    </row>
    <row r="321" spans="18:35">
      <c r="R321" s="67"/>
      <c r="S321" s="67"/>
      <c r="T321" s="67"/>
      <c r="W321" s="67"/>
      <c r="X321" s="67"/>
      <c r="Y321" s="67"/>
      <c r="AB321" s="67"/>
      <c r="AC321" s="67"/>
      <c r="AD321" s="67"/>
      <c r="AG321" s="67"/>
      <c r="AH321" s="67"/>
      <c r="AI321" s="67"/>
    </row>
    <row r="322" spans="18:35">
      <c r="R322" s="67"/>
      <c r="S322" s="67"/>
      <c r="T322" s="67"/>
      <c r="W322" s="67"/>
      <c r="X322" s="67"/>
      <c r="Y322" s="67"/>
      <c r="AB322" s="67"/>
      <c r="AC322" s="67"/>
      <c r="AD322" s="67"/>
      <c r="AG322" s="67"/>
      <c r="AH322" s="67"/>
      <c r="AI322" s="67"/>
    </row>
    <row r="323" spans="18:35">
      <c r="R323" s="67"/>
      <c r="S323" s="67"/>
      <c r="T323" s="67"/>
      <c r="W323" s="67"/>
      <c r="X323" s="67"/>
      <c r="Y323" s="67"/>
      <c r="AB323" s="67"/>
      <c r="AC323" s="67"/>
      <c r="AD323" s="67"/>
      <c r="AG323" s="67"/>
      <c r="AH323" s="67"/>
      <c r="AI323" s="67"/>
    </row>
    <row r="324" spans="18:35">
      <c r="R324" s="67"/>
      <c r="S324" s="67"/>
      <c r="T324" s="67"/>
      <c r="W324" s="67"/>
      <c r="X324" s="67"/>
      <c r="Y324" s="67"/>
      <c r="AB324" s="67"/>
      <c r="AC324" s="67"/>
      <c r="AD324" s="67"/>
      <c r="AG324" s="67"/>
      <c r="AH324" s="67"/>
      <c r="AI324" s="67"/>
    </row>
    <row r="325" spans="18:35">
      <c r="R325" s="67"/>
      <c r="S325" s="67"/>
      <c r="T325" s="67"/>
      <c r="W325" s="67"/>
      <c r="X325" s="67"/>
      <c r="Y325" s="67"/>
      <c r="AB325" s="67"/>
      <c r="AC325" s="67"/>
      <c r="AD325" s="67"/>
      <c r="AG325" s="67"/>
      <c r="AH325" s="67"/>
      <c r="AI325" s="67"/>
    </row>
    <row r="326" spans="18:35">
      <c r="R326" s="67"/>
      <c r="S326" s="67"/>
      <c r="T326" s="67"/>
      <c r="W326" s="67"/>
      <c r="X326" s="67"/>
      <c r="Y326" s="67"/>
      <c r="AB326" s="67"/>
      <c r="AC326" s="67"/>
      <c r="AD326" s="67"/>
      <c r="AG326" s="67"/>
      <c r="AH326" s="67"/>
      <c r="AI326" s="67"/>
    </row>
    <row r="327" spans="18:35">
      <c r="R327" s="67"/>
      <c r="S327" s="67"/>
      <c r="T327" s="67"/>
      <c r="W327" s="67"/>
      <c r="X327" s="67"/>
      <c r="Y327" s="67"/>
      <c r="AB327" s="67"/>
      <c r="AC327" s="67"/>
      <c r="AD327" s="67"/>
      <c r="AG327" s="67"/>
      <c r="AH327" s="67"/>
      <c r="AI327" s="67"/>
    </row>
    <row r="328" spans="18:35">
      <c r="R328" s="67"/>
      <c r="S328" s="67"/>
      <c r="T328" s="67"/>
      <c r="W328" s="67"/>
      <c r="X328" s="67"/>
      <c r="Y328" s="67"/>
      <c r="AB328" s="67"/>
      <c r="AC328" s="67"/>
      <c r="AD328" s="67"/>
      <c r="AG328" s="67"/>
      <c r="AH328" s="67"/>
      <c r="AI328" s="67"/>
    </row>
    <row r="329" spans="18:35">
      <c r="R329" s="67"/>
      <c r="S329" s="67"/>
      <c r="T329" s="67"/>
      <c r="W329" s="67"/>
      <c r="X329" s="67"/>
      <c r="Y329" s="67"/>
      <c r="AB329" s="67"/>
      <c r="AC329" s="67"/>
      <c r="AD329" s="67"/>
      <c r="AG329" s="67"/>
      <c r="AH329" s="67"/>
      <c r="AI329" s="67"/>
    </row>
    <row r="330" spans="18:35">
      <c r="R330" s="67"/>
      <c r="S330" s="67"/>
      <c r="T330" s="67"/>
      <c r="W330" s="67"/>
      <c r="X330" s="67"/>
      <c r="Y330" s="67"/>
      <c r="AB330" s="67"/>
      <c r="AC330" s="67"/>
      <c r="AD330" s="67"/>
      <c r="AG330" s="67"/>
      <c r="AH330" s="67"/>
      <c r="AI330" s="67"/>
    </row>
    <row r="331" spans="18:35">
      <c r="R331" s="67"/>
      <c r="S331" s="67"/>
      <c r="T331" s="67"/>
      <c r="W331" s="67"/>
      <c r="X331" s="67"/>
      <c r="Y331" s="67"/>
      <c r="AB331" s="67"/>
      <c r="AC331" s="67"/>
      <c r="AD331" s="67"/>
      <c r="AG331" s="67"/>
      <c r="AH331" s="67"/>
      <c r="AI331" s="67"/>
    </row>
    <row r="332" spans="18:35">
      <c r="R332" s="67"/>
      <c r="S332" s="67"/>
      <c r="T332" s="67"/>
      <c r="W332" s="67"/>
      <c r="X332" s="67"/>
      <c r="Y332" s="67"/>
      <c r="AB332" s="67"/>
      <c r="AC332" s="67"/>
      <c r="AD332" s="67"/>
      <c r="AG332" s="67"/>
      <c r="AH332" s="67"/>
      <c r="AI332" s="67"/>
    </row>
    <row r="333" spans="18:35">
      <c r="R333" s="67"/>
      <c r="S333" s="67"/>
      <c r="T333" s="67"/>
      <c r="W333" s="67"/>
      <c r="X333" s="67"/>
      <c r="Y333" s="67"/>
      <c r="AB333" s="67"/>
      <c r="AC333" s="67"/>
      <c r="AD333" s="67"/>
      <c r="AG333" s="67"/>
      <c r="AH333" s="67"/>
      <c r="AI333" s="67"/>
    </row>
    <row r="334" spans="18:35">
      <c r="R334" s="67"/>
      <c r="S334" s="67"/>
      <c r="T334" s="67"/>
      <c r="W334" s="67"/>
      <c r="X334" s="67"/>
      <c r="Y334" s="67"/>
      <c r="AB334" s="67"/>
      <c r="AC334" s="67"/>
      <c r="AD334" s="67"/>
      <c r="AG334" s="67"/>
      <c r="AH334" s="67"/>
      <c r="AI334" s="67"/>
    </row>
    <row r="335" spans="18:35">
      <c r="R335" s="67"/>
      <c r="S335" s="67"/>
      <c r="T335" s="67"/>
      <c r="W335" s="67"/>
      <c r="X335" s="67"/>
      <c r="Y335" s="67"/>
      <c r="AB335" s="67"/>
      <c r="AC335" s="67"/>
      <c r="AD335" s="67"/>
      <c r="AG335" s="67"/>
      <c r="AH335" s="67"/>
      <c r="AI335" s="67"/>
    </row>
    <row r="336" spans="18:35">
      <c r="R336" s="67"/>
      <c r="S336" s="67"/>
      <c r="T336" s="67"/>
      <c r="W336" s="67"/>
      <c r="X336" s="67"/>
      <c r="Y336" s="67"/>
      <c r="AB336" s="67"/>
      <c r="AC336" s="67"/>
      <c r="AD336" s="67"/>
      <c r="AG336" s="67"/>
      <c r="AH336" s="67"/>
      <c r="AI336" s="67"/>
    </row>
    <row r="337" spans="18:35">
      <c r="R337" s="67"/>
      <c r="S337" s="67"/>
      <c r="T337" s="67"/>
      <c r="W337" s="67"/>
      <c r="X337" s="67"/>
      <c r="Y337" s="67"/>
      <c r="AB337" s="67"/>
      <c r="AC337" s="67"/>
      <c r="AD337" s="67"/>
      <c r="AG337" s="67"/>
      <c r="AH337" s="67"/>
      <c r="AI337" s="67"/>
    </row>
    <row r="338" spans="18:35">
      <c r="R338" s="67"/>
      <c r="S338" s="67"/>
      <c r="T338" s="67"/>
      <c r="W338" s="67"/>
      <c r="X338" s="67"/>
      <c r="Y338" s="67"/>
      <c r="AB338" s="67"/>
      <c r="AC338" s="67"/>
      <c r="AD338" s="67"/>
      <c r="AG338" s="67"/>
      <c r="AH338" s="67"/>
      <c r="AI338" s="67"/>
    </row>
    <row r="339" spans="18:35">
      <c r="R339" s="67"/>
      <c r="S339" s="67"/>
      <c r="T339" s="67"/>
      <c r="W339" s="67"/>
      <c r="X339" s="67"/>
      <c r="Y339" s="67"/>
      <c r="AB339" s="67"/>
      <c r="AC339" s="67"/>
      <c r="AD339" s="67"/>
      <c r="AG339" s="67"/>
      <c r="AH339" s="67"/>
      <c r="AI339" s="67"/>
    </row>
    <row r="340" spans="18:35">
      <c r="R340" s="67"/>
      <c r="S340" s="67"/>
      <c r="T340" s="67"/>
      <c r="W340" s="67"/>
      <c r="X340" s="67"/>
      <c r="Y340" s="67"/>
      <c r="AB340" s="67"/>
      <c r="AC340" s="67"/>
      <c r="AD340" s="67"/>
      <c r="AG340" s="67"/>
      <c r="AH340" s="67"/>
      <c r="AI340" s="67"/>
    </row>
    <row r="341" spans="18:35">
      <c r="R341" s="67"/>
      <c r="S341" s="67"/>
      <c r="T341" s="67"/>
      <c r="W341" s="67"/>
      <c r="X341" s="67"/>
      <c r="Y341" s="67"/>
      <c r="AB341" s="67"/>
      <c r="AC341" s="67"/>
      <c r="AD341" s="67"/>
      <c r="AG341" s="67"/>
      <c r="AH341" s="67"/>
      <c r="AI341" s="67"/>
    </row>
    <row r="342" spans="18:35">
      <c r="R342" s="67"/>
      <c r="S342" s="67"/>
      <c r="T342" s="67"/>
      <c r="W342" s="67"/>
      <c r="X342" s="67"/>
      <c r="Y342" s="67"/>
      <c r="AB342" s="67"/>
      <c r="AC342" s="67"/>
      <c r="AD342" s="67"/>
      <c r="AG342" s="67"/>
      <c r="AH342" s="67"/>
      <c r="AI342" s="67"/>
    </row>
    <row r="343" spans="18:35">
      <c r="R343" s="67"/>
      <c r="S343" s="67"/>
      <c r="T343" s="67"/>
      <c r="W343" s="67"/>
      <c r="X343" s="67"/>
      <c r="Y343" s="67"/>
      <c r="AB343" s="67"/>
      <c r="AC343" s="67"/>
      <c r="AD343" s="67"/>
      <c r="AG343" s="67"/>
      <c r="AH343" s="67"/>
      <c r="AI343" s="67"/>
    </row>
    <row r="344" spans="18:35">
      <c r="R344" s="67"/>
      <c r="S344" s="67"/>
      <c r="T344" s="67"/>
      <c r="W344" s="67"/>
      <c r="X344" s="67"/>
      <c r="Y344" s="67"/>
      <c r="AB344" s="67"/>
      <c r="AC344" s="67"/>
      <c r="AD344" s="67"/>
      <c r="AG344" s="67"/>
      <c r="AH344" s="67"/>
      <c r="AI344" s="67"/>
    </row>
    <row r="345" spans="18:35">
      <c r="R345" s="67"/>
      <c r="S345" s="67"/>
      <c r="T345" s="67"/>
      <c r="W345" s="67"/>
      <c r="X345" s="67"/>
      <c r="Y345" s="67"/>
      <c r="AB345" s="67"/>
      <c r="AC345" s="67"/>
      <c r="AD345" s="67"/>
      <c r="AG345" s="67"/>
      <c r="AH345" s="67"/>
      <c r="AI345" s="67"/>
    </row>
    <row r="346" spans="18:35">
      <c r="R346" s="67"/>
      <c r="S346" s="67"/>
      <c r="T346" s="67"/>
      <c r="W346" s="67"/>
      <c r="X346" s="67"/>
      <c r="Y346" s="67"/>
      <c r="AB346" s="67"/>
      <c r="AC346" s="67"/>
      <c r="AD346" s="67"/>
      <c r="AG346" s="67"/>
      <c r="AH346" s="67"/>
      <c r="AI346" s="67"/>
    </row>
    <row r="347" spans="18:35">
      <c r="R347" s="67"/>
      <c r="S347" s="67"/>
      <c r="T347" s="67"/>
      <c r="W347" s="67"/>
      <c r="X347" s="67"/>
      <c r="Y347" s="67"/>
      <c r="AB347" s="67"/>
      <c r="AC347" s="67"/>
      <c r="AD347" s="67"/>
      <c r="AG347" s="67"/>
      <c r="AH347" s="67"/>
      <c r="AI347" s="67"/>
    </row>
    <row r="348" spans="18:35">
      <c r="R348" s="67"/>
      <c r="S348" s="67"/>
      <c r="T348" s="67"/>
      <c r="W348" s="67"/>
      <c r="X348" s="67"/>
      <c r="Y348" s="67"/>
      <c r="AB348" s="67"/>
      <c r="AC348" s="67"/>
      <c r="AD348" s="67"/>
      <c r="AG348" s="67"/>
      <c r="AH348" s="67"/>
      <c r="AI348" s="67"/>
    </row>
    <row r="349" spans="18:35">
      <c r="R349" s="67"/>
      <c r="S349" s="67"/>
      <c r="T349" s="67"/>
      <c r="W349" s="67"/>
      <c r="X349" s="67"/>
      <c r="Y349" s="67"/>
      <c r="AB349" s="67"/>
      <c r="AC349" s="67"/>
      <c r="AD349" s="67"/>
      <c r="AG349" s="67"/>
      <c r="AH349" s="67"/>
      <c r="AI349" s="67"/>
    </row>
    <row r="350" spans="18:35">
      <c r="R350" s="67"/>
      <c r="S350" s="67"/>
      <c r="T350" s="67"/>
      <c r="W350" s="67"/>
      <c r="X350" s="67"/>
      <c r="Y350" s="67"/>
      <c r="AB350" s="67"/>
      <c r="AC350" s="67"/>
      <c r="AD350" s="67"/>
      <c r="AG350" s="67"/>
      <c r="AH350" s="67"/>
      <c r="AI350" s="67"/>
    </row>
    <row r="351" spans="18:35">
      <c r="R351" s="67"/>
      <c r="S351" s="67"/>
      <c r="T351" s="67"/>
      <c r="W351" s="67"/>
      <c r="X351" s="67"/>
      <c r="Y351" s="67"/>
      <c r="AB351" s="67"/>
      <c r="AC351" s="67"/>
      <c r="AD351" s="67"/>
      <c r="AG351" s="67"/>
      <c r="AH351" s="67"/>
      <c r="AI351" s="67"/>
    </row>
    <row r="352" spans="18:35">
      <c r="R352" s="67"/>
      <c r="S352" s="67"/>
      <c r="T352" s="67"/>
      <c r="W352" s="67"/>
      <c r="X352" s="67"/>
      <c r="Y352" s="67"/>
      <c r="AB352" s="67"/>
      <c r="AC352" s="67"/>
      <c r="AD352" s="67"/>
      <c r="AG352" s="67"/>
      <c r="AH352" s="67"/>
      <c r="AI352" s="67"/>
    </row>
    <row r="353" spans="18:35">
      <c r="R353" s="67"/>
      <c r="S353" s="67"/>
      <c r="T353" s="67"/>
      <c r="W353" s="67"/>
      <c r="X353" s="67"/>
      <c r="Y353" s="67"/>
      <c r="AB353" s="67"/>
      <c r="AC353" s="67"/>
      <c r="AD353" s="67"/>
      <c r="AG353" s="67"/>
      <c r="AH353" s="67"/>
      <c r="AI353" s="67"/>
    </row>
    <row r="354" spans="18:35">
      <c r="R354" s="67"/>
      <c r="S354" s="67"/>
      <c r="T354" s="67"/>
      <c r="W354" s="67"/>
      <c r="X354" s="67"/>
      <c r="Y354" s="67"/>
      <c r="AB354" s="67"/>
      <c r="AC354" s="67"/>
      <c r="AD354" s="67"/>
      <c r="AG354" s="67"/>
      <c r="AH354" s="67"/>
      <c r="AI354" s="67"/>
    </row>
    <row r="355" spans="18:35">
      <c r="R355" s="67"/>
      <c r="S355" s="67"/>
      <c r="T355" s="67"/>
      <c r="W355" s="67"/>
      <c r="X355" s="67"/>
      <c r="Y355" s="67"/>
      <c r="AB355" s="67"/>
      <c r="AC355" s="67"/>
      <c r="AD355" s="67"/>
      <c r="AG355" s="67"/>
      <c r="AH355" s="67"/>
      <c r="AI355" s="67"/>
    </row>
    <row r="356" spans="18:35">
      <c r="R356" s="67"/>
      <c r="S356" s="67"/>
      <c r="T356" s="67"/>
      <c r="W356" s="67"/>
      <c r="X356" s="67"/>
      <c r="Y356" s="67"/>
      <c r="AB356" s="67"/>
      <c r="AC356" s="67"/>
      <c r="AD356" s="67"/>
      <c r="AG356" s="67"/>
      <c r="AH356" s="67"/>
      <c r="AI356" s="67"/>
    </row>
    <row r="357" spans="18:35">
      <c r="R357" s="67"/>
      <c r="S357" s="67"/>
      <c r="T357" s="67"/>
      <c r="W357" s="67"/>
      <c r="X357" s="67"/>
      <c r="Y357" s="67"/>
      <c r="AB357" s="67"/>
      <c r="AC357" s="67"/>
      <c r="AD357" s="67"/>
      <c r="AG357" s="67"/>
      <c r="AH357" s="67"/>
      <c r="AI357" s="67"/>
    </row>
    <row r="358" spans="18:35">
      <c r="R358" s="67"/>
      <c r="S358" s="67"/>
      <c r="T358" s="67"/>
      <c r="W358" s="67"/>
      <c r="X358" s="67"/>
      <c r="Y358" s="67"/>
      <c r="AB358" s="67"/>
      <c r="AC358" s="67"/>
      <c r="AD358" s="67"/>
      <c r="AG358" s="67"/>
      <c r="AH358" s="67"/>
      <c r="AI358" s="67"/>
    </row>
    <row r="359" spans="18:35">
      <c r="R359" s="67"/>
      <c r="S359" s="67"/>
      <c r="T359" s="67"/>
      <c r="W359" s="67"/>
      <c r="X359" s="67"/>
      <c r="Y359" s="67"/>
      <c r="AB359" s="67"/>
      <c r="AC359" s="67"/>
      <c r="AD359" s="67"/>
      <c r="AG359" s="67"/>
      <c r="AH359" s="67"/>
      <c r="AI359" s="67"/>
    </row>
    <row r="360" spans="18:35">
      <c r="R360" s="67"/>
      <c r="S360" s="67"/>
      <c r="T360" s="67"/>
      <c r="W360" s="67"/>
      <c r="X360" s="67"/>
      <c r="Y360" s="67"/>
      <c r="AB360" s="67"/>
      <c r="AC360" s="67"/>
      <c r="AD360" s="67"/>
      <c r="AG360" s="67"/>
      <c r="AH360" s="67"/>
      <c r="AI360" s="67"/>
    </row>
    <row r="361" spans="18:35">
      <c r="R361" s="67"/>
      <c r="S361" s="67"/>
      <c r="T361" s="67"/>
      <c r="W361" s="67"/>
      <c r="X361" s="67"/>
      <c r="Y361" s="67"/>
      <c r="AB361" s="67"/>
      <c r="AC361" s="67"/>
      <c r="AD361" s="67"/>
      <c r="AG361" s="67"/>
      <c r="AH361" s="67"/>
      <c r="AI361" s="67"/>
    </row>
    <row r="362" spans="18:35">
      <c r="R362" s="67"/>
      <c r="S362" s="67"/>
      <c r="T362" s="67"/>
      <c r="W362" s="67"/>
      <c r="X362" s="67"/>
      <c r="Y362" s="67"/>
      <c r="AB362" s="67"/>
      <c r="AC362" s="67"/>
      <c r="AD362" s="67"/>
      <c r="AG362" s="67"/>
      <c r="AH362" s="67"/>
      <c r="AI362" s="67"/>
    </row>
    <row r="363" spans="18:35">
      <c r="R363" s="67"/>
      <c r="S363" s="67"/>
      <c r="T363" s="67"/>
      <c r="W363" s="67"/>
      <c r="X363" s="67"/>
      <c r="Y363" s="67"/>
      <c r="AB363" s="67"/>
      <c r="AC363" s="67"/>
      <c r="AD363" s="67"/>
      <c r="AG363" s="67"/>
      <c r="AH363" s="67"/>
      <c r="AI363" s="67"/>
    </row>
    <row r="364" spans="18:35">
      <c r="R364" s="67"/>
      <c r="S364" s="67"/>
      <c r="T364" s="67"/>
      <c r="W364" s="67"/>
      <c r="X364" s="67"/>
      <c r="Y364" s="67"/>
      <c r="AB364" s="67"/>
      <c r="AC364" s="67"/>
      <c r="AD364" s="67"/>
      <c r="AG364" s="67"/>
      <c r="AH364" s="67"/>
      <c r="AI364" s="67"/>
    </row>
    <row r="365" spans="18:35">
      <c r="R365" s="67"/>
      <c r="S365" s="67"/>
      <c r="T365" s="67"/>
      <c r="W365" s="67"/>
      <c r="X365" s="67"/>
      <c r="Y365" s="67"/>
      <c r="AB365" s="67"/>
      <c r="AC365" s="67"/>
      <c r="AD365" s="67"/>
      <c r="AG365" s="67"/>
      <c r="AH365" s="67"/>
      <c r="AI365" s="67"/>
    </row>
    <row r="366" spans="18:35">
      <c r="R366" s="67"/>
      <c r="S366" s="67"/>
      <c r="T366" s="67"/>
      <c r="W366" s="67"/>
      <c r="X366" s="67"/>
      <c r="Y366" s="67"/>
      <c r="AB366" s="67"/>
      <c r="AC366" s="67"/>
      <c r="AD366" s="67"/>
      <c r="AG366" s="67"/>
      <c r="AH366" s="67"/>
      <c r="AI366" s="67"/>
    </row>
    <row r="367" spans="18:35">
      <c r="R367" s="67"/>
      <c r="S367" s="67"/>
      <c r="T367" s="67"/>
      <c r="W367" s="67"/>
      <c r="X367" s="67"/>
      <c r="Y367" s="67"/>
      <c r="AB367" s="67"/>
      <c r="AC367" s="67"/>
      <c r="AD367" s="67"/>
      <c r="AG367" s="67"/>
      <c r="AH367" s="67"/>
      <c r="AI367" s="67"/>
    </row>
    <row r="368" spans="18:35">
      <c r="R368" s="67"/>
      <c r="S368" s="67"/>
      <c r="T368" s="67"/>
      <c r="W368" s="67"/>
      <c r="X368" s="67"/>
      <c r="Y368" s="67"/>
      <c r="AB368" s="67"/>
      <c r="AC368" s="67"/>
      <c r="AD368" s="67"/>
      <c r="AG368" s="67"/>
      <c r="AH368" s="67"/>
      <c r="AI368" s="67"/>
    </row>
    <row r="369" spans="18:35">
      <c r="R369" s="67"/>
      <c r="S369" s="67"/>
      <c r="T369" s="67"/>
      <c r="W369" s="67"/>
      <c r="X369" s="67"/>
      <c r="Y369" s="67"/>
      <c r="AB369" s="67"/>
      <c r="AC369" s="67"/>
      <c r="AD369" s="67"/>
      <c r="AG369" s="67"/>
      <c r="AH369" s="67"/>
      <c r="AI369" s="67"/>
    </row>
    <row r="370" spans="18:35">
      <c r="R370" s="67"/>
      <c r="S370" s="67"/>
      <c r="T370" s="67"/>
      <c r="W370" s="67"/>
      <c r="X370" s="67"/>
      <c r="Y370" s="67"/>
      <c r="AB370" s="67"/>
      <c r="AC370" s="67"/>
      <c r="AD370" s="67"/>
      <c r="AG370" s="67"/>
      <c r="AH370" s="67"/>
      <c r="AI370" s="67"/>
    </row>
    <row r="371" spans="18:35">
      <c r="R371" s="67"/>
      <c r="S371" s="67"/>
      <c r="T371" s="67"/>
      <c r="W371" s="67"/>
      <c r="X371" s="67"/>
      <c r="Y371" s="67"/>
      <c r="AB371" s="67"/>
      <c r="AC371" s="67"/>
      <c r="AD371" s="67"/>
      <c r="AG371" s="67"/>
      <c r="AH371" s="67"/>
      <c r="AI371" s="67"/>
    </row>
    <row r="372" spans="18:35">
      <c r="R372" s="67"/>
      <c r="S372" s="67"/>
      <c r="T372" s="67"/>
      <c r="W372" s="67"/>
      <c r="X372" s="67"/>
      <c r="Y372" s="67"/>
      <c r="AB372" s="67"/>
      <c r="AC372" s="67"/>
      <c r="AD372" s="67"/>
      <c r="AG372" s="67"/>
      <c r="AH372" s="67"/>
      <c r="AI372" s="67"/>
    </row>
    <row r="373" spans="18:35">
      <c r="R373" s="67"/>
      <c r="S373" s="67"/>
      <c r="T373" s="67"/>
      <c r="W373" s="67"/>
      <c r="X373" s="67"/>
      <c r="Y373" s="67"/>
      <c r="AB373" s="67"/>
      <c r="AC373" s="67"/>
      <c r="AD373" s="67"/>
      <c r="AG373" s="67"/>
      <c r="AH373" s="67"/>
      <c r="AI373" s="67"/>
    </row>
    <row r="374" spans="18:35">
      <c r="R374" s="67"/>
      <c r="S374" s="67"/>
      <c r="T374" s="67"/>
      <c r="W374" s="67"/>
      <c r="X374" s="67"/>
      <c r="Y374" s="67"/>
      <c r="AB374" s="67"/>
      <c r="AC374" s="67"/>
      <c r="AD374" s="67"/>
      <c r="AG374" s="67"/>
      <c r="AH374" s="67"/>
      <c r="AI374" s="67"/>
    </row>
    <row r="375" spans="18:35">
      <c r="R375" s="67"/>
      <c r="S375" s="67"/>
      <c r="T375" s="67"/>
      <c r="W375" s="67"/>
      <c r="X375" s="67"/>
      <c r="Y375" s="67"/>
      <c r="AB375" s="67"/>
      <c r="AC375" s="67"/>
      <c r="AD375" s="67"/>
      <c r="AG375" s="67"/>
      <c r="AH375" s="67"/>
      <c r="AI375" s="67"/>
    </row>
    <row r="376" spans="18:35">
      <c r="R376" s="67"/>
      <c r="S376" s="67"/>
      <c r="T376" s="67"/>
      <c r="W376" s="67"/>
      <c r="X376" s="67"/>
      <c r="Y376" s="67"/>
      <c r="AB376" s="67"/>
      <c r="AC376" s="67"/>
      <c r="AD376" s="67"/>
      <c r="AG376" s="67"/>
      <c r="AH376" s="67"/>
      <c r="AI376" s="67"/>
    </row>
    <row r="377" spans="18:35">
      <c r="R377" s="67"/>
      <c r="S377" s="67"/>
      <c r="T377" s="67"/>
      <c r="W377" s="67"/>
      <c r="X377" s="67"/>
      <c r="Y377" s="67"/>
      <c r="AB377" s="67"/>
      <c r="AC377" s="67"/>
      <c r="AD377" s="67"/>
      <c r="AG377" s="67"/>
      <c r="AH377" s="67"/>
      <c r="AI377" s="67"/>
    </row>
    <row r="378" spans="18:35">
      <c r="R378" s="67"/>
      <c r="S378" s="67"/>
      <c r="T378" s="67"/>
      <c r="W378" s="67"/>
      <c r="X378" s="67"/>
      <c r="Y378" s="67"/>
      <c r="AB378" s="67"/>
      <c r="AC378" s="67"/>
      <c r="AD378" s="67"/>
      <c r="AG378" s="67"/>
      <c r="AH378" s="67"/>
      <c r="AI378" s="67"/>
    </row>
    <row r="379" spans="18:35">
      <c r="R379" s="67"/>
      <c r="S379" s="67"/>
      <c r="T379" s="67"/>
      <c r="W379" s="67"/>
      <c r="X379" s="67"/>
      <c r="Y379" s="67"/>
      <c r="AB379" s="67"/>
      <c r="AC379" s="67"/>
      <c r="AD379" s="67"/>
      <c r="AG379" s="67"/>
      <c r="AH379" s="67"/>
      <c r="AI379" s="67"/>
    </row>
    <row r="380" spans="18:35">
      <c r="R380" s="67"/>
      <c r="S380" s="67"/>
      <c r="T380" s="67"/>
      <c r="W380" s="67"/>
      <c r="X380" s="67"/>
      <c r="Y380" s="67"/>
      <c r="AB380" s="67"/>
      <c r="AC380" s="67"/>
      <c r="AD380" s="67"/>
      <c r="AG380" s="67"/>
      <c r="AH380" s="67"/>
      <c r="AI380" s="67"/>
    </row>
    <row r="381" spans="18:35">
      <c r="R381" s="67"/>
      <c r="S381" s="67"/>
      <c r="T381" s="67"/>
      <c r="W381" s="67"/>
      <c r="X381" s="67"/>
      <c r="Y381" s="67"/>
      <c r="AB381" s="67"/>
      <c r="AC381" s="67"/>
      <c r="AD381" s="67"/>
      <c r="AG381" s="67"/>
      <c r="AH381" s="67"/>
      <c r="AI381" s="67"/>
    </row>
    <row r="382" spans="18:35">
      <c r="R382" s="67"/>
      <c r="S382" s="67"/>
      <c r="T382" s="67"/>
      <c r="W382" s="67"/>
      <c r="X382" s="67"/>
      <c r="Y382" s="67"/>
      <c r="AB382" s="67"/>
      <c r="AC382" s="67"/>
      <c r="AD382" s="67"/>
      <c r="AG382" s="67"/>
      <c r="AH382" s="67"/>
      <c r="AI382" s="67"/>
    </row>
    <row r="383" spans="18:35">
      <c r="R383" s="67"/>
      <c r="S383" s="67"/>
      <c r="T383" s="67"/>
      <c r="W383" s="67"/>
      <c r="X383" s="67"/>
      <c r="Y383" s="67"/>
      <c r="AB383" s="67"/>
      <c r="AC383" s="67"/>
      <c r="AD383" s="67"/>
      <c r="AG383" s="67"/>
      <c r="AH383" s="67"/>
      <c r="AI383" s="67"/>
    </row>
    <row r="384" spans="18:35">
      <c r="R384" s="67"/>
      <c r="S384" s="67"/>
      <c r="T384" s="67"/>
      <c r="W384" s="67"/>
      <c r="X384" s="67"/>
      <c r="Y384" s="67"/>
      <c r="AB384" s="67"/>
      <c r="AC384" s="67"/>
      <c r="AD384" s="67"/>
      <c r="AG384" s="67"/>
      <c r="AH384" s="67"/>
      <c r="AI384" s="67"/>
    </row>
    <row r="385" spans="18:35">
      <c r="R385" s="67"/>
      <c r="S385" s="67"/>
      <c r="T385" s="67"/>
      <c r="W385" s="67"/>
      <c r="X385" s="67"/>
      <c r="Y385" s="67"/>
      <c r="AB385" s="67"/>
      <c r="AC385" s="67"/>
      <c r="AD385" s="67"/>
      <c r="AG385" s="67"/>
      <c r="AH385" s="67"/>
      <c r="AI385" s="67"/>
    </row>
    <row r="386" spans="18:35">
      <c r="R386" s="67"/>
      <c r="S386" s="67"/>
      <c r="T386" s="67"/>
      <c r="W386" s="67"/>
      <c r="X386" s="67"/>
      <c r="Y386" s="67"/>
      <c r="AB386" s="67"/>
      <c r="AC386" s="67"/>
      <c r="AD386" s="67"/>
      <c r="AG386" s="67"/>
      <c r="AH386" s="67"/>
      <c r="AI386" s="67"/>
    </row>
    <row r="387" spans="18:35">
      <c r="R387" s="67"/>
      <c r="S387" s="67"/>
      <c r="T387" s="67"/>
      <c r="W387" s="67"/>
      <c r="X387" s="67"/>
      <c r="Y387" s="67"/>
      <c r="AB387" s="67"/>
      <c r="AC387" s="67"/>
      <c r="AD387" s="67"/>
      <c r="AG387" s="67"/>
      <c r="AH387" s="67"/>
      <c r="AI387" s="67"/>
    </row>
    <row r="388" spans="18:35">
      <c r="R388" s="67"/>
      <c r="S388" s="67"/>
      <c r="T388" s="67"/>
      <c r="W388" s="67"/>
      <c r="X388" s="67"/>
      <c r="Y388" s="67"/>
      <c r="AB388" s="67"/>
      <c r="AC388" s="67"/>
      <c r="AD388" s="67"/>
      <c r="AG388" s="67"/>
      <c r="AH388" s="67"/>
      <c r="AI388" s="67"/>
    </row>
    <row r="389" spans="18:35">
      <c r="R389" s="67"/>
      <c r="S389" s="67"/>
      <c r="T389" s="67"/>
      <c r="W389" s="67"/>
      <c r="X389" s="67"/>
      <c r="Y389" s="67"/>
      <c r="AB389" s="67"/>
      <c r="AC389" s="67"/>
      <c r="AD389" s="67"/>
      <c r="AG389" s="67"/>
      <c r="AH389" s="67"/>
      <c r="AI389" s="67"/>
    </row>
    <row r="390" spans="18:35">
      <c r="R390" s="67"/>
      <c r="S390" s="67"/>
      <c r="T390" s="67"/>
      <c r="W390" s="67"/>
      <c r="X390" s="67"/>
      <c r="Y390" s="67"/>
      <c r="AB390" s="67"/>
      <c r="AC390" s="67"/>
      <c r="AD390" s="67"/>
      <c r="AG390" s="67"/>
      <c r="AH390" s="67"/>
      <c r="AI390" s="67"/>
    </row>
    <row r="391" spans="18:35">
      <c r="R391" s="67"/>
      <c r="S391" s="67"/>
      <c r="T391" s="67"/>
      <c r="W391" s="67"/>
      <c r="X391" s="67"/>
      <c r="Y391" s="67"/>
      <c r="AB391" s="67"/>
      <c r="AC391" s="67"/>
      <c r="AD391" s="67"/>
      <c r="AG391" s="67"/>
      <c r="AH391" s="67"/>
      <c r="AI391" s="67"/>
    </row>
    <row r="392" spans="18:35">
      <c r="R392" s="67"/>
      <c r="S392" s="67"/>
      <c r="T392" s="67"/>
      <c r="W392" s="67"/>
      <c r="X392" s="67"/>
      <c r="Y392" s="67"/>
      <c r="AB392" s="67"/>
      <c r="AC392" s="67"/>
      <c r="AD392" s="67"/>
      <c r="AG392" s="67"/>
      <c r="AH392" s="67"/>
      <c r="AI392" s="67"/>
    </row>
    <row r="393" spans="18:35">
      <c r="R393" s="67"/>
      <c r="S393" s="67"/>
      <c r="T393" s="67"/>
      <c r="W393" s="67"/>
      <c r="X393" s="67"/>
      <c r="Y393" s="67"/>
      <c r="AB393" s="67"/>
      <c r="AC393" s="67"/>
      <c r="AD393" s="67"/>
      <c r="AG393" s="67"/>
      <c r="AH393" s="67"/>
      <c r="AI393" s="67"/>
    </row>
    <row r="394" spans="18:35">
      <c r="R394" s="67"/>
      <c r="S394" s="67"/>
      <c r="T394" s="67"/>
      <c r="W394" s="67"/>
      <c r="X394" s="67"/>
      <c r="Y394" s="67"/>
      <c r="AB394" s="67"/>
      <c r="AC394" s="67"/>
      <c r="AD394" s="67"/>
      <c r="AG394" s="67"/>
      <c r="AH394" s="67"/>
      <c r="AI394" s="67"/>
    </row>
    <row r="395" spans="18:35">
      <c r="R395" s="67"/>
      <c r="S395" s="67"/>
      <c r="T395" s="67"/>
      <c r="W395" s="67"/>
      <c r="X395" s="67"/>
      <c r="Y395" s="67"/>
      <c r="AB395" s="67"/>
      <c r="AC395" s="67"/>
      <c r="AD395" s="67"/>
      <c r="AG395" s="67"/>
      <c r="AH395" s="67"/>
      <c r="AI395" s="67"/>
    </row>
    <row r="396" spans="18:35">
      <c r="R396" s="67"/>
      <c r="S396" s="67"/>
      <c r="T396" s="67"/>
      <c r="W396" s="67"/>
      <c r="X396" s="67"/>
      <c r="Y396" s="67"/>
      <c r="AB396" s="67"/>
      <c r="AC396" s="67"/>
      <c r="AD396" s="67"/>
      <c r="AG396" s="67"/>
      <c r="AH396" s="67"/>
      <c r="AI396" s="67"/>
    </row>
    <row r="397" spans="18:35">
      <c r="R397" s="67"/>
      <c r="S397" s="67"/>
      <c r="T397" s="67"/>
      <c r="W397" s="67"/>
      <c r="X397" s="67"/>
      <c r="Y397" s="67"/>
      <c r="AB397" s="67"/>
      <c r="AC397" s="67"/>
      <c r="AD397" s="67"/>
      <c r="AG397" s="67"/>
      <c r="AH397" s="67"/>
      <c r="AI397" s="67"/>
    </row>
    <row r="398" spans="18:35">
      <c r="R398" s="67"/>
      <c r="S398" s="67"/>
      <c r="T398" s="67"/>
      <c r="W398" s="67"/>
      <c r="X398" s="67"/>
      <c r="Y398" s="67"/>
      <c r="AB398" s="67"/>
      <c r="AC398" s="67"/>
      <c r="AD398" s="67"/>
      <c r="AG398" s="67"/>
      <c r="AH398" s="67"/>
      <c r="AI398" s="67"/>
    </row>
    <row r="399" spans="18:35">
      <c r="R399" s="67"/>
      <c r="S399" s="67"/>
      <c r="T399" s="67"/>
      <c r="W399" s="67"/>
      <c r="X399" s="67"/>
      <c r="Y399" s="67"/>
      <c r="AB399" s="67"/>
      <c r="AC399" s="67"/>
      <c r="AD399" s="67"/>
      <c r="AG399" s="67"/>
      <c r="AH399" s="67"/>
      <c r="AI399" s="67"/>
    </row>
    <row r="400" spans="18:35">
      <c r="R400" s="67"/>
      <c r="S400" s="67"/>
      <c r="T400" s="67"/>
      <c r="W400" s="67"/>
      <c r="X400" s="67"/>
      <c r="Y400" s="67"/>
      <c r="AB400" s="67"/>
      <c r="AC400" s="67"/>
      <c r="AD400" s="67"/>
      <c r="AG400" s="67"/>
      <c r="AH400" s="67"/>
      <c r="AI400" s="67"/>
    </row>
    <row r="401" spans="18:35">
      <c r="R401" s="67"/>
      <c r="S401" s="67"/>
      <c r="T401" s="67"/>
      <c r="W401" s="67"/>
      <c r="X401" s="67"/>
      <c r="Y401" s="67"/>
      <c r="AB401" s="67"/>
      <c r="AC401" s="67"/>
      <c r="AD401" s="67"/>
      <c r="AG401" s="67"/>
      <c r="AH401" s="67"/>
      <c r="AI401" s="67"/>
    </row>
    <row r="402" spans="18:35">
      <c r="R402" s="67"/>
      <c r="S402" s="67"/>
      <c r="T402" s="67"/>
      <c r="W402" s="67"/>
      <c r="X402" s="67"/>
      <c r="Y402" s="67"/>
      <c r="AB402" s="67"/>
      <c r="AC402" s="67"/>
      <c r="AD402" s="67"/>
      <c r="AG402" s="67"/>
      <c r="AH402" s="67"/>
      <c r="AI402" s="67"/>
    </row>
    <row r="403" spans="18:35">
      <c r="R403" s="67"/>
      <c r="S403" s="67"/>
      <c r="T403" s="67"/>
      <c r="W403" s="67"/>
      <c r="X403" s="67"/>
      <c r="Y403" s="67"/>
      <c r="AB403" s="67"/>
      <c r="AC403" s="67"/>
      <c r="AD403" s="67"/>
      <c r="AG403" s="67"/>
      <c r="AH403" s="67"/>
      <c r="AI403" s="67"/>
    </row>
    <row r="404" spans="18:35">
      <c r="R404" s="67"/>
      <c r="S404" s="67"/>
      <c r="T404" s="67"/>
      <c r="W404" s="67"/>
      <c r="X404" s="67"/>
      <c r="Y404" s="67"/>
      <c r="AB404" s="67"/>
      <c r="AC404" s="67"/>
      <c r="AD404" s="67"/>
      <c r="AG404" s="67"/>
      <c r="AH404" s="67"/>
      <c r="AI404" s="67"/>
    </row>
    <row r="405" spans="18:35">
      <c r="R405" s="67"/>
      <c r="S405" s="67"/>
      <c r="T405" s="67"/>
      <c r="W405" s="67"/>
      <c r="X405" s="67"/>
      <c r="Y405" s="67"/>
      <c r="AB405" s="67"/>
      <c r="AC405" s="67"/>
      <c r="AD405" s="67"/>
      <c r="AG405" s="67"/>
      <c r="AH405" s="67"/>
      <c r="AI405" s="67"/>
    </row>
    <row r="406" spans="18:35">
      <c r="R406" s="67"/>
      <c r="S406" s="67"/>
      <c r="T406" s="67"/>
      <c r="W406" s="67"/>
      <c r="X406" s="67"/>
      <c r="Y406" s="67"/>
      <c r="AB406" s="67"/>
      <c r="AC406" s="67"/>
      <c r="AD406" s="67"/>
      <c r="AG406" s="67"/>
      <c r="AH406" s="67"/>
      <c r="AI406" s="67"/>
    </row>
    <row r="407" spans="18:35">
      <c r="R407" s="67"/>
      <c r="S407" s="67"/>
      <c r="T407" s="67"/>
      <c r="W407" s="67"/>
      <c r="X407" s="67"/>
      <c r="Y407" s="67"/>
      <c r="AB407" s="67"/>
      <c r="AC407" s="67"/>
      <c r="AD407" s="67"/>
      <c r="AG407" s="67"/>
      <c r="AH407" s="67"/>
      <c r="AI407" s="67"/>
    </row>
    <row r="408" spans="18:35">
      <c r="R408" s="67"/>
      <c r="S408" s="67"/>
      <c r="T408" s="67"/>
      <c r="W408" s="67"/>
      <c r="X408" s="67"/>
      <c r="Y408" s="67"/>
      <c r="AB408" s="67"/>
      <c r="AC408" s="67"/>
      <c r="AD408" s="67"/>
      <c r="AG408" s="67"/>
      <c r="AH408" s="67"/>
      <c r="AI408" s="67"/>
    </row>
    <row r="409" spans="18:35">
      <c r="R409" s="67"/>
      <c r="S409" s="67"/>
      <c r="T409" s="67"/>
      <c r="W409" s="67"/>
      <c r="X409" s="67"/>
      <c r="Y409" s="67"/>
      <c r="AB409" s="67"/>
      <c r="AC409" s="67"/>
      <c r="AD409" s="67"/>
      <c r="AG409" s="67"/>
      <c r="AH409" s="67"/>
      <c r="AI409" s="67"/>
    </row>
    <row r="410" spans="18:35">
      <c r="R410" s="67"/>
      <c r="S410" s="67"/>
      <c r="T410" s="67"/>
      <c r="W410" s="67"/>
      <c r="X410" s="67"/>
      <c r="Y410" s="67"/>
      <c r="AB410" s="67"/>
      <c r="AC410" s="67"/>
      <c r="AD410" s="67"/>
      <c r="AG410" s="67"/>
      <c r="AH410" s="67"/>
      <c r="AI410" s="67"/>
    </row>
    <row r="411" spans="18:35">
      <c r="R411" s="67"/>
      <c r="S411" s="67"/>
      <c r="T411" s="67"/>
      <c r="W411" s="67"/>
      <c r="X411" s="67"/>
      <c r="Y411" s="67"/>
      <c r="AB411" s="67"/>
      <c r="AC411" s="67"/>
      <c r="AD411" s="67"/>
      <c r="AG411" s="67"/>
      <c r="AH411" s="67"/>
      <c r="AI411" s="67"/>
    </row>
    <row r="412" spans="18:35">
      <c r="R412" s="67"/>
      <c r="S412" s="67"/>
      <c r="T412" s="67"/>
      <c r="W412" s="67"/>
      <c r="X412" s="67"/>
      <c r="Y412" s="67"/>
      <c r="AB412" s="67"/>
      <c r="AC412" s="67"/>
      <c r="AD412" s="67"/>
      <c r="AG412" s="67"/>
      <c r="AH412" s="67"/>
      <c r="AI412" s="67"/>
    </row>
    <row r="413" spans="18:35">
      <c r="R413" s="67"/>
      <c r="S413" s="67"/>
      <c r="T413" s="67"/>
      <c r="W413" s="67"/>
      <c r="X413" s="67"/>
      <c r="Y413" s="67"/>
      <c r="AB413" s="67"/>
      <c r="AC413" s="67"/>
      <c r="AD413" s="67"/>
      <c r="AG413" s="67"/>
      <c r="AH413" s="67"/>
      <c r="AI413" s="67"/>
    </row>
    <row r="414" spans="18:35">
      <c r="R414" s="67"/>
      <c r="S414" s="67"/>
      <c r="T414" s="67"/>
      <c r="W414" s="67"/>
      <c r="X414" s="67"/>
      <c r="Y414" s="67"/>
      <c r="AB414" s="67"/>
      <c r="AC414" s="67"/>
      <c r="AD414" s="67"/>
      <c r="AG414" s="67"/>
      <c r="AH414" s="67"/>
      <c r="AI414" s="67"/>
    </row>
    <row r="415" spans="18:35">
      <c r="R415" s="67"/>
      <c r="S415" s="67"/>
      <c r="T415" s="67"/>
      <c r="W415" s="67"/>
      <c r="X415" s="67"/>
      <c r="Y415" s="67"/>
      <c r="AB415" s="67"/>
      <c r="AC415" s="67"/>
      <c r="AD415" s="67"/>
      <c r="AG415" s="67"/>
      <c r="AH415" s="67"/>
      <c r="AI415" s="67"/>
    </row>
    <row r="416" spans="18:35">
      <c r="R416" s="67"/>
      <c r="S416" s="67"/>
      <c r="T416" s="67"/>
      <c r="W416" s="67"/>
      <c r="X416" s="67"/>
      <c r="Y416" s="67"/>
      <c r="AB416" s="67"/>
      <c r="AC416" s="67"/>
      <c r="AD416" s="67"/>
      <c r="AG416" s="67"/>
      <c r="AH416" s="67"/>
      <c r="AI416" s="67"/>
    </row>
    <row r="417" spans="18:35">
      <c r="R417" s="67"/>
      <c r="S417" s="67"/>
      <c r="T417" s="67"/>
      <c r="W417" s="67"/>
      <c r="X417" s="67"/>
      <c r="Y417" s="67"/>
      <c r="AB417" s="67"/>
      <c r="AC417" s="67"/>
      <c r="AD417" s="67"/>
      <c r="AG417" s="67"/>
      <c r="AH417" s="67"/>
      <c r="AI417" s="67"/>
    </row>
    <row r="418" spans="18:35">
      <c r="R418" s="67"/>
      <c r="S418" s="67"/>
      <c r="T418" s="67"/>
      <c r="W418" s="67"/>
      <c r="X418" s="67"/>
      <c r="Y418" s="67"/>
      <c r="AB418" s="67"/>
      <c r="AC418" s="67"/>
      <c r="AD418" s="67"/>
      <c r="AG418" s="67"/>
      <c r="AH418" s="67"/>
      <c r="AI418" s="67"/>
    </row>
    <row r="419" spans="18:35">
      <c r="R419" s="67"/>
      <c r="S419" s="67"/>
      <c r="T419" s="67"/>
      <c r="W419" s="67"/>
      <c r="X419" s="67"/>
      <c r="Y419" s="67"/>
      <c r="AB419" s="67"/>
      <c r="AC419" s="67"/>
      <c r="AD419" s="67"/>
      <c r="AG419" s="67"/>
      <c r="AH419" s="67"/>
      <c r="AI419" s="67"/>
    </row>
    <row r="420" spans="18:35">
      <c r="R420" s="67"/>
      <c r="S420" s="67"/>
      <c r="T420" s="67"/>
      <c r="W420" s="67"/>
      <c r="X420" s="67"/>
      <c r="Y420" s="67"/>
      <c r="AB420" s="67"/>
      <c r="AC420" s="67"/>
      <c r="AD420" s="67"/>
      <c r="AG420" s="67"/>
      <c r="AH420" s="67"/>
      <c r="AI420" s="67"/>
    </row>
    <row r="421" spans="18:35">
      <c r="R421" s="67"/>
      <c r="S421" s="67"/>
      <c r="T421" s="67"/>
      <c r="W421" s="67"/>
      <c r="X421" s="67"/>
      <c r="Y421" s="67"/>
      <c r="AB421" s="67"/>
      <c r="AC421" s="67"/>
      <c r="AD421" s="67"/>
      <c r="AG421" s="67"/>
      <c r="AH421" s="67"/>
      <c r="AI421" s="67"/>
    </row>
    <row r="422" spans="18:35">
      <c r="R422" s="67"/>
      <c r="S422" s="67"/>
      <c r="T422" s="67"/>
      <c r="W422" s="67"/>
      <c r="X422" s="67"/>
      <c r="Y422" s="67"/>
      <c r="AB422" s="67"/>
      <c r="AC422" s="67"/>
      <c r="AD422" s="67"/>
      <c r="AG422" s="67"/>
      <c r="AH422" s="67"/>
      <c r="AI422" s="67"/>
    </row>
    <row r="423" spans="18:35">
      <c r="R423" s="67"/>
      <c r="S423" s="67"/>
      <c r="T423" s="67"/>
      <c r="W423" s="67"/>
      <c r="X423" s="67"/>
      <c r="Y423" s="67"/>
      <c r="AB423" s="67"/>
      <c r="AC423" s="67"/>
      <c r="AD423" s="67"/>
      <c r="AG423" s="67"/>
      <c r="AH423" s="67"/>
      <c r="AI423" s="67"/>
    </row>
    <row r="424" spans="18:35">
      <c r="R424" s="67"/>
      <c r="S424" s="67"/>
      <c r="T424" s="67"/>
      <c r="W424" s="67"/>
      <c r="X424" s="67"/>
      <c r="Y424" s="67"/>
      <c r="AB424" s="67"/>
      <c r="AC424" s="67"/>
      <c r="AD424" s="67"/>
      <c r="AG424" s="67"/>
      <c r="AH424" s="67"/>
      <c r="AI424" s="67"/>
    </row>
    <row r="425" spans="18:35">
      <c r="R425" s="67"/>
      <c r="S425" s="67"/>
      <c r="T425" s="67"/>
      <c r="W425" s="67"/>
      <c r="X425" s="67"/>
      <c r="Y425" s="67"/>
      <c r="AB425" s="67"/>
      <c r="AC425" s="67"/>
      <c r="AD425" s="67"/>
      <c r="AG425" s="67"/>
      <c r="AH425" s="67"/>
      <c r="AI425" s="67"/>
    </row>
    <row r="426" spans="18:35">
      <c r="R426" s="67"/>
      <c r="S426" s="67"/>
      <c r="T426" s="67"/>
      <c r="W426" s="67"/>
      <c r="X426" s="67"/>
      <c r="Y426" s="67"/>
      <c r="AB426" s="67"/>
      <c r="AC426" s="67"/>
      <c r="AD426" s="67"/>
      <c r="AG426" s="67"/>
      <c r="AH426" s="67"/>
      <c r="AI426" s="67"/>
    </row>
    <row r="427" spans="18:35">
      <c r="R427" s="67"/>
      <c r="S427" s="67"/>
      <c r="T427" s="67"/>
      <c r="W427" s="67"/>
      <c r="X427" s="67"/>
      <c r="Y427" s="67"/>
      <c r="AB427" s="67"/>
      <c r="AC427" s="67"/>
      <c r="AD427" s="67"/>
      <c r="AG427" s="67"/>
      <c r="AH427" s="67"/>
      <c r="AI427" s="67"/>
    </row>
    <row r="428" spans="18:35">
      <c r="R428" s="67"/>
      <c r="S428" s="67"/>
      <c r="T428" s="67"/>
      <c r="W428" s="67"/>
      <c r="X428" s="67"/>
      <c r="Y428" s="67"/>
      <c r="AB428" s="67"/>
      <c r="AC428" s="67"/>
      <c r="AD428" s="67"/>
      <c r="AG428" s="67"/>
      <c r="AH428" s="67"/>
      <c r="AI428" s="67"/>
    </row>
    <row r="429" spans="18:35">
      <c r="R429" s="67"/>
      <c r="S429" s="67"/>
      <c r="T429" s="67"/>
      <c r="W429" s="67"/>
      <c r="X429" s="67"/>
      <c r="Y429" s="67"/>
      <c r="AB429" s="67"/>
      <c r="AC429" s="67"/>
      <c r="AD429" s="67"/>
      <c r="AG429" s="67"/>
      <c r="AH429" s="67"/>
      <c r="AI429" s="67"/>
    </row>
    <row r="430" spans="18:35">
      <c r="R430" s="67"/>
      <c r="S430" s="67"/>
      <c r="T430" s="67"/>
      <c r="W430" s="67"/>
      <c r="X430" s="67"/>
      <c r="Y430" s="67"/>
      <c r="AB430" s="67"/>
      <c r="AC430" s="67"/>
      <c r="AD430" s="67"/>
      <c r="AG430" s="67"/>
      <c r="AH430" s="67"/>
      <c r="AI430" s="67"/>
    </row>
    <row r="431" spans="18:35">
      <c r="R431" s="67"/>
      <c r="S431" s="67"/>
      <c r="T431" s="67"/>
      <c r="W431" s="67"/>
      <c r="X431" s="67"/>
      <c r="Y431" s="67"/>
      <c r="AB431" s="67"/>
      <c r="AC431" s="67"/>
      <c r="AD431" s="67"/>
      <c r="AG431" s="67"/>
      <c r="AH431" s="67"/>
      <c r="AI431" s="67"/>
    </row>
    <row r="432" spans="18:35">
      <c r="R432" s="67"/>
      <c r="S432" s="67"/>
      <c r="T432" s="67"/>
      <c r="W432" s="67"/>
      <c r="X432" s="67"/>
      <c r="Y432" s="67"/>
      <c r="AB432" s="67"/>
      <c r="AC432" s="67"/>
      <c r="AD432" s="67"/>
      <c r="AG432" s="67"/>
      <c r="AH432" s="67"/>
      <c r="AI432" s="67"/>
    </row>
    <row r="433" spans="18:35">
      <c r="R433" s="67"/>
      <c r="S433" s="67"/>
      <c r="T433" s="67"/>
      <c r="W433" s="67"/>
      <c r="X433" s="67"/>
      <c r="Y433" s="67"/>
      <c r="AB433" s="67"/>
      <c r="AC433" s="67"/>
      <c r="AD433" s="67"/>
      <c r="AG433" s="67"/>
      <c r="AH433" s="67"/>
      <c r="AI433" s="67"/>
    </row>
    <row r="434" spans="18:35">
      <c r="R434" s="67"/>
      <c r="S434" s="67"/>
      <c r="T434" s="67"/>
      <c r="W434" s="67"/>
      <c r="X434" s="67"/>
      <c r="Y434" s="67"/>
      <c r="AB434" s="67"/>
      <c r="AC434" s="67"/>
      <c r="AD434" s="67"/>
      <c r="AG434" s="67"/>
      <c r="AH434" s="67"/>
      <c r="AI434" s="67"/>
    </row>
    <row r="435" spans="18:35">
      <c r="R435" s="67"/>
      <c r="S435" s="67"/>
      <c r="T435" s="67"/>
      <c r="W435" s="67"/>
      <c r="X435" s="67"/>
      <c r="Y435" s="67"/>
      <c r="AB435" s="67"/>
      <c r="AC435" s="67"/>
      <c r="AD435" s="67"/>
      <c r="AG435" s="67"/>
      <c r="AH435" s="67"/>
      <c r="AI435" s="67"/>
    </row>
    <row r="436" spans="18:35">
      <c r="R436" s="67"/>
      <c r="S436" s="67"/>
      <c r="T436" s="67"/>
      <c r="W436" s="67"/>
      <c r="X436" s="67"/>
      <c r="Y436" s="67"/>
      <c r="AB436" s="67"/>
      <c r="AC436" s="67"/>
      <c r="AD436" s="67"/>
      <c r="AG436" s="67"/>
      <c r="AH436" s="67"/>
      <c r="AI436" s="67"/>
    </row>
    <row r="437" spans="18:35">
      <c r="R437" s="67"/>
      <c r="S437" s="67"/>
      <c r="T437" s="67"/>
      <c r="W437" s="67"/>
      <c r="X437" s="67"/>
      <c r="Y437" s="67"/>
      <c r="AB437" s="67"/>
      <c r="AC437" s="67"/>
      <c r="AD437" s="67"/>
      <c r="AG437" s="67"/>
      <c r="AH437" s="67"/>
      <c r="AI437" s="67"/>
    </row>
    <row r="438" spans="18:35">
      <c r="R438" s="67"/>
      <c r="S438" s="67"/>
      <c r="T438" s="67"/>
      <c r="W438" s="67"/>
      <c r="X438" s="67"/>
      <c r="Y438" s="67"/>
      <c r="AB438" s="67"/>
      <c r="AC438" s="67"/>
      <c r="AD438" s="67"/>
      <c r="AG438" s="67"/>
      <c r="AH438" s="67"/>
      <c r="AI438" s="67"/>
    </row>
    <row r="439" spans="18:35">
      <c r="R439" s="67"/>
      <c r="S439" s="67"/>
      <c r="T439" s="67"/>
      <c r="W439" s="67"/>
      <c r="X439" s="67"/>
      <c r="Y439" s="67"/>
      <c r="AB439" s="67"/>
      <c r="AC439" s="67"/>
      <c r="AD439" s="67"/>
      <c r="AG439" s="67"/>
      <c r="AH439" s="67"/>
      <c r="AI439" s="67"/>
    </row>
    <row r="440" spans="18:35">
      <c r="R440" s="67"/>
      <c r="S440" s="67"/>
      <c r="T440" s="67"/>
      <c r="W440" s="67"/>
      <c r="X440" s="67"/>
      <c r="Y440" s="67"/>
      <c r="AB440" s="67"/>
      <c r="AC440" s="67"/>
      <c r="AD440" s="67"/>
      <c r="AG440" s="67"/>
      <c r="AH440" s="67"/>
      <c r="AI440" s="67"/>
    </row>
    <row r="441" spans="18:35">
      <c r="R441" s="67"/>
      <c r="S441" s="67"/>
      <c r="T441" s="67"/>
      <c r="W441" s="67"/>
      <c r="X441" s="67"/>
      <c r="Y441" s="67"/>
      <c r="AB441" s="67"/>
      <c r="AC441" s="67"/>
      <c r="AD441" s="67"/>
      <c r="AG441" s="67"/>
      <c r="AH441" s="67"/>
      <c r="AI441" s="67"/>
    </row>
    <row r="442" spans="18:35">
      <c r="R442" s="67"/>
      <c r="S442" s="67"/>
      <c r="T442" s="67"/>
      <c r="W442" s="67"/>
      <c r="X442" s="67"/>
      <c r="Y442" s="67"/>
      <c r="AB442" s="67"/>
      <c r="AC442" s="67"/>
      <c r="AD442" s="67"/>
      <c r="AG442" s="67"/>
      <c r="AH442" s="67"/>
      <c r="AI442" s="67"/>
    </row>
    <row r="443" spans="18:35">
      <c r="R443" s="67"/>
      <c r="S443" s="67"/>
      <c r="T443" s="67"/>
      <c r="W443" s="67"/>
      <c r="X443" s="67"/>
      <c r="Y443" s="67"/>
      <c r="AB443" s="67"/>
      <c r="AC443" s="67"/>
      <c r="AD443" s="67"/>
      <c r="AG443" s="67"/>
      <c r="AH443" s="67"/>
      <c r="AI443" s="67"/>
    </row>
    <row r="444" spans="18:35">
      <c r="R444" s="67"/>
      <c r="S444" s="67"/>
      <c r="T444" s="67"/>
      <c r="W444" s="67"/>
      <c r="X444" s="67"/>
      <c r="Y444" s="67"/>
      <c r="AB444" s="67"/>
      <c r="AC444" s="67"/>
      <c r="AD444" s="67"/>
      <c r="AG444" s="67"/>
      <c r="AH444" s="67"/>
      <c r="AI444" s="67"/>
    </row>
    <row r="445" spans="18:35">
      <c r="R445" s="67"/>
      <c r="S445" s="67"/>
      <c r="T445" s="67"/>
      <c r="W445" s="67"/>
      <c r="X445" s="67"/>
      <c r="Y445" s="67"/>
      <c r="AB445" s="67"/>
      <c r="AC445" s="67"/>
      <c r="AD445" s="67"/>
      <c r="AG445" s="67"/>
      <c r="AH445" s="67"/>
      <c r="AI445" s="67"/>
    </row>
    <row r="446" spans="18:35">
      <c r="R446" s="67"/>
      <c r="S446" s="67"/>
      <c r="T446" s="67"/>
      <c r="W446" s="67"/>
      <c r="X446" s="67"/>
      <c r="Y446" s="67"/>
      <c r="AB446" s="67"/>
      <c r="AC446" s="67"/>
      <c r="AD446" s="67"/>
      <c r="AG446" s="67"/>
      <c r="AH446" s="67"/>
      <c r="AI446" s="67"/>
    </row>
    <row r="447" spans="18:35">
      <c r="R447" s="67"/>
      <c r="S447" s="67"/>
      <c r="T447" s="67"/>
      <c r="W447" s="67"/>
      <c r="X447" s="67"/>
      <c r="Y447" s="67"/>
      <c r="AB447" s="67"/>
      <c r="AC447" s="67"/>
      <c r="AD447" s="67"/>
      <c r="AG447" s="67"/>
      <c r="AH447" s="67"/>
      <c r="AI447" s="67"/>
    </row>
    <row r="448" spans="18:35">
      <c r="R448" s="67"/>
      <c r="S448" s="67"/>
      <c r="T448" s="67"/>
      <c r="W448" s="67"/>
      <c r="X448" s="67"/>
      <c r="Y448" s="67"/>
      <c r="AB448" s="67"/>
      <c r="AC448" s="67"/>
      <c r="AD448" s="67"/>
      <c r="AG448" s="67"/>
      <c r="AH448" s="67"/>
      <c r="AI448" s="67"/>
    </row>
    <row r="449" spans="18:35">
      <c r="R449" s="67"/>
      <c r="S449" s="67"/>
      <c r="T449" s="67"/>
      <c r="W449" s="67"/>
      <c r="X449" s="67"/>
      <c r="Y449" s="67"/>
      <c r="AB449" s="67"/>
      <c r="AC449" s="67"/>
      <c r="AD449" s="67"/>
      <c r="AG449" s="67"/>
      <c r="AH449" s="67"/>
      <c r="AI449" s="67"/>
    </row>
    <row r="450" spans="18:35">
      <c r="R450" s="67"/>
      <c r="S450" s="67"/>
      <c r="T450" s="67"/>
      <c r="W450" s="67"/>
      <c r="X450" s="67"/>
      <c r="Y450" s="67"/>
      <c r="AB450" s="67"/>
      <c r="AC450" s="67"/>
      <c r="AD450" s="67"/>
      <c r="AG450" s="67"/>
      <c r="AH450" s="67"/>
      <c r="AI450" s="67"/>
    </row>
    <row r="451" spans="18:35">
      <c r="R451" s="67"/>
      <c r="S451" s="67"/>
      <c r="T451" s="67"/>
      <c r="W451" s="67"/>
      <c r="X451" s="67"/>
      <c r="Y451" s="67"/>
      <c r="AB451" s="67"/>
      <c r="AC451" s="67"/>
      <c r="AD451" s="67"/>
      <c r="AG451" s="67"/>
      <c r="AH451" s="67"/>
      <c r="AI451" s="67"/>
    </row>
    <row r="452" spans="18:35">
      <c r="R452" s="67"/>
      <c r="S452" s="67"/>
      <c r="T452" s="67"/>
      <c r="W452" s="67"/>
      <c r="X452" s="67"/>
      <c r="Y452" s="67"/>
      <c r="AB452" s="67"/>
      <c r="AC452" s="67"/>
      <c r="AD452" s="67"/>
      <c r="AG452" s="67"/>
      <c r="AH452" s="67"/>
      <c r="AI452" s="67"/>
    </row>
    <row r="453" spans="18:35">
      <c r="R453" s="67"/>
      <c r="S453" s="67"/>
      <c r="T453" s="67"/>
      <c r="W453" s="67"/>
      <c r="X453" s="67"/>
      <c r="Y453" s="67"/>
      <c r="AB453" s="67"/>
      <c r="AC453" s="67"/>
      <c r="AD453" s="67"/>
      <c r="AG453" s="67"/>
      <c r="AH453" s="67"/>
      <c r="AI453" s="67"/>
    </row>
    <row r="454" spans="18:35">
      <c r="R454" s="67"/>
      <c r="S454" s="67"/>
      <c r="T454" s="67"/>
      <c r="W454" s="67"/>
      <c r="X454" s="67"/>
      <c r="Y454" s="67"/>
      <c r="AB454" s="67"/>
      <c r="AC454" s="67"/>
      <c r="AD454" s="67"/>
      <c r="AG454" s="67"/>
      <c r="AH454" s="67"/>
      <c r="AI454" s="67"/>
    </row>
    <row r="455" spans="18:35">
      <c r="R455" s="67"/>
      <c r="S455" s="67"/>
      <c r="T455" s="67"/>
      <c r="W455" s="67"/>
      <c r="X455" s="67"/>
      <c r="Y455" s="67"/>
      <c r="AB455" s="67"/>
      <c r="AC455" s="67"/>
      <c r="AD455" s="67"/>
      <c r="AG455" s="67"/>
      <c r="AH455" s="67"/>
      <c r="AI455" s="67"/>
    </row>
    <row r="456" spans="18:35">
      <c r="R456" s="67"/>
      <c r="S456" s="67"/>
      <c r="T456" s="67"/>
      <c r="W456" s="67"/>
      <c r="X456" s="67"/>
      <c r="Y456" s="67"/>
      <c r="AB456" s="67"/>
      <c r="AC456" s="67"/>
      <c r="AD456" s="67"/>
      <c r="AG456" s="67"/>
      <c r="AH456" s="67"/>
      <c r="AI456" s="67"/>
    </row>
    <row r="457" spans="18:35">
      <c r="R457" s="67"/>
      <c r="S457" s="67"/>
      <c r="T457" s="67"/>
      <c r="W457" s="67"/>
      <c r="X457" s="67"/>
      <c r="Y457" s="67"/>
      <c r="AB457" s="67"/>
      <c r="AC457" s="67"/>
      <c r="AD457" s="67"/>
      <c r="AG457" s="67"/>
      <c r="AH457" s="67"/>
      <c r="AI457" s="67"/>
    </row>
    <row r="458" spans="18:35">
      <c r="R458" s="67"/>
      <c r="S458" s="67"/>
      <c r="T458" s="67"/>
      <c r="W458" s="67"/>
      <c r="X458" s="67"/>
      <c r="Y458" s="67"/>
      <c r="AB458" s="67"/>
      <c r="AC458" s="67"/>
      <c r="AD458" s="67"/>
      <c r="AG458" s="67"/>
      <c r="AH458" s="67"/>
      <c r="AI458" s="67"/>
    </row>
    <row r="459" spans="18:35">
      <c r="AG459" s="67"/>
      <c r="AH459" s="67"/>
      <c r="AI459" s="67"/>
    </row>
  </sheetData>
  <sheetProtection algorithmName="SHA-512" hashValue="dBywY4BO1U/klAmHKvw0V3Fmu4EQkT1PdqJSxtx6GtIek2jVRIsIWrcI5o/cjYxILAol14sq7PTfna6KbO2EHw==" saltValue="HAXvKz3tzxG7XY6Co8jV7w==" spinCount="100000" sheet="1" objects="1" scenarios="1" selectLockedCells="1"/>
  <mergeCells count="3">
    <mergeCell ref="F73:H73"/>
    <mergeCell ref="O3:P3"/>
    <mergeCell ref="A1:Q1"/>
  </mergeCells>
  <phoneticPr fontId="5" type="noConversion"/>
  <conditionalFormatting sqref="E12">
    <cfRule type="cellIs" dxfId="24" priority="23" stopIfTrue="1" operator="notBetween">
      <formula>1000</formula>
      <formula>100</formula>
    </cfRule>
    <cfRule type="cellIs" dxfId="23" priority="24" stopIfTrue="1" operator="notBetween">
      <formula>$E$11*0.8</formula>
      <formula>$E$11*1.5</formula>
    </cfRule>
  </conditionalFormatting>
  <conditionalFormatting sqref="E11">
    <cfRule type="cellIs" dxfId="22" priority="26" stopIfTrue="1" operator="notBetween">
      <formula>1000</formula>
      <formula>100</formula>
    </cfRule>
    <cfRule type="cellIs" dxfId="21" priority="27" stopIfTrue="1" operator="notBetween">
      <formula>$E$12/1.5</formula>
      <formula>$E$12/0.8</formula>
    </cfRule>
  </conditionalFormatting>
  <conditionalFormatting sqref="E31">
    <cfRule type="cellIs" dxfId="20" priority="20" stopIfTrue="1" operator="lessThanOrEqual">
      <formula>0</formula>
    </cfRule>
  </conditionalFormatting>
  <conditionalFormatting sqref="E33">
    <cfRule type="cellIs" dxfId="19" priority="19" stopIfTrue="1" operator="lessThan">
      <formula>$E$32</formula>
    </cfRule>
  </conditionalFormatting>
  <conditionalFormatting sqref="E35">
    <cfRule type="cellIs" dxfId="18" priority="18" stopIfTrue="1" operator="greaterThan">
      <formula>$E$34</formula>
    </cfRule>
  </conditionalFormatting>
  <conditionalFormatting sqref="E40">
    <cfRule type="cellIs" dxfId="17" priority="16" stopIfTrue="1" operator="equal">
      <formula>0</formula>
    </cfRule>
  </conditionalFormatting>
  <conditionalFormatting sqref="E42">
    <cfRule type="cellIs" dxfId="16" priority="15" stopIfTrue="1" operator="lessThan">
      <formula>$E$41</formula>
    </cfRule>
  </conditionalFormatting>
  <conditionalFormatting sqref="E44">
    <cfRule type="cellIs" dxfId="15" priority="13" stopIfTrue="1" operator="greaterThan">
      <formula>$E$43</formula>
    </cfRule>
    <cfRule type="cellIs" dxfId="14" priority="14" stopIfTrue="1" operator="equal">
      <formula>0</formula>
    </cfRule>
  </conditionalFormatting>
  <conditionalFormatting sqref="E51">
    <cfRule type="cellIs" dxfId="13" priority="11" operator="notBetween">
      <formula>VIN_MIN_RATING</formula>
      <formula>VIN_MAX_RATING</formula>
    </cfRule>
  </conditionalFormatting>
  <conditionalFormatting sqref="E52">
    <cfRule type="cellIs" dxfId="12" priority="10" operator="notBetween">
      <formula>VIN_MIN_RATING</formula>
      <formula>VIN_MAX_RATING</formula>
    </cfRule>
  </conditionalFormatting>
  <conditionalFormatting sqref="E9">
    <cfRule type="cellIs" dxfId="11" priority="28" operator="greaterThan">
      <formula>$E$7</formula>
    </cfRule>
    <cfRule type="cellIs" dxfId="10" priority="29" stopIfTrue="1" operator="notBetween">
      <formula>0.8</formula>
      <formula>VOUT_MAX_RATING</formula>
    </cfRule>
  </conditionalFormatting>
  <conditionalFormatting sqref="E6:E8">
    <cfRule type="cellIs" dxfId="9" priority="7" operator="notBetween">
      <formula>VIN_MIN_RATING</formula>
      <formula>VIN_MAX_RATING</formula>
    </cfRule>
  </conditionalFormatting>
  <conditionalFormatting sqref="D24:F24">
    <cfRule type="expression" dxfId="8" priority="3">
      <formula>RDSON_sense=1</formula>
    </cfRule>
  </conditionalFormatting>
  <hyperlinks>
    <hyperlink ref="C3" r:id="rId1" xr:uid="{00000000-0004-0000-0000-000000000000}"/>
  </hyperlinks>
  <printOptions horizontalCentered="1" verticalCentered="1"/>
  <pageMargins left="0.1" right="0.17" top="0.25" bottom="0.25" header="0.25" footer="0.25"/>
  <pageSetup scale="47" orientation="portrait" r:id="rId2"/>
  <headerFooter alignWithMargins="0"/>
  <rowBreaks count="1" manualBreakCount="1">
    <brk id="111" max="16" man="1"/>
  </rowBreaks>
  <ignoredErrors>
    <ignoredError sqref="E72" unlockedFormula="1"/>
  </ignoredError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73565" r:id="rId6" name="Button 797">
              <controlPr locked="0" defaultSize="0" print="0" autoFill="0" autoPict="0" macro="[0]!FIXValues">
                <anchor moveWithCells="1" sizeWithCells="1">
                  <from>
                    <xdr:col>2</xdr:col>
                    <xdr:colOff>393700</xdr:colOff>
                    <xdr:row>74</xdr:row>
                    <xdr:rowOff>12700</xdr:rowOff>
                  </from>
                  <to>
                    <xdr:col>3</xdr:col>
                    <xdr:colOff>12700</xdr:colOff>
                    <xdr:row>77</xdr:row>
                    <xdr:rowOff>25400</xdr:rowOff>
                  </to>
                </anchor>
              </controlPr>
            </control>
          </mc:Choice>
        </mc:AlternateContent>
        <mc:AlternateContent xmlns:mc="http://schemas.openxmlformats.org/markup-compatibility/2006">
          <mc:Choice Requires="x14">
            <control shapeId="673566" r:id="rId7" name="Button 798">
              <controlPr locked="0" defaultSize="0" print="0" autoFill="0" autoPict="0" macro="[0]!RESETValues">
                <anchor moveWithCells="1" sizeWithCells="1">
                  <from>
                    <xdr:col>2</xdr:col>
                    <xdr:colOff>393700</xdr:colOff>
                    <xdr:row>74</xdr:row>
                    <xdr:rowOff>12700</xdr:rowOff>
                  </from>
                  <to>
                    <xdr:col>3</xdr:col>
                    <xdr:colOff>12700</xdr:colOff>
                    <xdr:row>77</xdr:row>
                    <xdr:rowOff>25400</xdr:rowOff>
                  </to>
                </anchor>
              </controlPr>
            </control>
          </mc:Choice>
        </mc:AlternateContent>
        <mc:AlternateContent xmlns:mc="http://schemas.openxmlformats.org/markup-compatibility/2006">
          <mc:Choice Requires="x14">
            <control shapeId="683100" r:id="rId8" name="Drop Down 1116">
              <controlPr defaultSize="0" autoLine="0" autoPict="0">
                <anchor moveWithCells="1">
                  <from>
                    <xdr:col>16</xdr:col>
                    <xdr:colOff>1701800</xdr:colOff>
                    <xdr:row>0</xdr:row>
                    <xdr:rowOff>444500</xdr:rowOff>
                  </from>
                  <to>
                    <xdr:col>16</xdr:col>
                    <xdr:colOff>2082800</xdr:colOff>
                    <xdr:row>1</xdr:row>
                    <xdr:rowOff>25400</xdr:rowOff>
                  </to>
                </anchor>
              </controlPr>
            </control>
          </mc:Choice>
        </mc:AlternateContent>
        <mc:AlternateContent xmlns:mc="http://schemas.openxmlformats.org/markup-compatibility/2006">
          <mc:Choice Requires="x14">
            <control shapeId="672829" r:id="rId9" name="Spinner 61">
              <controlPr defaultSize="0" autoPict="0">
                <anchor moveWithCells="1" sizeWithCells="1">
                  <from>
                    <xdr:col>5</xdr:col>
                    <xdr:colOff>0</xdr:colOff>
                    <xdr:row>59</xdr:row>
                    <xdr:rowOff>165100</xdr:rowOff>
                  </from>
                  <to>
                    <xdr:col>5</xdr:col>
                    <xdr:colOff>177800</xdr:colOff>
                    <xdr:row>61</xdr:row>
                    <xdr:rowOff>12700</xdr:rowOff>
                  </to>
                </anchor>
              </controlPr>
            </control>
          </mc:Choice>
        </mc:AlternateContent>
        <mc:AlternateContent xmlns:mc="http://schemas.openxmlformats.org/markup-compatibility/2006">
          <mc:Choice Requires="x14">
            <control shapeId="672830" r:id="rId10" name="Spinner 62">
              <controlPr defaultSize="0" autoPict="0">
                <anchor moveWithCells="1" sizeWithCells="1">
                  <from>
                    <xdr:col>5</xdr:col>
                    <xdr:colOff>0</xdr:colOff>
                    <xdr:row>66</xdr:row>
                    <xdr:rowOff>0</xdr:rowOff>
                  </from>
                  <to>
                    <xdr:col>5</xdr:col>
                    <xdr:colOff>177800</xdr:colOff>
                    <xdr:row>67</xdr:row>
                    <xdr:rowOff>0</xdr:rowOff>
                  </to>
                </anchor>
              </controlPr>
            </control>
          </mc:Choice>
        </mc:AlternateContent>
        <mc:AlternateContent xmlns:mc="http://schemas.openxmlformats.org/markup-compatibility/2006">
          <mc:Choice Requires="x14">
            <control shapeId="672831" r:id="rId11" name="Spinner 63">
              <controlPr defaultSize="0" autoPict="0">
                <anchor moveWithCells="1" sizeWithCells="1">
                  <from>
                    <xdr:col>5</xdr:col>
                    <xdr:colOff>0</xdr:colOff>
                    <xdr:row>67</xdr:row>
                    <xdr:rowOff>0</xdr:rowOff>
                  </from>
                  <to>
                    <xdr:col>5</xdr:col>
                    <xdr:colOff>177800</xdr:colOff>
                    <xdr:row>67</xdr:row>
                    <xdr:rowOff>190500</xdr:rowOff>
                  </to>
                </anchor>
              </controlPr>
            </control>
          </mc:Choice>
        </mc:AlternateContent>
        <mc:AlternateContent xmlns:mc="http://schemas.openxmlformats.org/markup-compatibility/2006">
          <mc:Choice Requires="x14">
            <control shapeId="672832" r:id="rId12" name="Spinner 64">
              <controlPr defaultSize="0" autoPict="0">
                <anchor moveWithCells="1" sizeWithCells="1">
                  <from>
                    <xdr:col>5</xdr:col>
                    <xdr:colOff>0</xdr:colOff>
                    <xdr:row>68</xdr:row>
                    <xdr:rowOff>0</xdr:rowOff>
                  </from>
                  <to>
                    <xdr:col>5</xdr:col>
                    <xdr:colOff>177800</xdr:colOff>
                    <xdr:row>68</xdr:row>
                    <xdr:rowOff>190500</xdr:rowOff>
                  </to>
                </anchor>
              </controlPr>
            </control>
          </mc:Choice>
        </mc:AlternateContent>
        <mc:AlternateContent xmlns:mc="http://schemas.openxmlformats.org/markup-compatibility/2006">
          <mc:Choice Requires="x14">
            <control shapeId="672833" r:id="rId13" name="Spinner 65">
              <controlPr defaultSize="0" autoPict="0">
                <anchor moveWithCells="1" sizeWithCells="1">
                  <from>
                    <xdr:col>5</xdr:col>
                    <xdr:colOff>0</xdr:colOff>
                    <xdr:row>69</xdr:row>
                    <xdr:rowOff>0</xdr:rowOff>
                  </from>
                  <to>
                    <xdr:col>5</xdr:col>
                    <xdr:colOff>177800</xdr:colOff>
                    <xdr:row>69</xdr:row>
                    <xdr:rowOff>190500</xdr:rowOff>
                  </to>
                </anchor>
              </controlPr>
            </control>
          </mc:Choice>
        </mc:AlternateContent>
        <mc:AlternateContent xmlns:mc="http://schemas.openxmlformats.org/markup-compatibility/2006">
          <mc:Choice Requires="x14">
            <control shapeId="672871" r:id="rId14" name="Drop Down 103">
              <controlPr defaultSize="0" autoLine="0" autoPict="0">
                <anchor moveWithCells="1">
                  <from>
                    <xdr:col>0</xdr:col>
                    <xdr:colOff>12700</xdr:colOff>
                    <xdr:row>23</xdr:row>
                    <xdr:rowOff>0</xdr:rowOff>
                  </from>
                  <to>
                    <xdr:col>1</xdr:col>
                    <xdr:colOff>520700</xdr:colOff>
                    <xdr:row>24</xdr:row>
                    <xdr:rowOff>0</xdr:rowOff>
                  </to>
                </anchor>
              </controlPr>
            </control>
          </mc:Choice>
        </mc:AlternateContent>
        <mc:AlternateContent xmlns:mc="http://schemas.openxmlformats.org/markup-compatibility/2006">
          <mc:Choice Requires="x14">
            <control shapeId="683041" r:id="rId15" name="Drop Down 1057">
              <controlPr locked="0" defaultSize="0" autoLine="0" autoPict="0">
                <anchor moveWithCells="1">
                  <from>
                    <xdr:col>4</xdr:col>
                    <xdr:colOff>38100</xdr:colOff>
                    <xdr:row>3</xdr:row>
                    <xdr:rowOff>177800</xdr:rowOff>
                  </from>
                  <to>
                    <xdr:col>6</xdr:col>
                    <xdr:colOff>0</xdr:colOff>
                    <xdr:row>4</xdr:row>
                    <xdr:rowOff>241300</xdr:rowOff>
                  </to>
                </anchor>
              </controlPr>
            </control>
          </mc:Choice>
        </mc:AlternateContent>
        <mc:AlternateContent xmlns:mc="http://schemas.openxmlformats.org/markup-compatibility/2006">
          <mc:Choice Requires="x14">
            <control shapeId="683134" r:id="rId16" name="Drop Down 1150">
              <controlPr defaultSize="0" autoLine="0" autoPict="0">
                <anchor moveWithCells="1">
                  <from>
                    <xdr:col>0</xdr:col>
                    <xdr:colOff>25400</xdr:colOff>
                    <xdr:row>106</xdr:row>
                    <xdr:rowOff>0</xdr:rowOff>
                  </from>
                  <to>
                    <xdr:col>2</xdr:col>
                    <xdr:colOff>203200</xdr:colOff>
                    <xdr:row>107</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7A020C5F-9345-43EA-822E-8A1B038AD51E}">
            <xm:f>'Variable Management'!$B$18&lt;140</xm:f>
            <x14:dxf>
              <font>
                <color rgb="FFFF0000"/>
              </font>
            </x14:dxf>
          </x14:cfRule>
          <xm:sqref>E6</xm:sqref>
        </x14:conditionalFormatting>
        <x14:conditionalFormatting xmlns:xm="http://schemas.microsoft.com/office/excel/2006/main">
          <x14:cfRule type="expression" priority="1" id="{A84700B2-9D6A-4FAA-BAEF-6285CF5F700C}">
            <xm:f>'Variable Management'!$B$17&lt;40</xm:f>
            <x14:dxf>
              <font>
                <color rgb="FFFF0000"/>
              </font>
            </x14:dxf>
          </x14:cfRule>
          <xm:sqref>E8</xm:sqref>
        </x14:conditionalFormatting>
        <x14:conditionalFormatting xmlns:xm="http://schemas.microsoft.com/office/excel/2006/main">
          <x14:cfRule type="expression" priority="30" id="{07A203AC-6DB1-4954-A98A-B7A4EB5F4CBB}">
            <xm:f>'Variable Management'!$M$56=1</xm:f>
            <x14:dxf>
              <font>
                <color theme="0"/>
              </font>
            </x14:dxf>
          </x14:cfRule>
          <xm:sqref>D28:F28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00FF"/>
  </sheetPr>
  <dimension ref="A1:S455"/>
  <sheetViews>
    <sheetView zoomScale="85" zoomScaleNormal="85" workbookViewId="0">
      <selection activeCell="A36" sqref="A36"/>
    </sheetView>
  </sheetViews>
  <sheetFormatPr defaultColWidth="8.85546875" defaultRowHeight="12.95"/>
  <cols>
    <col min="1" max="1" width="8.7109375" style="220" bestFit="1" customWidth="1"/>
    <col min="2" max="2" width="14.85546875" style="220" customWidth="1"/>
    <col min="3" max="3" width="16.140625" style="220" bestFit="1" customWidth="1"/>
    <col min="4" max="4" width="20.140625" style="220" customWidth="1"/>
    <col min="5" max="5" width="17.28515625" style="220" customWidth="1"/>
    <col min="6" max="6" width="20.42578125" style="220" bestFit="1" customWidth="1"/>
    <col min="7" max="7" width="9.7109375" style="220" customWidth="1"/>
    <col min="8" max="8" width="16.140625" style="220" customWidth="1"/>
    <col min="9" max="9" width="18.7109375" style="220" customWidth="1"/>
    <col min="10" max="10" width="12.7109375" style="220" customWidth="1"/>
    <col min="11" max="11" width="17.140625" style="220" customWidth="1"/>
    <col min="12" max="12" width="13.85546875" style="220" customWidth="1"/>
    <col min="13" max="13" width="9.140625" style="221"/>
    <col min="14" max="16" width="9.140625" style="220"/>
    <col min="17" max="17" width="4.85546875" style="220" customWidth="1"/>
    <col min="18" max="256" width="9.140625" style="220"/>
    <col min="257" max="257" width="8.7109375" style="220" bestFit="1" customWidth="1"/>
    <col min="258" max="258" width="13.28515625" style="220" customWidth="1"/>
    <col min="259" max="259" width="16.140625" style="220" bestFit="1" customWidth="1"/>
    <col min="260" max="260" width="23.42578125" style="220" customWidth="1"/>
    <col min="261" max="261" width="17.28515625" style="220" customWidth="1"/>
    <col min="262" max="262" width="20.42578125" style="220" bestFit="1" customWidth="1"/>
    <col min="263" max="263" width="17.140625" style="220" customWidth="1"/>
    <col min="264" max="264" width="21.85546875" style="220" bestFit="1" customWidth="1"/>
    <col min="265" max="265" width="17.140625" style="220" bestFit="1" customWidth="1"/>
    <col min="266" max="266" width="18.140625" style="220" bestFit="1" customWidth="1"/>
    <col min="267" max="267" width="26.42578125" style="220" customWidth="1"/>
    <col min="268" max="512" width="9.140625" style="220"/>
    <col min="513" max="513" width="8.7109375" style="220" bestFit="1" customWidth="1"/>
    <col min="514" max="514" width="13.28515625" style="220" customWidth="1"/>
    <col min="515" max="515" width="16.140625" style="220" bestFit="1" customWidth="1"/>
    <col min="516" max="516" width="23.42578125" style="220" customWidth="1"/>
    <col min="517" max="517" width="17.28515625" style="220" customWidth="1"/>
    <col min="518" max="518" width="20.42578125" style="220" bestFit="1" customWidth="1"/>
    <col min="519" max="519" width="17.140625" style="220" customWidth="1"/>
    <col min="520" max="520" width="21.85546875" style="220" bestFit="1" customWidth="1"/>
    <col min="521" max="521" width="17.140625" style="220" bestFit="1" customWidth="1"/>
    <col min="522" max="522" width="18.140625" style="220" bestFit="1" customWidth="1"/>
    <col min="523" max="523" width="26.42578125" style="220" customWidth="1"/>
    <col min="524" max="768" width="9.140625" style="220"/>
    <col min="769" max="769" width="8.7109375" style="220" bestFit="1" customWidth="1"/>
    <col min="770" max="770" width="13.28515625" style="220" customWidth="1"/>
    <col min="771" max="771" width="16.140625" style="220" bestFit="1" customWidth="1"/>
    <col min="772" max="772" width="23.42578125" style="220" customWidth="1"/>
    <col min="773" max="773" width="17.28515625" style="220" customWidth="1"/>
    <col min="774" max="774" width="20.42578125" style="220" bestFit="1" customWidth="1"/>
    <col min="775" max="775" width="17.140625" style="220" customWidth="1"/>
    <col min="776" max="776" width="21.85546875" style="220" bestFit="1" customWidth="1"/>
    <col min="777" max="777" width="17.140625" style="220" bestFit="1" customWidth="1"/>
    <col min="778" max="778" width="18.140625" style="220" bestFit="1" customWidth="1"/>
    <col min="779" max="779" width="26.42578125" style="220" customWidth="1"/>
    <col min="780" max="1024" width="9.140625" style="220"/>
    <col min="1025" max="1025" width="8.7109375" style="220" bestFit="1" customWidth="1"/>
    <col min="1026" max="1026" width="13.28515625" style="220" customWidth="1"/>
    <col min="1027" max="1027" width="16.140625" style="220" bestFit="1" customWidth="1"/>
    <col min="1028" max="1028" width="23.42578125" style="220" customWidth="1"/>
    <col min="1029" max="1029" width="17.28515625" style="220" customWidth="1"/>
    <col min="1030" max="1030" width="20.42578125" style="220" bestFit="1" customWidth="1"/>
    <col min="1031" max="1031" width="17.140625" style="220" customWidth="1"/>
    <col min="1032" max="1032" width="21.85546875" style="220" bestFit="1" customWidth="1"/>
    <col min="1033" max="1033" width="17.140625" style="220" bestFit="1" customWidth="1"/>
    <col min="1034" max="1034" width="18.140625" style="220" bestFit="1" customWidth="1"/>
    <col min="1035" max="1035" width="26.42578125" style="220" customWidth="1"/>
    <col min="1036" max="1280" width="9.140625" style="220"/>
    <col min="1281" max="1281" width="8.7109375" style="220" bestFit="1" customWidth="1"/>
    <col min="1282" max="1282" width="13.28515625" style="220" customWidth="1"/>
    <col min="1283" max="1283" width="16.140625" style="220" bestFit="1" customWidth="1"/>
    <col min="1284" max="1284" width="23.42578125" style="220" customWidth="1"/>
    <col min="1285" max="1285" width="17.28515625" style="220" customWidth="1"/>
    <col min="1286" max="1286" width="20.42578125" style="220" bestFit="1" customWidth="1"/>
    <col min="1287" max="1287" width="17.140625" style="220" customWidth="1"/>
    <col min="1288" max="1288" width="21.85546875" style="220" bestFit="1" customWidth="1"/>
    <col min="1289" max="1289" width="17.140625" style="220" bestFit="1" customWidth="1"/>
    <col min="1290" max="1290" width="18.140625" style="220" bestFit="1" customWidth="1"/>
    <col min="1291" max="1291" width="26.42578125" style="220" customWidth="1"/>
    <col min="1292" max="1536" width="9.140625" style="220"/>
    <col min="1537" max="1537" width="8.7109375" style="220" bestFit="1" customWidth="1"/>
    <col min="1538" max="1538" width="13.28515625" style="220" customWidth="1"/>
    <col min="1539" max="1539" width="16.140625" style="220" bestFit="1" customWidth="1"/>
    <col min="1540" max="1540" width="23.42578125" style="220" customWidth="1"/>
    <col min="1541" max="1541" width="17.28515625" style="220" customWidth="1"/>
    <col min="1542" max="1542" width="20.42578125" style="220" bestFit="1" customWidth="1"/>
    <col min="1543" max="1543" width="17.140625" style="220" customWidth="1"/>
    <col min="1544" max="1544" width="21.85546875" style="220" bestFit="1" customWidth="1"/>
    <col min="1545" max="1545" width="17.140625" style="220" bestFit="1" customWidth="1"/>
    <col min="1546" max="1546" width="18.140625" style="220" bestFit="1" customWidth="1"/>
    <col min="1547" max="1547" width="26.42578125" style="220" customWidth="1"/>
    <col min="1548" max="1792" width="9.140625" style="220"/>
    <col min="1793" max="1793" width="8.7109375" style="220" bestFit="1" customWidth="1"/>
    <col min="1794" max="1794" width="13.28515625" style="220" customWidth="1"/>
    <col min="1795" max="1795" width="16.140625" style="220" bestFit="1" customWidth="1"/>
    <col min="1796" max="1796" width="23.42578125" style="220" customWidth="1"/>
    <col min="1797" max="1797" width="17.28515625" style="220" customWidth="1"/>
    <col min="1798" max="1798" width="20.42578125" style="220" bestFit="1" customWidth="1"/>
    <col min="1799" max="1799" width="17.140625" style="220" customWidth="1"/>
    <col min="1800" max="1800" width="21.85546875" style="220" bestFit="1" customWidth="1"/>
    <col min="1801" max="1801" width="17.140625" style="220" bestFit="1" customWidth="1"/>
    <col min="1802" max="1802" width="18.140625" style="220" bestFit="1" customWidth="1"/>
    <col min="1803" max="1803" width="26.42578125" style="220" customWidth="1"/>
    <col min="1804" max="2048" width="9.140625" style="220"/>
    <col min="2049" max="2049" width="8.7109375" style="220" bestFit="1" customWidth="1"/>
    <col min="2050" max="2050" width="13.28515625" style="220" customWidth="1"/>
    <col min="2051" max="2051" width="16.140625" style="220" bestFit="1" customWidth="1"/>
    <col min="2052" max="2052" width="23.42578125" style="220" customWidth="1"/>
    <col min="2053" max="2053" width="17.28515625" style="220" customWidth="1"/>
    <col min="2054" max="2054" width="20.42578125" style="220" bestFit="1" customWidth="1"/>
    <col min="2055" max="2055" width="17.140625" style="220" customWidth="1"/>
    <col min="2056" max="2056" width="21.85546875" style="220" bestFit="1" customWidth="1"/>
    <col min="2057" max="2057" width="17.140625" style="220" bestFit="1" customWidth="1"/>
    <col min="2058" max="2058" width="18.140625" style="220" bestFit="1" customWidth="1"/>
    <col min="2059" max="2059" width="26.42578125" style="220" customWidth="1"/>
    <col min="2060" max="2304" width="9.140625" style="220"/>
    <col min="2305" max="2305" width="8.7109375" style="220" bestFit="1" customWidth="1"/>
    <col min="2306" max="2306" width="13.28515625" style="220" customWidth="1"/>
    <col min="2307" max="2307" width="16.140625" style="220" bestFit="1" customWidth="1"/>
    <col min="2308" max="2308" width="23.42578125" style="220" customWidth="1"/>
    <col min="2309" max="2309" width="17.28515625" style="220" customWidth="1"/>
    <col min="2310" max="2310" width="20.42578125" style="220" bestFit="1" customWidth="1"/>
    <col min="2311" max="2311" width="17.140625" style="220" customWidth="1"/>
    <col min="2312" max="2312" width="21.85546875" style="220" bestFit="1" customWidth="1"/>
    <col min="2313" max="2313" width="17.140625" style="220" bestFit="1" customWidth="1"/>
    <col min="2314" max="2314" width="18.140625" style="220" bestFit="1" customWidth="1"/>
    <col min="2315" max="2315" width="26.42578125" style="220" customWidth="1"/>
    <col min="2316" max="2560" width="9.140625" style="220"/>
    <col min="2561" max="2561" width="8.7109375" style="220" bestFit="1" customWidth="1"/>
    <col min="2562" max="2562" width="13.28515625" style="220" customWidth="1"/>
    <col min="2563" max="2563" width="16.140625" style="220" bestFit="1" customWidth="1"/>
    <col min="2564" max="2564" width="23.42578125" style="220" customWidth="1"/>
    <col min="2565" max="2565" width="17.28515625" style="220" customWidth="1"/>
    <col min="2566" max="2566" width="20.42578125" style="220" bestFit="1" customWidth="1"/>
    <col min="2567" max="2567" width="17.140625" style="220" customWidth="1"/>
    <col min="2568" max="2568" width="21.85546875" style="220" bestFit="1" customWidth="1"/>
    <col min="2569" max="2569" width="17.140625" style="220" bestFit="1" customWidth="1"/>
    <col min="2570" max="2570" width="18.140625" style="220" bestFit="1" customWidth="1"/>
    <col min="2571" max="2571" width="26.42578125" style="220" customWidth="1"/>
    <col min="2572" max="2816" width="9.140625" style="220"/>
    <col min="2817" max="2817" width="8.7109375" style="220" bestFit="1" customWidth="1"/>
    <col min="2818" max="2818" width="13.28515625" style="220" customWidth="1"/>
    <col min="2819" max="2819" width="16.140625" style="220" bestFit="1" customWidth="1"/>
    <col min="2820" max="2820" width="23.42578125" style="220" customWidth="1"/>
    <col min="2821" max="2821" width="17.28515625" style="220" customWidth="1"/>
    <col min="2822" max="2822" width="20.42578125" style="220" bestFit="1" customWidth="1"/>
    <col min="2823" max="2823" width="17.140625" style="220" customWidth="1"/>
    <col min="2824" max="2824" width="21.85546875" style="220" bestFit="1" customWidth="1"/>
    <col min="2825" max="2825" width="17.140625" style="220" bestFit="1" customWidth="1"/>
    <col min="2826" max="2826" width="18.140625" style="220" bestFit="1" customWidth="1"/>
    <col min="2827" max="2827" width="26.42578125" style="220" customWidth="1"/>
    <col min="2828" max="3072" width="9.140625" style="220"/>
    <col min="3073" max="3073" width="8.7109375" style="220" bestFit="1" customWidth="1"/>
    <col min="3074" max="3074" width="13.28515625" style="220" customWidth="1"/>
    <col min="3075" max="3075" width="16.140625" style="220" bestFit="1" customWidth="1"/>
    <col min="3076" max="3076" width="23.42578125" style="220" customWidth="1"/>
    <col min="3077" max="3077" width="17.28515625" style="220" customWidth="1"/>
    <col min="3078" max="3078" width="20.42578125" style="220" bestFit="1" customWidth="1"/>
    <col min="3079" max="3079" width="17.140625" style="220" customWidth="1"/>
    <col min="3080" max="3080" width="21.85546875" style="220" bestFit="1" customWidth="1"/>
    <col min="3081" max="3081" width="17.140625" style="220" bestFit="1" customWidth="1"/>
    <col min="3082" max="3082" width="18.140625" style="220" bestFit="1" customWidth="1"/>
    <col min="3083" max="3083" width="26.42578125" style="220" customWidth="1"/>
    <col min="3084" max="3328" width="9.140625" style="220"/>
    <col min="3329" max="3329" width="8.7109375" style="220" bestFit="1" customWidth="1"/>
    <col min="3330" max="3330" width="13.28515625" style="220" customWidth="1"/>
    <col min="3331" max="3331" width="16.140625" style="220" bestFit="1" customWidth="1"/>
    <col min="3332" max="3332" width="23.42578125" style="220" customWidth="1"/>
    <col min="3333" max="3333" width="17.28515625" style="220" customWidth="1"/>
    <col min="3334" max="3334" width="20.42578125" style="220" bestFit="1" customWidth="1"/>
    <col min="3335" max="3335" width="17.140625" style="220" customWidth="1"/>
    <col min="3336" max="3336" width="21.85546875" style="220" bestFit="1" customWidth="1"/>
    <col min="3337" max="3337" width="17.140625" style="220" bestFit="1" customWidth="1"/>
    <col min="3338" max="3338" width="18.140625" style="220" bestFit="1" customWidth="1"/>
    <col min="3339" max="3339" width="26.42578125" style="220" customWidth="1"/>
    <col min="3340" max="3584" width="9.140625" style="220"/>
    <col min="3585" max="3585" width="8.7109375" style="220" bestFit="1" customWidth="1"/>
    <col min="3586" max="3586" width="13.28515625" style="220" customWidth="1"/>
    <col min="3587" max="3587" width="16.140625" style="220" bestFit="1" customWidth="1"/>
    <col min="3588" max="3588" width="23.42578125" style="220" customWidth="1"/>
    <col min="3589" max="3589" width="17.28515625" style="220" customWidth="1"/>
    <col min="3590" max="3590" width="20.42578125" style="220" bestFit="1" customWidth="1"/>
    <col min="3591" max="3591" width="17.140625" style="220" customWidth="1"/>
    <col min="3592" max="3592" width="21.85546875" style="220" bestFit="1" customWidth="1"/>
    <col min="3593" max="3593" width="17.140625" style="220" bestFit="1" customWidth="1"/>
    <col min="3594" max="3594" width="18.140625" style="220" bestFit="1" customWidth="1"/>
    <col min="3595" max="3595" width="26.42578125" style="220" customWidth="1"/>
    <col min="3596" max="3840" width="9.140625" style="220"/>
    <col min="3841" max="3841" width="8.7109375" style="220" bestFit="1" customWidth="1"/>
    <col min="3842" max="3842" width="13.28515625" style="220" customWidth="1"/>
    <col min="3843" max="3843" width="16.140625" style="220" bestFit="1" customWidth="1"/>
    <col min="3844" max="3844" width="23.42578125" style="220" customWidth="1"/>
    <col min="3845" max="3845" width="17.28515625" style="220" customWidth="1"/>
    <col min="3846" max="3846" width="20.42578125" style="220" bestFit="1" customWidth="1"/>
    <col min="3847" max="3847" width="17.140625" style="220" customWidth="1"/>
    <col min="3848" max="3848" width="21.85546875" style="220" bestFit="1" customWidth="1"/>
    <col min="3849" max="3849" width="17.140625" style="220" bestFit="1" customWidth="1"/>
    <col min="3850" max="3850" width="18.140625" style="220" bestFit="1" customWidth="1"/>
    <col min="3851" max="3851" width="26.42578125" style="220" customWidth="1"/>
    <col min="3852" max="4096" width="9.140625" style="220"/>
    <col min="4097" max="4097" width="8.7109375" style="220" bestFit="1" customWidth="1"/>
    <col min="4098" max="4098" width="13.28515625" style="220" customWidth="1"/>
    <col min="4099" max="4099" width="16.140625" style="220" bestFit="1" customWidth="1"/>
    <col min="4100" max="4100" width="23.42578125" style="220" customWidth="1"/>
    <col min="4101" max="4101" width="17.28515625" style="220" customWidth="1"/>
    <col min="4102" max="4102" width="20.42578125" style="220" bestFit="1" customWidth="1"/>
    <col min="4103" max="4103" width="17.140625" style="220" customWidth="1"/>
    <col min="4104" max="4104" width="21.85546875" style="220" bestFit="1" customWidth="1"/>
    <col min="4105" max="4105" width="17.140625" style="220" bestFit="1" customWidth="1"/>
    <col min="4106" max="4106" width="18.140625" style="220" bestFit="1" customWidth="1"/>
    <col min="4107" max="4107" width="26.42578125" style="220" customWidth="1"/>
    <col min="4108" max="4352" width="9.140625" style="220"/>
    <col min="4353" max="4353" width="8.7109375" style="220" bestFit="1" customWidth="1"/>
    <col min="4354" max="4354" width="13.28515625" style="220" customWidth="1"/>
    <col min="4355" max="4355" width="16.140625" style="220" bestFit="1" customWidth="1"/>
    <col min="4356" max="4356" width="23.42578125" style="220" customWidth="1"/>
    <col min="4357" max="4357" width="17.28515625" style="220" customWidth="1"/>
    <col min="4358" max="4358" width="20.42578125" style="220" bestFit="1" customWidth="1"/>
    <col min="4359" max="4359" width="17.140625" style="220" customWidth="1"/>
    <col min="4360" max="4360" width="21.85546875" style="220" bestFit="1" customWidth="1"/>
    <col min="4361" max="4361" width="17.140625" style="220" bestFit="1" customWidth="1"/>
    <col min="4362" max="4362" width="18.140625" style="220" bestFit="1" customWidth="1"/>
    <col min="4363" max="4363" width="26.42578125" style="220" customWidth="1"/>
    <col min="4364" max="4608" width="9.140625" style="220"/>
    <col min="4609" max="4609" width="8.7109375" style="220" bestFit="1" customWidth="1"/>
    <col min="4610" max="4610" width="13.28515625" style="220" customWidth="1"/>
    <col min="4611" max="4611" width="16.140625" style="220" bestFit="1" customWidth="1"/>
    <col min="4612" max="4612" width="23.42578125" style="220" customWidth="1"/>
    <col min="4613" max="4613" width="17.28515625" style="220" customWidth="1"/>
    <col min="4614" max="4614" width="20.42578125" style="220" bestFit="1" customWidth="1"/>
    <col min="4615" max="4615" width="17.140625" style="220" customWidth="1"/>
    <col min="4616" max="4616" width="21.85546875" style="220" bestFit="1" customWidth="1"/>
    <col min="4617" max="4617" width="17.140625" style="220" bestFit="1" customWidth="1"/>
    <col min="4618" max="4618" width="18.140625" style="220" bestFit="1" customWidth="1"/>
    <col min="4619" max="4619" width="26.42578125" style="220" customWidth="1"/>
    <col min="4620" max="4864" width="9.140625" style="220"/>
    <col min="4865" max="4865" width="8.7109375" style="220" bestFit="1" customWidth="1"/>
    <col min="4866" max="4866" width="13.28515625" style="220" customWidth="1"/>
    <col min="4867" max="4867" width="16.140625" style="220" bestFit="1" customWidth="1"/>
    <col min="4868" max="4868" width="23.42578125" style="220" customWidth="1"/>
    <col min="4869" max="4869" width="17.28515625" style="220" customWidth="1"/>
    <col min="4870" max="4870" width="20.42578125" style="220" bestFit="1" customWidth="1"/>
    <col min="4871" max="4871" width="17.140625" style="220" customWidth="1"/>
    <col min="4872" max="4872" width="21.85546875" style="220" bestFit="1" customWidth="1"/>
    <col min="4873" max="4873" width="17.140625" style="220" bestFit="1" customWidth="1"/>
    <col min="4874" max="4874" width="18.140625" style="220" bestFit="1" customWidth="1"/>
    <col min="4875" max="4875" width="26.42578125" style="220" customWidth="1"/>
    <col min="4876" max="5120" width="9.140625" style="220"/>
    <col min="5121" max="5121" width="8.7109375" style="220" bestFit="1" customWidth="1"/>
    <col min="5122" max="5122" width="13.28515625" style="220" customWidth="1"/>
    <col min="5123" max="5123" width="16.140625" style="220" bestFit="1" customWidth="1"/>
    <col min="5124" max="5124" width="23.42578125" style="220" customWidth="1"/>
    <col min="5125" max="5125" width="17.28515625" style="220" customWidth="1"/>
    <col min="5126" max="5126" width="20.42578125" style="220" bestFit="1" customWidth="1"/>
    <col min="5127" max="5127" width="17.140625" style="220" customWidth="1"/>
    <col min="5128" max="5128" width="21.85546875" style="220" bestFit="1" customWidth="1"/>
    <col min="5129" max="5129" width="17.140625" style="220" bestFit="1" customWidth="1"/>
    <col min="5130" max="5130" width="18.140625" style="220" bestFit="1" customWidth="1"/>
    <col min="5131" max="5131" width="26.42578125" style="220" customWidth="1"/>
    <col min="5132" max="5376" width="9.140625" style="220"/>
    <col min="5377" max="5377" width="8.7109375" style="220" bestFit="1" customWidth="1"/>
    <col min="5378" max="5378" width="13.28515625" style="220" customWidth="1"/>
    <col min="5379" max="5379" width="16.140625" style="220" bestFit="1" customWidth="1"/>
    <col min="5380" max="5380" width="23.42578125" style="220" customWidth="1"/>
    <col min="5381" max="5381" width="17.28515625" style="220" customWidth="1"/>
    <col min="5382" max="5382" width="20.42578125" style="220" bestFit="1" customWidth="1"/>
    <col min="5383" max="5383" width="17.140625" style="220" customWidth="1"/>
    <col min="5384" max="5384" width="21.85546875" style="220" bestFit="1" customWidth="1"/>
    <col min="5385" max="5385" width="17.140625" style="220" bestFit="1" customWidth="1"/>
    <col min="5386" max="5386" width="18.140625" style="220" bestFit="1" customWidth="1"/>
    <col min="5387" max="5387" width="26.42578125" style="220" customWidth="1"/>
    <col min="5388" max="5632" width="9.140625" style="220"/>
    <col min="5633" max="5633" width="8.7109375" style="220" bestFit="1" customWidth="1"/>
    <col min="5634" max="5634" width="13.28515625" style="220" customWidth="1"/>
    <col min="5635" max="5635" width="16.140625" style="220" bestFit="1" customWidth="1"/>
    <col min="5636" max="5636" width="23.42578125" style="220" customWidth="1"/>
    <col min="5637" max="5637" width="17.28515625" style="220" customWidth="1"/>
    <col min="5638" max="5638" width="20.42578125" style="220" bestFit="1" customWidth="1"/>
    <col min="5639" max="5639" width="17.140625" style="220" customWidth="1"/>
    <col min="5640" max="5640" width="21.85546875" style="220" bestFit="1" customWidth="1"/>
    <col min="5641" max="5641" width="17.140625" style="220" bestFit="1" customWidth="1"/>
    <col min="5642" max="5642" width="18.140625" style="220" bestFit="1" customWidth="1"/>
    <col min="5643" max="5643" width="26.42578125" style="220" customWidth="1"/>
    <col min="5644" max="5888" width="9.140625" style="220"/>
    <col min="5889" max="5889" width="8.7109375" style="220" bestFit="1" customWidth="1"/>
    <col min="5890" max="5890" width="13.28515625" style="220" customWidth="1"/>
    <col min="5891" max="5891" width="16.140625" style="220" bestFit="1" customWidth="1"/>
    <col min="5892" max="5892" width="23.42578125" style="220" customWidth="1"/>
    <col min="5893" max="5893" width="17.28515625" style="220" customWidth="1"/>
    <col min="5894" max="5894" width="20.42578125" style="220" bestFit="1" customWidth="1"/>
    <col min="5895" max="5895" width="17.140625" style="220" customWidth="1"/>
    <col min="5896" max="5896" width="21.85546875" style="220" bestFit="1" customWidth="1"/>
    <col min="5897" max="5897" width="17.140625" style="220" bestFit="1" customWidth="1"/>
    <col min="5898" max="5898" width="18.140625" style="220" bestFit="1" customWidth="1"/>
    <col min="5899" max="5899" width="26.42578125" style="220" customWidth="1"/>
    <col min="5900" max="6144" width="9.140625" style="220"/>
    <col min="6145" max="6145" width="8.7109375" style="220" bestFit="1" customWidth="1"/>
    <col min="6146" max="6146" width="13.28515625" style="220" customWidth="1"/>
    <col min="6147" max="6147" width="16.140625" style="220" bestFit="1" customWidth="1"/>
    <col min="6148" max="6148" width="23.42578125" style="220" customWidth="1"/>
    <col min="6149" max="6149" width="17.28515625" style="220" customWidth="1"/>
    <col min="6150" max="6150" width="20.42578125" style="220" bestFit="1" customWidth="1"/>
    <col min="6151" max="6151" width="17.140625" style="220" customWidth="1"/>
    <col min="6152" max="6152" width="21.85546875" style="220" bestFit="1" customWidth="1"/>
    <col min="6153" max="6153" width="17.140625" style="220" bestFit="1" customWidth="1"/>
    <col min="6154" max="6154" width="18.140625" style="220" bestFit="1" customWidth="1"/>
    <col min="6155" max="6155" width="26.42578125" style="220" customWidth="1"/>
    <col min="6156" max="6400" width="9.140625" style="220"/>
    <col min="6401" max="6401" width="8.7109375" style="220" bestFit="1" customWidth="1"/>
    <col min="6402" max="6402" width="13.28515625" style="220" customWidth="1"/>
    <col min="6403" max="6403" width="16.140625" style="220" bestFit="1" customWidth="1"/>
    <col min="6404" max="6404" width="23.42578125" style="220" customWidth="1"/>
    <col min="6405" max="6405" width="17.28515625" style="220" customWidth="1"/>
    <col min="6406" max="6406" width="20.42578125" style="220" bestFit="1" customWidth="1"/>
    <col min="6407" max="6407" width="17.140625" style="220" customWidth="1"/>
    <col min="6408" max="6408" width="21.85546875" style="220" bestFit="1" customWidth="1"/>
    <col min="6409" max="6409" width="17.140625" style="220" bestFit="1" customWidth="1"/>
    <col min="6410" max="6410" width="18.140625" style="220" bestFit="1" customWidth="1"/>
    <col min="6411" max="6411" width="26.42578125" style="220" customWidth="1"/>
    <col min="6412" max="6656" width="9.140625" style="220"/>
    <col min="6657" max="6657" width="8.7109375" style="220" bestFit="1" customWidth="1"/>
    <col min="6658" max="6658" width="13.28515625" style="220" customWidth="1"/>
    <col min="6659" max="6659" width="16.140625" style="220" bestFit="1" customWidth="1"/>
    <col min="6660" max="6660" width="23.42578125" style="220" customWidth="1"/>
    <col min="6661" max="6661" width="17.28515625" style="220" customWidth="1"/>
    <col min="6662" max="6662" width="20.42578125" style="220" bestFit="1" customWidth="1"/>
    <col min="6663" max="6663" width="17.140625" style="220" customWidth="1"/>
    <col min="6664" max="6664" width="21.85546875" style="220" bestFit="1" customWidth="1"/>
    <col min="6665" max="6665" width="17.140625" style="220" bestFit="1" customWidth="1"/>
    <col min="6666" max="6666" width="18.140625" style="220" bestFit="1" customWidth="1"/>
    <col min="6667" max="6667" width="26.42578125" style="220" customWidth="1"/>
    <col min="6668" max="6912" width="9.140625" style="220"/>
    <col min="6913" max="6913" width="8.7109375" style="220" bestFit="1" customWidth="1"/>
    <col min="6914" max="6914" width="13.28515625" style="220" customWidth="1"/>
    <col min="6915" max="6915" width="16.140625" style="220" bestFit="1" customWidth="1"/>
    <col min="6916" max="6916" width="23.42578125" style="220" customWidth="1"/>
    <col min="6917" max="6917" width="17.28515625" style="220" customWidth="1"/>
    <col min="6918" max="6918" width="20.42578125" style="220" bestFit="1" customWidth="1"/>
    <col min="6919" max="6919" width="17.140625" style="220" customWidth="1"/>
    <col min="6920" max="6920" width="21.85546875" style="220" bestFit="1" customWidth="1"/>
    <col min="6921" max="6921" width="17.140625" style="220" bestFit="1" customWidth="1"/>
    <col min="6922" max="6922" width="18.140625" style="220" bestFit="1" customWidth="1"/>
    <col min="6923" max="6923" width="26.42578125" style="220" customWidth="1"/>
    <col min="6924" max="7168" width="9.140625" style="220"/>
    <col min="7169" max="7169" width="8.7109375" style="220" bestFit="1" customWidth="1"/>
    <col min="7170" max="7170" width="13.28515625" style="220" customWidth="1"/>
    <col min="7171" max="7171" width="16.140625" style="220" bestFit="1" customWidth="1"/>
    <col min="7172" max="7172" width="23.42578125" style="220" customWidth="1"/>
    <col min="7173" max="7173" width="17.28515625" style="220" customWidth="1"/>
    <col min="7174" max="7174" width="20.42578125" style="220" bestFit="1" customWidth="1"/>
    <col min="7175" max="7175" width="17.140625" style="220" customWidth="1"/>
    <col min="7176" max="7176" width="21.85546875" style="220" bestFit="1" customWidth="1"/>
    <col min="7177" max="7177" width="17.140625" style="220" bestFit="1" customWidth="1"/>
    <col min="7178" max="7178" width="18.140625" style="220" bestFit="1" customWidth="1"/>
    <col min="7179" max="7179" width="26.42578125" style="220" customWidth="1"/>
    <col min="7180" max="7424" width="9.140625" style="220"/>
    <col min="7425" max="7425" width="8.7109375" style="220" bestFit="1" customWidth="1"/>
    <col min="7426" max="7426" width="13.28515625" style="220" customWidth="1"/>
    <col min="7427" max="7427" width="16.140625" style="220" bestFit="1" customWidth="1"/>
    <col min="7428" max="7428" width="23.42578125" style="220" customWidth="1"/>
    <col min="7429" max="7429" width="17.28515625" style="220" customWidth="1"/>
    <col min="7430" max="7430" width="20.42578125" style="220" bestFit="1" customWidth="1"/>
    <col min="7431" max="7431" width="17.140625" style="220" customWidth="1"/>
    <col min="7432" max="7432" width="21.85546875" style="220" bestFit="1" customWidth="1"/>
    <col min="7433" max="7433" width="17.140625" style="220" bestFit="1" customWidth="1"/>
    <col min="7434" max="7434" width="18.140625" style="220" bestFit="1" customWidth="1"/>
    <col min="7435" max="7435" width="26.42578125" style="220" customWidth="1"/>
    <col min="7436" max="7680" width="9.140625" style="220"/>
    <col min="7681" max="7681" width="8.7109375" style="220" bestFit="1" customWidth="1"/>
    <col min="7682" max="7682" width="13.28515625" style="220" customWidth="1"/>
    <col min="7683" max="7683" width="16.140625" style="220" bestFit="1" customWidth="1"/>
    <col min="7684" max="7684" width="23.42578125" style="220" customWidth="1"/>
    <col min="7685" max="7685" width="17.28515625" style="220" customWidth="1"/>
    <col min="7686" max="7686" width="20.42578125" style="220" bestFit="1" customWidth="1"/>
    <col min="7687" max="7687" width="17.140625" style="220" customWidth="1"/>
    <col min="7688" max="7688" width="21.85546875" style="220" bestFit="1" customWidth="1"/>
    <col min="7689" max="7689" width="17.140625" style="220" bestFit="1" customWidth="1"/>
    <col min="7690" max="7690" width="18.140625" style="220" bestFit="1" customWidth="1"/>
    <col min="7691" max="7691" width="26.42578125" style="220" customWidth="1"/>
    <col min="7692" max="7936" width="9.140625" style="220"/>
    <col min="7937" max="7937" width="8.7109375" style="220" bestFit="1" customWidth="1"/>
    <col min="7938" max="7938" width="13.28515625" style="220" customWidth="1"/>
    <col min="7939" max="7939" width="16.140625" style="220" bestFit="1" customWidth="1"/>
    <col min="7940" max="7940" width="23.42578125" style="220" customWidth="1"/>
    <col min="7941" max="7941" width="17.28515625" style="220" customWidth="1"/>
    <col min="7942" max="7942" width="20.42578125" style="220" bestFit="1" customWidth="1"/>
    <col min="7943" max="7943" width="17.140625" style="220" customWidth="1"/>
    <col min="7944" max="7944" width="21.85546875" style="220" bestFit="1" customWidth="1"/>
    <col min="7945" max="7945" width="17.140625" style="220" bestFit="1" customWidth="1"/>
    <col min="7946" max="7946" width="18.140625" style="220" bestFit="1" customWidth="1"/>
    <col min="7947" max="7947" width="26.42578125" style="220" customWidth="1"/>
    <col min="7948" max="8192" width="9.140625" style="220"/>
    <col min="8193" max="8193" width="8.7109375" style="220" bestFit="1" customWidth="1"/>
    <col min="8194" max="8194" width="13.28515625" style="220" customWidth="1"/>
    <col min="8195" max="8195" width="16.140625" style="220" bestFit="1" customWidth="1"/>
    <col min="8196" max="8196" width="23.42578125" style="220" customWidth="1"/>
    <col min="8197" max="8197" width="17.28515625" style="220" customWidth="1"/>
    <col min="8198" max="8198" width="20.42578125" style="220" bestFit="1" customWidth="1"/>
    <col min="8199" max="8199" width="17.140625" style="220" customWidth="1"/>
    <col min="8200" max="8200" width="21.85546875" style="220" bestFit="1" customWidth="1"/>
    <col min="8201" max="8201" width="17.140625" style="220" bestFit="1" customWidth="1"/>
    <col min="8202" max="8202" width="18.140625" style="220" bestFit="1" customWidth="1"/>
    <col min="8203" max="8203" width="26.42578125" style="220" customWidth="1"/>
    <col min="8204" max="8448" width="9.140625" style="220"/>
    <col min="8449" max="8449" width="8.7109375" style="220" bestFit="1" customWidth="1"/>
    <col min="8450" max="8450" width="13.28515625" style="220" customWidth="1"/>
    <col min="8451" max="8451" width="16.140625" style="220" bestFit="1" customWidth="1"/>
    <col min="8452" max="8452" width="23.42578125" style="220" customWidth="1"/>
    <col min="8453" max="8453" width="17.28515625" style="220" customWidth="1"/>
    <col min="8454" max="8454" width="20.42578125" style="220" bestFit="1" customWidth="1"/>
    <col min="8455" max="8455" width="17.140625" style="220" customWidth="1"/>
    <col min="8456" max="8456" width="21.85546875" style="220" bestFit="1" customWidth="1"/>
    <col min="8457" max="8457" width="17.140625" style="220" bestFit="1" customWidth="1"/>
    <col min="8458" max="8458" width="18.140625" style="220" bestFit="1" customWidth="1"/>
    <col min="8459" max="8459" width="26.42578125" style="220" customWidth="1"/>
    <col min="8460" max="8704" width="9.140625" style="220"/>
    <col min="8705" max="8705" width="8.7109375" style="220" bestFit="1" customWidth="1"/>
    <col min="8706" max="8706" width="13.28515625" style="220" customWidth="1"/>
    <col min="8707" max="8707" width="16.140625" style="220" bestFit="1" customWidth="1"/>
    <col min="8708" max="8708" width="23.42578125" style="220" customWidth="1"/>
    <col min="8709" max="8709" width="17.28515625" style="220" customWidth="1"/>
    <col min="8710" max="8710" width="20.42578125" style="220" bestFit="1" customWidth="1"/>
    <col min="8711" max="8711" width="17.140625" style="220" customWidth="1"/>
    <col min="8712" max="8712" width="21.85546875" style="220" bestFit="1" customWidth="1"/>
    <col min="8713" max="8713" width="17.140625" style="220" bestFit="1" customWidth="1"/>
    <col min="8714" max="8714" width="18.140625" style="220" bestFit="1" customWidth="1"/>
    <col min="8715" max="8715" width="26.42578125" style="220" customWidth="1"/>
    <col min="8716" max="8960" width="9.140625" style="220"/>
    <col min="8961" max="8961" width="8.7109375" style="220" bestFit="1" customWidth="1"/>
    <col min="8962" max="8962" width="13.28515625" style="220" customWidth="1"/>
    <col min="8963" max="8963" width="16.140625" style="220" bestFit="1" customWidth="1"/>
    <col min="8964" max="8964" width="23.42578125" style="220" customWidth="1"/>
    <col min="8965" max="8965" width="17.28515625" style="220" customWidth="1"/>
    <col min="8966" max="8966" width="20.42578125" style="220" bestFit="1" customWidth="1"/>
    <col min="8967" max="8967" width="17.140625" style="220" customWidth="1"/>
    <col min="8968" max="8968" width="21.85546875" style="220" bestFit="1" customWidth="1"/>
    <col min="8969" max="8969" width="17.140625" style="220" bestFit="1" customWidth="1"/>
    <col min="8970" max="8970" width="18.140625" style="220" bestFit="1" customWidth="1"/>
    <col min="8971" max="8971" width="26.42578125" style="220" customWidth="1"/>
    <col min="8972" max="9216" width="9.140625" style="220"/>
    <col min="9217" max="9217" width="8.7109375" style="220" bestFit="1" customWidth="1"/>
    <col min="9218" max="9218" width="13.28515625" style="220" customWidth="1"/>
    <col min="9219" max="9219" width="16.140625" style="220" bestFit="1" customWidth="1"/>
    <col min="9220" max="9220" width="23.42578125" style="220" customWidth="1"/>
    <col min="9221" max="9221" width="17.28515625" style="220" customWidth="1"/>
    <col min="9222" max="9222" width="20.42578125" style="220" bestFit="1" customWidth="1"/>
    <col min="9223" max="9223" width="17.140625" style="220" customWidth="1"/>
    <col min="9224" max="9224" width="21.85546875" style="220" bestFit="1" customWidth="1"/>
    <col min="9225" max="9225" width="17.140625" style="220" bestFit="1" customWidth="1"/>
    <col min="9226" max="9226" width="18.140625" style="220" bestFit="1" customWidth="1"/>
    <col min="9227" max="9227" width="26.42578125" style="220" customWidth="1"/>
    <col min="9228" max="9472" width="9.140625" style="220"/>
    <col min="9473" max="9473" width="8.7109375" style="220" bestFit="1" customWidth="1"/>
    <col min="9474" max="9474" width="13.28515625" style="220" customWidth="1"/>
    <col min="9475" max="9475" width="16.140625" style="220" bestFit="1" customWidth="1"/>
    <col min="9476" max="9476" width="23.42578125" style="220" customWidth="1"/>
    <col min="9477" max="9477" width="17.28515625" style="220" customWidth="1"/>
    <col min="9478" max="9478" width="20.42578125" style="220" bestFit="1" customWidth="1"/>
    <col min="9479" max="9479" width="17.140625" style="220" customWidth="1"/>
    <col min="9480" max="9480" width="21.85546875" style="220" bestFit="1" customWidth="1"/>
    <col min="9481" max="9481" width="17.140625" style="220" bestFit="1" customWidth="1"/>
    <col min="9482" max="9482" width="18.140625" style="220" bestFit="1" customWidth="1"/>
    <col min="9483" max="9483" width="26.42578125" style="220" customWidth="1"/>
    <col min="9484" max="9728" width="9.140625" style="220"/>
    <col min="9729" max="9729" width="8.7109375" style="220" bestFit="1" customWidth="1"/>
    <col min="9730" max="9730" width="13.28515625" style="220" customWidth="1"/>
    <col min="9731" max="9731" width="16.140625" style="220" bestFit="1" customWidth="1"/>
    <col min="9732" max="9732" width="23.42578125" style="220" customWidth="1"/>
    <col min="9733" max="9733" width="17.28515625" style="220" customWidth="1"/>
    <col min="9734" max="9734" width="20.42578125" style="220" bestFit="1" customWidth="1"/>
    <col min="9735" max="9735" width="17.140625" style="220" customWidth="1"/>
    <col min="9736" max="9736" width="21.85546875" style="220" bestFit="1" customWidth="1"/>
    <col min="9737" max="9737" width="17.140625" style="220" bestFit="1" customWidth="1"/>
    <col min="9738" max="9738" width="18.140625" style="220" bestFit="1" customWidth="1"/>
    <col min="9739" max="9739" width="26.42578125" style="220" customWidth="1"/>
    <col min="9740" max="9984" width="9.140625" style="220"/>
    <col min="9985" max="9985" width="8.7109375" style="220" bestFit="1" customWidth="1"/>
    <col min="9986" max="9986" width="13.28515625" style="220" customWidth="1"/>
    <col min="9987" max="9987" width="16.140625" style="220" bestFit="1" customWidth="1"/>
    <col min="9988" max="9988" width="23.42578125" style="220" customWidth="1"/>
    <col min="9989" max="9989" width="17.28515625" style="220" customWidth="1"/>
    <col min="9990" max="9990" width="20.42578125" style="220" bestFit="1" customWidth="1"/>
    <col min="9991" max="9991" width="17.140625" style="220" customWidth="1"/>
    <col min="9992" max="9992" width="21.85546875" style="220" bestFit="1" customWidth="1"/>
    <col min="9993" max="9993" width="17.140625" style="220" bestFit="1" customWidth="1"/>
    <col min="9994" max="9994" width="18.140625" style="220" bestFit="1" customWidth="1"/>
    <col min="9995" max="9995" width="26.42578125" style="220" customWidth="1"/>
    <col min="9996" max="10240" width="9.140625" style="220"/>
    <col min="10241" max="10241" width="8.7109375" style="220" bestFit="1" customWidth="1"/>
    <col min="10242" max="10242" width="13.28515625" style="220" customWidth="1"/>
    <col min="10243" max="10243" width="16.140625" style="220" bestFit="1" customWidth="1"/>
    <col min="10244" max="10244" width="23.42578125" style="220" customWidth="1"/>
    <col min="10245" max="10245" width="17.28515625" style="220" customWidth="1"/>
    <col min="10246" max="10246" width="20.42578125" style="220" bestFit="1" customWidth="1"/>
    <col min="10247" max="10247" width="17.140625" style="220" customWidth="1"/>
    <col min="10248" max="10248" width="21.85546875" style="220" bestFit="1" customWidth="1"/>
    <col min="10249" max="10249" width="17.140625" style="220" bestFit="1" customWidth="1"/>
    <col min="10250" max="10250" width="18.140625" style="220" bestFit="1" customWidth="1"/>
    <col min="10251" max="10251" width="26.42578125" style="220" customWidth="1"/>
    <col min="10252" max="10496" width="9.140625" style="220"/>
    <col min="10497" max="10497" width="8.7109375" style="220" bestFit="1" customWidth="1"/>
    <col min="10498" max="10498" width="13.28515625" style="220" customWidth="1"/>
    <col min="10499" max="10499" width="16.140625" style="220" bestFit="1" customWidth="1"/>
    <col min="10500" max="10500" width="23.42578125" style="220" customWidth="1"/>
    <col min="10501" max="10501" width="17.28515625" style="220" customWidth="1"/>
    <col min="10502" max="10502" width="20.42578125" style="220" bestFit="1" customWidth="1"/>
    <col min="10503" max="10503" width="17.140625" style="220" customWidth="1"/>
    <col min="10504" max="10504" width="21.85546875" style="220" bestFit="1" customWidth="1"/>
    <col min="10505" max="10505" width="17.140625" style="220" bestFit="1" customWidth="1"/>
    <col min="10506" max="10506" width="18.140625" style="220" bestFit="1" customWidth="1"/>
    <col min="10507" max="10507" width="26.42578125" style="220" customWidth="1"/>
    <col min="10508" max="10752" width="9.140625" style="220"/>
    <col min="10753" max="10753" width="8.7109375" style="220" bestFit="1" customWidth="1"/>
    <col min="10754" max="10754" width="13.28515625" style="220" customWidth="1"/>
    <col min="10755" max="10755" width="16.140625" style="220" bestFit="1" customWidth="1"/>
    <col min="10756" max="10756" width="23.42578125" style="220" customWidth="1"/>
    <col min="10757" max="10757" width="17.28515625" style="220" customWidth="1"/>
    <col min="10758" max="10758" width="20.42578125" style="220" bestFit="1" customWidth="1"/>
    <col min="10759" max="10759" width="17.140625" style="220" customWidth="1"/>
    <col min="10760" max="10760" width="21.85546875" style="220" bestFit="1" customWidth="1"/>
    <col min="10761" max="10761" width="17.140625" style="220" bestFit="1" customWidth="1"/>
    <col min="10762" max="10762" width="18.140625" style="220" bestFit="1" customWidth="1"/>
    <col min="10763" max="10763" width="26.42578125" style="220" customWidth="1"/>
    <col min="10764" max="11008" width="9.140625" style="220"/>
    <col min="11009" max="11009" width="8.7109375" style="220" bestFit="1" customWidth="1"/>
    <col min="11010" max="11010" width="13.28515625" style="220" customWidth="1"/>
    <col min="11011" max="11011" width="16.140625" style="220" bestFit="1" customWidth="1"/>
    <col min="11012" max="11012" width="23.42578125" style="220" customWidth="1"/>
    <col min="11013" max="11013" width="17.28515625" style="220" customWidth="1"/>
    <col min="11014" max="11014" width="20.42578125" style="220" bestFit="1" customWidth="1"/>
    <col min="11015" max="11015" width="17.140625" style="220" customWidth="1"/>
    <col min="11016" max="11016" width="21.85546875" style="220" bestFit="1" customWidth="1"/>
    <col min="11017" max="11017" width="17.140625" style="220" bestFit="1" customWidth="1"/>
    <col min="11018" max="11018" width="18.140625" style="220" bestFit="1" customWidth="1"/>
    <col min="11019" max="11019" width="26.42578125" style="220" customWidth="1"/>
    <col min="11020" max="11264" width="9.140625" style="220"/>
    <col min="11265" max="11265" width="8.7109375" style="220" bestFit="1" customWidth="1"/>
    <col min="11266" max="11266" width="13.28515625" style="220" customWidth="1"/>
    <col min="11267" max="11267" width="16.140625" style="220" bestFit="1" customWidth="1"/>
    <col min="11268" max="11268" width="23.42578125" style="220" customWidth="1"/>
    <col min="11269" max="11269" width="17.28515625" style="220" customWidth="1"/>
    <col min="11270" max="11270" width="20.42578125" style="220" bestFit="1" customWidth="1"/>
    <col min="11271" max="11271" width="17.140625" style="220" customWidth="1"/>
    <col min="11272" max="11272" width="21.85546875" style="220" bestFit="1" customWidth="1"/>
    <col min="11273" max="11273" width="17.140625" style="220" bestFit="1" customWidth="1"/>
    <col min="11274" max="11274" width="18.140625" style="220" bestFit="1" customWidth="1"/>
    <col min="11275" max="11275" width="26.42578125" style="220" customWidth="1"/>
    <col min="11276" max="11520" width="9.140625" style="220"/>
    <col min="11521" max="11521" width="8.7109375" style="220" bestFit="1" customWidth="1"/>
    <col min="11522" max="11522" width="13.28515625" style="220" customWidth="1"/>
    <col min="11523" max="11523" width="16.140625" style="220" bestFit="1" customWidth="1"/>
    <col min="11524" max="11524" width="23.42578125" style="220" customWidth="1"/>
    <col min="11525" max="11525" width="17.28515625" style="220" customWidth="1"/>
    <col min="11526" max="11526" width="20.42578125" style="220" bestFit="1" customWidth="1"/>
    <col min="11527" max="11527" width="17.140625" style="220" customWidth="1"/>
    <col min="11528" max="11528" width="21.85546875" style="220" bestFit="1" customWidth="1"/>
    <col min="11529" max="11529" width="17.140625" style="220" bestFit="1" customWidth="1"/>
    <col min="11530" max="11530" width="18.140625" style="220" bestFit="1" customWidth="1"/>
    <col min="11531" max="11531" width="26.42578125" style="220" customWidth="1"/>
    <col min="11532" max="11776" width="9.140625" style="220"/>
    <col min="11777" max="11777" width="8.7109375" style="220" bestFit="1" customWidth="1"/>
    <col min="11778" max="11778" width="13.28515625" style="220" customWidth="1"/>
    <col min="11779" max="11779" width="16.140625" style="220" bestFit="1" customWidth="1"/>
    <col min="11780" max="11780" width="23.42578125" style="220" customWidth="1"/>
    <col min="11781" max="11781" width="17.28515625" style="220" customWidth="1"/>
    <col min="11782" max="11782" width="20.42578125" style="220" bestFit="1" customWidth="1"/>
    <col min="11783" max="11783" width="17.140625" style="220" customWidth="1"/>
    <col min="11784" max="11784" width="21.85546875" style="220" bestFit="1" customWidth="1"/>
    <col min="11785" max="11785" width="17.140625" style="220" bestFit="1" customWidth="1"/>
    <col min="11786" max="11786" width="18.140625" style="220" bestFit="1" customWidth="1"/>
    <col min="11787" max="11787" width="26.42578125" style="220" customWidth="1"/>
    <col min="11788" max="12032" width="9.140625" style="220"/>
    <col min="12033" max="12033" width="8.7109375" style="220" bestFit="1" customWidth="1"/>
    <col min="12034" max="12034" width="13.28515625" style="220" customWidth="1"/>
    <col min="12035" max="12035" width="16.140625" style="220" bestFit="1" customWidth="1"/>
    <col min="12036" max="12036" width="23.42578125" style="220" customWidth="1"/>
    <col min="12037" max="12037" width="17.28515625" style="220" customWidth="1"/>
    <col min="12038" max="12038" width="20.42578125" style="220" bestFit="1" customWidth="1"/>
    <col min="12039" max="12039" width="17.140625" style="220" customWidth="1"/>
    <col min="12040" max="12040" width="21.85546875" style="220" bestFit="1" customWidth="1"/>
    <col min="12041" max="12041" width="17.140625" style="220" bestFit="1" customWidth="1"/>
    <col min="12042" max="12042" width="18.140625" style="220" bestFit="1" customWidth="1"/>
    <col min="12043" max="12043" width="26.42578125" style="220" customWidth="1"/>
    <col min="12044" max="12288" width="9.140625" style="220"/>
    <col min="12289" max="12289" width="8.7109375" style="220" bestFit="1" customWidth="1"/>
    <col min="12290" max="12290" width="13.28515625" style="220" customWidth="1"/>
    <col min="12291" max="12291" width="16.140625" style="220" bestFit="1" customWidth="1"/>
    <col min="12292" max="12292" width="23.42578125" style="220" customWidth="1"/>
    <col min="12293" max="12293" width="17.28515625" style="220" customWidth="1"/>
    <col min="12294" max="12294" width="20.42578125" style="220" bestFit="1" customWidth="1"/>
    <col min="12295" max="12295" width="17.140625" style="220" customWidth="1"/>
    <col min="12296" max="12296" width="21.85546875" style="220" bestFit="1" customWidth="1"/>
    <col min="12297" max="12297" width="17.140625" style="220" bestFit="1" customWidth="1"/>
    <col min="12298" max="12298" width="18.140625" style="220" bestFit="1" customWidth="1"/>
    <col min="12299" max="12299" width="26.42578125" style="220" customWidth="1"/>
    <col min="12300" max="12544" width="9.140625" style="220"/>
    <col min="12545" max="12545" width="8.7109375" style="220" bestFit="1" customWidth="1"/>
    <col min="12546" max="12546" width="13.28515625" style="220" customWidth="1"/>
    <col min="12547" max="12547" width="16.140625" style="220" bestFit="1" customWidth="1"/>
    <col min="12548" max="12548" width="23.42578125" style="220" customWidth="1"/>
    <col min="12549" max="12549" width="17.28515625" style="220" customWidth="1"/>
    <col min="12550" max="12550" width="20.42578125" style="220" bestFit="1" customWidth="1"/>
    <col min="12551" max="12551" width="17.140625" style="220" customWidth="1"/>
    <col min="12552" max="12552" width="21.85546875" style="220" bestFit="1" customWidth="1"/>
    <col min="12553" max="12553" width="17.140625" style="220" bestFit="1" customWidth="1"/>
    <col min="12554" max="12554" width="18.140625" style="220" bestFit="1" customWidth="1"/>
    <col min="12555" max="12555" width="26.42578125" style="220" customWidth="1"/>
    <col min="12556" max="12800" width="9.140625" style="220"/>
    <col min="12801" max="12801" width="8.7109375" style="220" bestFit="1" customWidth="1"/>
    <col min="12802" max="12802" width="13.28515625" style="220" customWidth="1"/>
    <col min="12803" max="12803" width="16.140625" style="220" bestFit="1" customWidth="1"/>
    <col min="12804" max="12804" width="23.42578125" style="220" customWidth="1"/>
    <col min="12805" max="12805" width="17.28515625" style="220" customWidth="1"/>
    <col min="12806" max="12806" width="20.42578125" style="220" bestFit="1" customWidth="1"/>
    <col min="12807" max="12807" width="17.140625" style="220" customWidth="1"/>
    <col min="12808" max="12808" width="21.85546875" style="220" bestFit="1" customWidth="1"/>
    <col min="12809" max="12809" width="17.140625" style="220" bestFit="1" customWidth="1"/>
    <col min="12810" max="12810" width="18.140625" style="220" bestFit="1" customWidth="1"/>
    <col min="12811" max="12811" width="26.42578125" style="220" customWidth="1"/>
    <col min="12812" max="13056" width="9.140625" style="220"/>
    <col min="13057" max="13057" width="8.7109375" style="220" bestFit="1" customWidth="1"/>
    <col min="13058" max="13058" width="13.28515625" style="220" customWidth="1"/>
    <col min="13059" max="13059" width="16.140625" style="220" bestFit="1" customWidth="1"/>
    <col min="13060" max="13060" width="23.42578125" style="220" customWidth="1"/>
    <col min="13061" max="13061" width="17.28515625" style="220" customWidth="1"/>
    <col min="13062" max="13062" width="20.42578125" style="220" bestFit="1" customWidth="1"/>
    <col min="13063" max="13063" width="17.140625" style="220" customWidth="1"/>
    <col min="13064" max="13064" width="21.85546875" style="220" bestFit="1" customWidth="1"/>
    <col min="13065" max="13065" width="17.140625" style="220" bestFit="1" customWidth="1"/>
    <col min="13066" max="13066" width="18.140625" style="220" bestFit="1" customWidth="1"/>
    <col min="13067" max="13067" width="26.42578125" style="220" customWidth="1"/>
    <col min="13068" max="13312" width="9.140625" style="220"/>
    <col min="13313" max="13313" width="8.7109375" style="220" bestFit="1" customWidth="1"/>
    <col min="13314" max="13314" width="13.28515625" style="220" customWidth="1"/>
    <col min="13315" max="13315" width="16.140625" style="220" bestFit="1" customWidth="1"/>
    <col min="13316" max="13316" width="23.42578125" style="220" customWidth="1"/>
    <col min="13317" max="13317" width="17.28515625" style="220" customWidth="1"/>
    <col min="13318" max="13318" width="20.42578125" style="220" bestFit="1" customWidth="1"/>
    <col min="13319" max="13319" width="17.140625" style="220" customWidth="1"/>
    <col min="13320" max="13320" width="21.85546875" style="220" bestFit="1" customWidth="1"/>
    <col min="13321" max="13321" width="17.140625" style="220" bestFit="1" customWidth="1"/>
    <col min="13322" max="13322" width="18.140625" style="220" bestFit="1" customWidth="1"/>
    <col min="13323" max="13323" width="26.42578125" style="220" customWidth="1"/>
    <col min="13324" max="13568" width="9.140625" style="220"/>
    <col min="13569" max="13569" width="8.7109375" style="220" bestFit="1" customWidth="1"/>
    <col min="13570" max="13570" width="13.28515625" style="220" customWidth="1"/>
    <col min="13571" max="13571" width="16.140625" style="220" bestFit="1" customWidth="1"/>
    <col min="13572" max="13572" width="23.42578125" style="220" customWidth="1"/>
    <col min="13573" max="13573" width="17.28515625" style="220" customWidth="1"/>
    <col min="13574" max="13574" width="20.42578125" style="220" bestFit="1" customWidth="1"/>
    <col min="13575" max="13575" width="17.140625" style="220" customWidth="1"/>
    <col min="13576" max="13576" width="21.85546875" style="220" bestFit="1" customWidth="1"/>
    <col min="13577" max="13577" width="17.140625" style="220" bestFit="1" customWidth="1"/>
    <col min="13578" max="13578" width="18.140625" style="220" bestFit="1" customWidth="1"/>
    <col min="13579" max="13579" width="26.42578125" style="220" customWidth="1"/>
    <col min="13580" max="13824" width="9.140625" style="220"/>
    <col min="13825" max="13825" width="8.7109375" style="220" bestFit="1" customWidth="1"/>
    <col min="13826" max="13826" width="13.28515625" style="220" customWidth="1"/>
    <col min="13827" max="13827" width="16.140625" style="220" bestFit="1" customWidth="1"/>
    <col min="13828" max="13828" width="23.42578125" style="220" customWidth="1"/>
    <col min="13829" max="13829" width="17.28515625" style="220" customWidth="1"/>
    <col min="13830" max="13830" width="20.42578125" style="220" bestFit="1" customWidth="1"/>
    <col min="13831" max="13831" width="17.140625" style="220" customWidth="1"/>
    <col min="13832" max="13832" width="21.85546875" style="220" bestFit="1" customWidth="1"/>
    <col min="13833" max="13833" width="17.140625" style="220" bestFit="1" customWidth="1"/>
    <col min="13834" max="13834" width="18.140625" style="220" bestFit="1" customWidth="1"/>
    <col min="13835" max="13835" width="26.42578125" style="220" customWidth="1"/>
    <col min="13836" max="14080" width="9.140625" style="220"/>
    <col min="14081" max="14081" width="8.7109375" style="220" bestFit="1" customWidth="1"/>
    <col min="14082" max="14082" width="13.28515625" style="220" customWidth="1"/>
    <col min="14083" max="14083" width="16.140625" style="220" bestFit="1" customWidth="1"/>
    <col min="14084" max="14084" width="23.42578125" style="220" customWidth="1"/>
    <col min="14085" max="14085" width="17.28515625" style="220" customWidth="1"/>
    <col min="14086" max="14086" width="20.42578125" style="220" bestFit="1" customWidth="1"/>
    <col min="14087" max="14087" width="17.140625" style="220" customWidth="1"/>
    <col min="14088" max="14088" width="21.85546875" style="220" bestFit="1" customWidth="1"/>
    <col min="14089" max="14089" width="17.140625" style="220" bestFit="1" customWidth="1"/>
    <col min="14090" max="14090" width="18.140625" style="220" bestFit="1" customWidth="1"/>
    <col min="14091" max="14091" width="26.42578125" style="220" customWidth="1"/>
    <col min="14092" max="14336" width="9.140625" style="220"/>
    <col min="14337" max="14337" width="8.7109375" style="220" bestFit="1" customWidth="1"/>
    <col min="14338" max="14338" width="13.28515625" style="220" customWidth="1"/>
    <col min="14339" max="14339" width="16.140625" style="220" bestFit="1" customWidth="1"/>
    <col min="14340" max="14340" width="23.42578125" style="220" customWidth="1"/>
    <col min="14341" max="14341" width="17.28515625" style="220" customWidth="1"/>
    <col min="14342" max="14342" width="20.42578125" style="220" bestFit="1" customWidth="1"/>
    <col min="14343" max="14343" width="17.140625" style="220" customWidth="1"/>
    <col min="14344" max="14344" width="21.85546875" style="220" bestFit="1" customWidth="1"/>
    <col min="14345" max="14345" width="17.140625" style="220" bestFit="1" customWidth="1"/>
    <col min="14346" max="14346" width="18.140625" style="220" bestFit="1" customWidth="1"/>
    <col min="14347" max="14347" width="26.42578125" style="220" customWidth="1"/>
    <col min="14348" max="14592" width="9.140625" style="220"/>
    <col min="14593" max="14593" width="8.7109375" style="220" bestFit="1" customWidth="1"/>
    <col min="14594" max="14594" width="13.28515625" style="220" customWidth="1"/>
    <col min="14595" max="14595" width="16.140625" style="220" bestFit="1" customWidth="1"/>
    <col min="14596" max="14596" width="23.42578125" style="220" customWidth="1"/>
    <col min="14597" max="14597" width="17.28515625" style="220" customWidth="1"/>
    <col min="14598" max="14598" width="20.42578125" style="220" bestFit="1" customWidth="1"/>
    <col min="14599" max="14599" width="17.140625" style="220" customWidth="1"/>
    <col min="14600" max="14600" width="21.85546875" style="220" bestFit="1" customWidth="1"/>
    <col min="14601" max="14601" width="17.140625" style="220" bestFit="1" customWidth="1"/>
    <col min="14602" max="14602" width="18.140625" style="220" bestFit="1" customWidth="1"/>
    <col min="14603" max="14603" width="26.42578125" style="220" customWidth="1"/>
    <col min="14604" max="14848" width="9.140625" style="220"/>
    <col min="14849" max="14849" width="8.7109375" style="220" bestFit="1" customWidth="1"/>
    <col min="14850" max="14850" width="13.28515625" style="220" customWidth="1"/>
    <col min="14851" max="14851" width="16.140625" style="220" bestFit="1" customWidth="1"/>
    <col min="14852" max="14852" width="23.42578125" style="220" customWidth="1"/>
    <col min="14853" max="14853" width="17.28515625" style="220" customWidth="1"/>
    <col min="14854" max="14854" width="20.42578125" style="220" bestFit="1" customWidth="1"/>
    <col min="14855" max="14855" width="17.140625" style="220" customWidth="1"/>
    <col min="14856" max="14856" width="21.85546875" style="220" bestFit="1" customWidth="1"/>
    <col min="14857" max="14857" width="17.140625" style="220" bestFit="1" customWidth="1"/>
    <col min="14858" max="14858" width="18.140625" style="220" bestFit="1" customWidth="1"/>
    <col min="14859" max="14859" width="26.42578125" style="220" customWidth="1"/>
    <col min="14860" max="15104" width="9.140625" style="220"/>
    <col min="15105" max="15105" width="8.7109375" style="220" bestFit="1" customWidth="1"/>
    <col min="15106" max="15106" width="13.28515625" style="220" customWidth="1"/>
    <col min="15107" max="15107" width="16.140625" style="220" bestFit="1" customWidth="1"/>
    <col min="15108" max="15108" width="23.42578125" style="220" customWidth="1"/>
    <col min="15109" max="15109" width="17.28515625" style="220" customWidth="1"/>
    <col min="15110" max="15110" width="20.42578125" style="220" bestFit="1" customWidth="1"/>
    <col min="15111" max="15111" width="17.140625" style="220" customWidth="1"/>
    <col min="15112" max="15112" width="21.85546875" style="220" bestFit="1" customWidth="1"/>
    <col min="15113" max="15113" width="17.140625" style="220" bestFit="1" customWidth="1"/>
    <col min="15114" max="15114" width="18.140625" style="220" bestFit="1" customWidth="1"/>
    <col min="15115" max="15115" width="26.42578125" style="220" customWidth="1"/>
    <col min="15116" max="15360" width="9.140625" style="220"/>
    <col min="15361" max="15361" width="8.7109375" style="220" bestFit="1" customWidth="1"/>
    <col min="15362" max="15362" width="13.28515625" style="220" customWidth="1"/>
    <col min="15363" max="15363" width="16.140625" style="220" bestFit="1" customWidth="1"/>
    <col min="15364" max="15364" width="23.42578125" style="220" customWidth="1"/>
    <col min="15365" max="15365" width="17.28515625" style="220" customWidth="1"/>
    <col min="15366" max="15366" width="20.42578125" style="220" bestFit="1" customWidth="1"/>
    <col min="15367" max="15367" width="17.140625" style="220" customWidth="1"/>
    <col min="15368" max="15368" width="21.85546875" style="220" bestFit="1" customWidth="1"/>
    <col min="15369" max="15369" width="17.140625" style="220" bestFit="1" customWidth="1"/>
    <col min="15370" max="15370" width="18.140625" style="220" bestFit="1" customWidth="1"/>
    <col min="15371" max="15371" width="26.42578125" style="220" customWidth="1"/>
    <col min="15372" max="15616" width="9.140625" style="220"/>
    <col min="15617" max="15617" width="8.7109375" style="220" bestFit="1" customWidth="1"/>
    <col min="15618" max="15618" width="13.28515625" style="220" customWidth="1"/>
    <col min="15619" max="15619" width="16.140625" style="220" bestFit="1" customWidth="1"/>
    <col min="15620" max="15620" width="23.42578125" style="220" customWidth="1"/>
    <col min="15621" max="15621" width="17.28515625" style="220" customWidth="1"/>
    <col min="15622" max="15622" width="20.42578125" style="220" bestFit="1" customWidth="1"/>
    <col min="15623" max="15623" width="17.140625" style="220" customWidth="1"/>
    <col min="15624" max="15624" width="21.85546875" style="220" bestFit="1" customWidth="1"/>
    <col min="15625" max="15625" width="17.140625" style="220" bestFit="1" customWidth="1"/>
    <col min="15626" max="15626" width="18.140625" style="220" bestFit="1" customWidth="1"/>
    <col min="15627" max="15627" width="26.42578125" style="220" customWidth="1"/>
    <col min="15628" max="15872" width="9.140625" style="220"/>
    <col min="15873" max="15873" width="8.7109375" style="220" bestFit="1" customWidth="1"/>
    <col min="15874" max="15874" width="13.28515625" style="220" customWidth="1"/>
    <col min="15875" max="15875" width="16.140625" style="220" bestFit="1" customWidth="1"/>
    <col min="15876" max="15876" width="23.42578125" style="220" customWidth="1"/>
    <col min="15877" max="15877" width="17.28515625" style="220" customWidth="1"/>
    <col min="15878" max="15878" width="20.42578125" style="220" bestFit="1" customWidth="1"/>
    <col min="15879" max="15879" width="17.140625" style="220" customWidth="1"/>
    <col min="15880" max="15880" width="21.85546875" style="220" bestFit="1" customWidth="1"/>
    <col min="15881" max="15881" width="17.140625" style="220" bestFit="1" customWidth="1"/>
    <col min="15882" max="15882" width="18.140625" style="220" bestFit="1" customWidth="1"/>
    <col min="15883" max="15883" width="26.42578125" style="220" customWidth="1"/>
    <col min="15884" max="16128" width="9.140625" style="220"/>
    <col min="16129" max="16129" width="8.7109375" style="220" bestFit="1" customWidth="1"/>
    <col min="16130" max="16130" width="13.28515625" style="220" customWidth="1"/>
    <col min="16131" max="16131" width="16.140625" style="220" bestFit="1" customWidth="1"/>
    <col min="16132" max="16132" width="23.42578125" style="220" customWidth="1"/>
    <col min="16133" max="16133" width="17.28515625" style="220" customWidth="1"/>
    <col min="16134" max="16134" width="20.42578125" style="220" bestFit="1" customWidth="1"/>
    <col min="16135" max="16135" width="17.140625" style="220" customWidth="1"/>
    <col min="16136" max="16136" width="21.85546875" style="220" bestFit="1" customWidth="1"/>
    <col min="16137" max="16137" width="17.140625" style="220" bestFit="1" customWidth="1"/>
    <col min="16138" max="16138" width="18.140625" style="220" bestFit="1" customWidth="1"/>
    <col min="16139" max="16139" width="26.42578125" style="220" customWidth="1"/>
    <col min="16140" max="16384" width="9.140625" style="220"/>
  </cols>
  <sheetData>
    <row r="1" spans="13:13" s="256" customFormat="1">
      <c r="M1" s="257"/>
    </row>
    <row r="2" spans="13:13" s="256" customFormat="1">
      <c r="M2" s="257"/>
    </row>
    <row r="3" spans="13:13" s="256" customFormat="1">
      <c r="M3" s="257"/>
    </row>
    <row r="4" spans="13:13" s="256" customFormat="1">
      <c r="M4" s="257"/>
    </row>
    <row r="5" spans="13:13" s="256" customFormat="1">
      <c r="M5" s="257"/>
    </row>
    <row r="6" spans="13:13" s="256" customFormat="1">
      <c r="M6" s="257"/>
    </row>
    <row r="7" spans="13:13" s="256" customFormat="1">
      <c r="M7" s="257"/>
    </row>
    <row r="8" spans="13:13" s="256" customFormat="1">
      <c r="M8" s="257"/>
    </row>
    <row r="9" spans="13:13" s="256" customFormat="1">
      <c r="M9" s="257"/>
    </row>
    <row r="10" spans="13:13" s="256" customFormat="1">
      <c r="M10" s="257"/>
    </row>
    <row r="11" spans="13:13" s="256" customFormat="1">
      <c r="M11" s="257"/>
    </row>
    <row r="12" spans="13:13" s="256" customFormat="1">
      <c r="M12" s="257"/>
    </row>
    <row r="13" spans="13:13" s="256" customFormat="1">
      <c r="M13" s="257"/>
    </row>
    <row r="14" spans="13:13" s="256" customFormat="1">
      <c r="M14" s="257"/>
    </row>
    <row r="15" spans="13:13" s="256" customFormat="1">
      <c r="M15" s="257"/>
    </row>
    <row r="16" spans="13:13" s="256" customFormat="1">
      <c r="M16" s="257"/>
    </row>
    <row r="17" spans="13:13" s="256" customFormat="1">
      <c r="M17" s="257"/>
    </row>
    <row r="18" spans="13:13" s="256" customFormat="1">
      <c r="M18" s="257"/>
    </row>
    <row r="19" spans="13:13" s="256" customFormat="1">
      <c r="M19" s="257"/>
    </row>
    <row r="20" spans="13:13" s="256" customFormat="1">
      <c r="M20" s="257"/>
    </row>
    <row r="21" spans="13:13" s="256" customFormat="1">
      <c r="M21" s="257"/>
    </row>
    <row r="22" spans="13:13" s="256" customFormat="1">
      <c r="M22" s="257"/>
    </row>
    <row r="23" spans="13:13" s="256" customFormat="1">
      <c r="M23" s="257"/>
    </row>
    <row r="24" spans="13:13" s="256" customFormat="1">
      <c r="M24" s="257"/>
    </row>
    <row r="25" spans="13:13" s="256" customFormat="1">
      <c r="M25" s="257"/>
    </row>
    <row r="26" spans="13:13" s="256" customFormat="1">
      <c r="M26" s="257"/>
    </row>
    <row r="27" spans="13:13" s="256" customFormat="1">
      <c r="M27" s="257"/>
    </row>
    <row r="28" spans="13:13" s="256" customFormat="1">
      <c r="M28" s="257"/>
    </row>
    <row r="29" spans="13:13" s="256" customFormat="1">
      <c r="M29" s="257"/>
    </row>
    <row r="30" spans="13:13" s="256" customFormat="1">
      <c r="M30" s="257"/>
    </row>
    <row r="31" spans="13:13" s="256" customFormat="1">
      <c r="M31" s="257"/>
    </row>
    <row r="32" spans="13:13" s="256" customFormat="1">
      <c r="M32" s="257"/>
    </row>
    <row r="33" spans="1:19" s="256" customFormat="1">
      <c r="M33" s="257"/>
    </row>
    <row r="34" spans="1:19" s="256" customFormat="1" ht="15.75" customHeight="1">
      <c r="B34" s="256" t="s">
        <v>125</v>
      </c>
    </row>
    <row r="35" spans="1:19" s="256" customFormat="1" ht="24.75" customHeight="1">
      <c r="A35" s="259" t="str">
        <f>"VIN = "&amp;Vin&amp;"V, VOUT = "&amp; Vout &amp;"V, IOUT = " &amp;Iout &amp; "A,  Fsw = " &amp; Fsw/1000 &amp;"kHz, Current Limit = "&amp;ROUNDUP(DC_Current_Limit_Setpoint,0)&amp;"A"</f>
        <v>VIN = 18V, VOUT = 5V, IOUT = 15A,  Fsw = 250kHz, Current Limit = 13A</v>
      </c>
      <c r="Q35" s="355"/>
    </row>
    <row r="36" spans="1:19" ht="24.75" customHeight="1" thickBot="1">
      <c r="A36" s="222" t="s">
        <v>126</v>
      </c>
      <c r="Q36" s="356"/>
    </row>
    <row r="37" spans="1:19" ht="18" customHeight="1">
      <c r="A37" s="343" t="s">
        <v>127</v>
      </c>
      <c r="B37" s="344" t="s">
        <v>128</v>
      </c>
      <c r="C37" s="344" t="s">
        <v>129</v>
      </c>
      <c r="D37" s="410" t="s">
        <v>130</v>
      </c>
      <c r="E37" s="411"/>
      <c r="F37" s="411"/>
      <c r="G37" s="412"/>
      <c r="H37" s="344" t="s">
        <v>131</v>
      </c>
      <c r="I37" s="344" t="s">
        <v>132</v>
      </c>
      <c r="J37" s="344" t="s">
        <v>133</v>
      </c>
      <c r="K37" s="332" t="s">
        <v>134</v>
      </c>
      <c r="L37" s="333" t="s">
        <v>135</v>
      </c>
      <c r="M37" s="220"/>
      <c r="P37" s="363"/>
      <c r="Q37" s="370"/>
      <c r="R37" s="363"/>
      <c r="S37" s="363"/>
    </row>
    <row r="38" spans="1:19" s="227" customFormat="1" ht="17.100000000000001" customHeight="1">
      <c r="A38" s="224">
        <v>1</v>
      </c>
      <c r="B38" s="225" t="s">
        <v>136</v>
      </c>
      <c r="C38" s="239">
        <v>0.1</v>
      </c>
      <c r="D38" s="431">
        <f t="shared" ref="D38:D47" si="0">C38</f>
        <v>0.1</v>
      </c>
      <c r="E38" s="432"/>
      <c r="F38" s="432"/>
      <c r="G38" s="240"/>
      <c r="H38" s="241"/>
      <c r="I38" s="226" t="s">
        <v>137</v>
      </c>
      <c r="J38" s="336" t="s">
        <v>137</v>
      </c>
      <c r="K38" s="340" t="str">
        <f>CHOOSE(Q38, 'Variable Management'!N69,'Variable Management'!N70,'Variable Management'!N71)</f>
        <v>1.6 x 0.8</v>
      </c>
      <c r="L38" s="334">
        <f>CHOOSE(Q38, 'Variable Management'!O69,'Variable Management'!O70,'Variable Management'!O71)</f>
        <v>1.3</v>
      </c>
      <c r="P38" s="354"/>
      <c r="Q38" s="357">
        <v>2</v>
      </c>
      <c r="R38" s="354"/>
      <c r="S38" s="354"/>
    </row>
    <row r="39" spans="1:19" s="227" customFormat="1" ht="17.100000000000001" customHeight="1">
      <c r="A39" s="223">
        <v>1</v>
      </c>
      <c r="B39" s="242" t="s">
        <v>138</v>
      </c>
      <c r="C39" s="243">
        <f>'Design Regulator'!D75</f>
        <v>4700</v>
      </c>
      <c r="D39" s="433">
        <f t="shared" si="0"/>
        <v>4700</v>
      </c>
      <c r="E39" s="434"/>
      <c r="F39" s="434"/>
      <c r="G39" s="244"/>
      <c r="H39" s="245"/>
      <c r="I39" s="246" t="s">
        <v>137</v>
      </c>
      <c r="J39" s="337" t="s">
        <v>137</v>
      </c>
      <c r="K39" s="341" t="str">
        <f>CHOOSE(Q39, 'Variable Management'!N69,'Variable Management'!N70,'Variable Management'!N71)</f>
        <v>1.0 x 0.5</v>
      </c>
      <c r="L39" s="342">
        <f>CHOOSE(Q39, 'Variable Management'!O69,'Variable Management'!O70,'Variable Management'!O71)</f>
        <v>0.5</v>
      </c>
      <c r="P39" s="354"/>
      <c r="Q39" s="357">
        <v>1</v>
      </c>
      <c r="R39" s="354"/>
      <c r="S39" s="354"/>
    </row>
    <row r="40" spans="1:19" s="227" customFormat="1" ht="17.100000000000001" customHeight="1">
      <c r="A40" s="223">
        <v>1</v>
      </c>
      <c r="B40" s="242" t="s">
        <v>139</v>
      </c>
      <c r="C40" s="243">
        <f>'Design Regulator'!D76</f>
        <v>82</v>
      </c>
      <c r="D40" s="435">
        <f t="shared" si="0"/>
        <v>82</v>
      </c>
      <c r="E40" s="436"/>
      <c r="F40" s="436"/>
      <c r="G40" s="244"/>
      <c r="H40" s="245"/>
      <c r="I40" s="246" t="s">
        <v>137</v>
      </c>
      <c r="J40" s="337" t="s">
        <v>137</v>
      </c>
      <c r="K40" s="341" t="str">
        <f>CHOOSE(Q40, 'Variable Management'!N69,'Variable Management'!N70,'Variable Management'!N71)</f>
        <v>1.0 x 0.5</v>
      </c>
      <c r="L40" s="342">
        <f>CHOOSE(Q40, 'Variable Management'!O69,'Variable Management'!O70,'Variable Management'!O71)</f>
        <v>0.5</v>
      </c>
      <c r="P40" s="354"/>
      <c r="Q40" s="357">
        <v>1</v>
      </c>
      <c r="R40" s="354"/>
      <c r="S40" s="354"/>
    </row>
    <row r="41" spans="1:19" s="227" customFormat="1" ht="17.100000000000001" customHeight="1">
      <c r="A41" s="223">
        <v>1</v>
      </c>
      <c r="B41" s="242" t="s">
        <v>140</v>
      </c>
      <c r="C41" s="243">
        <f>'Design Regulator'!D78</f>
        <v>2700</v>
      </c>
      <c r="D41" s="435">
        <f t="shared" si="0"/>
        <v>2700</v>
      </c>
      <c r="E41" s="436"/>
      <c r="F41" s="436"/>
      <c r="G41" s="244"/>
      <c r="H41" s="245"/>
      <c r="I41" s="246" t="s">
        <v>137</v>
      </c>
      <c r="J41" s="337" t="s">
        <v>137</v>
      </c>
      <c r="K41" s="341" t="str">
        <f>CHOOSE(Q41, 'Variable Management'!N69,'Variable Management'!N70,'Variable Management'!N71)</f>
        <v>1.0 x 0.5</v>
      </c>
      <c r="L41" s="342">
        <f>CHOOSE(Q41, 'Variable Management'!O69,'Variable Management'!O70,'Variable Management'!O71)</f>
        <v>0.5</v>
      </c>
      <c r="P41" s="354"/>
      <c r="Q41" s="357">
        <v>1</v>
      </c>
      <c r="R41" s="354"/>
      <c r="S41" s="354"/>
    </row>
    <row r="42" spans="1:19" s="227" customFormat="1" ht="17.100000000000001" customHeight="1">
      <c r="A42" s="234">
        <v>1</v>
      </c>
      <c r="B42" s="235" t="s">
        <v>141</v>
      </c>
      <c r="C42" s="250" t="str">
        <f>'Variable Management'!B270</f>
        <v>10pF</v>
      </c>
      <c r="D42" s="437" t="str">
        <f>"Capacitor, Ceramic, "&amp;'Variable Management'!B270&amp;", 100V, X7R, 20%"</f>
        <v>Capacitor, Ceramic, 10pF, 100V, X7R, 20%</v>
      </c>
      <c r="E42" s="438"/>
      <c r="F42" s="438"/>
      <c r="G42" s="247"/>
      <c r="H42" s="237"/>
      <c r="I42" s="238" t="s">
        <v>137</v>
      </c>
      <c r="J42" s="338" t="s">
        <v>137</v>
      </c>
      <c r="K42" s="340" t="str">
        <f>CHOOSE(Q42, 'Variable Management'!N69,'Variable Management'!N70,'Variable Management'!N71)</f>
        <v>1.6 x 0.8</v>
      </c>
      <c r="L42" s="334">
        <f>CHOOSE(RDSON_sense,CHOOSE(Q42,'Variable Management'!O69,'Variable Management'!O70,'Variable Management'!O71),0)</f>
        <v>1.3</v>
      </c>
      <c r="P42" s="354"/>
      <c r="Q42" s="357">
        <v>2</v>
      </c>
      <c r="R42" s="354"/>
      <c r="S42" s="354"/>
    </row>
    <row r="43" spans="1:19" s="227" customFormat="1" ht="17.100000000000001" customHeight="1">
      <c r="A43" s="223">
        <f>ROUNDUP('Design Regulator'!E42/10,0)</f>
        <v>25</v>
      </c>
      <c r="B43" s="242" t="s">
        <v>142</v>
      </c>
      <c r="C43" s="249" t="str">
        <f>'Variable Management'!B249</f>
        <v>4.7µF</v>
      </c>
      <c r="D43" s="441" t="str">
        <f>CHOOSE(Cin_Voltage_Rating, "Capacitor, Ceramic, "&amp;'Variable Management'!B249&amp;", 10V, X7R, 10%", "Capacitor, Ceramic, "&amp;'Variable Management'!B249&amp;", 16V, X7R, 10%", "Capacitor, Ceramic, "&amp;'Variable Management'!B249&amp;", 25V, X7R, 10%",  "Capacitor, Ceramic, "&amp;'Variable Management'!B249&amp;", 50V, X7R, 10%",  "Capacitor, Ceramic, "&amp;'Variable Management'!B249&amp;", 100V, X7S, 10%")</f>
        <v>Capacitor, Ceramic, 4.7µF, 50V, X7R, 10%</v>
      </c>
      <c r="E43" s="442"/>
      <c r="F43" s="442"/>
      <c r="G43" s="244"/>
      <c r="H43" s="245"/>
      <c r="I43" s="246" t="s">
        <v>137</v>
      </c>
      <c r="J43" s="337" t="s">
        <v>137</v>
      </c>
      <c r="K43" s="341" t="str">
        <f>CHOOSE(Q43, 'Variable Management'!N69,'Variable Management'!N70,'Variable Management'!N71,'Variable Management'!N72,'Variable Management'!N73)</f>
        <v>3.2 x 2.5</v>
      </c>
      <c r="L43" s="342">
        <f>CHOOSE(Q43, 'Variable Management'!O69,'Variable Management'!O70,'Variable Management'!O71,'Variable Management'!O72,'Variable Management'!O73)*A43</f>
        <v>200</v>
      </c>
      <c r="P43" s="354"/>
      <c r="Q43" s="357">
        <v>5</v>
      </c>
      <c r="R43" s="354"/>
      <c r="S43" s="354"/>
    </row>
    <row r="44" spans="1:19" s="227" customFormat="1" ht="17.100000000000001" customHeight="1">
      <c r="A44" s="223">
        <f>'Variable Management'!D242</f>
        <v>18</v>
      </c>
      <c r="B44" s="242" t="s">
        <v>143</v>
      </c>
      <c r="C44" s="249" t="str">
        <f>'Variable Management'!F243</f>
        <v>47µF</v>
      </c>
      <c r="D44" s="441" t="str">
        <f>CHOOSE(Cout_Voltage_Rating, "Capacitor, Ceramic, "&amp;'Variable Management'!B244&amp;", 6.3V, X7R, 10%", "Capacitor, Ceramic, "&amp;'Variable Management'!B244&amp;", 10V, X7R, 10%", "Capacitor, Ceramic, "&amp;'Variable Management'!B244&amp;", 16V, X7R, 10%", "Capacitor, Ceramic, "&amp;'Variable Management'!B244&amp;", 25V, X7R, 10%",  "Capacitor, Ceramic, "&amp;'Variable Management'!B244&amp;", 50V, X7R, 10%",  "Capacitor, Ceramic, "&amp;'Variable Management'!B244&amp;", 100V, X7R, 10%")</f>
        <v>Capacitor, Ceramic, 47µF, 10V, X7R, 10%</v>
      </c>
      <c r="E44" s="442"/>
      <c r="F44" s="442"/>
      <c r="G44" s="244"/>
      <c r="H44" s="245"/>
      <c r="I44" s="246" t="s">
        <v>137</v>
      </c>
      <c r="J44" s="337" t="s">
        <v>137</v>
      </c>
      <c r="K44" s="341" t="str">
        <f>CHOOSE(Q44, 'Variable Management'!N69,'Variable Management'!N70,'Variable Management'!N71,'Variable Management'!N72,'Variable Management'!N73)</f>
        <v>3.2 x 2.5</v>
      </c>
      <c r="L44" s="342">
        <f>CHOOSE(Q44, 'Variable Management'!O69,'Variable Management'!O70,'Variable Management'!O71,'Variable Management'!O72,'Variable Management'!O73)*A44</f>
        <v>144</v>
      </c>
      <c r="P44" s="354"/>
      <c r="Q44" s="357">
        <v>5</v>
      </c>
      <c r="R44" s="354"/>
      <c r="S44" s="354"/>
    </row>
    <row r="45" spans="1:19" s="227" customFormat="1" ht="17.100000000000001" customHeight="1">
      <c r="A45" s="234">
        <v>1</v>
      </c>
      <c r="B45" s="235" t="s">
        <v>144</v>
      </c>
      <c r="C45" s="349">
        <f>'Design Regulator'!E50</f>
        <v>1200</v>
      </c>
      <c r="D45" s="448">
        <f t="shared" ref="D45" si="1">C45</f>
        <v>1200</v>
      </c>
      <c r="E45" s="449"/>
      <c r="F45" s="449"/>
      <c r="G45" s="247"/>
      <c r="H45" s="237"/>
      <c r="I45" s="238" t="s">
        <v>137</v>
      </c>
      <c r="J45" s="338" t="s">
        <v>137</v>
      </c>
      <c r="K45" s="350" t="str">
        <f>CHOOSE(Q45, 'Variable Management'!N69,'Variable Management'!N70,'Variable Management'!N71)</f>
        <v>1.6 x 0.8</v>
      </c>
      <c r="L45" s="351">
        <f>CHOOSE(Q45, 'Variable Management'!O69,'Variable Management'!O70,'Variable Management'!O71)</f>
        <v>1.3</v>
      </c>
      <c r="P45" s="354"/>
      <c r="Q45" s="357">
        <v>2</v>
      </c>
      <c r="R45" s="354"/>
      <c r="S45" s="354"/>
    </row>
    <row r="46" spans="1:19" s="227" customFormat="1" ht="17.100000000000001" customHeight="1">
      <c r="A46" s="234">
        <v>1</v>
      </c>
      <c r="B46" s="235" t="s">
        <v>145</v>
      </c>
      <c r="C46" s="248">
        <v>2.2000000000000002</v>
      </c>
      <c r="D46" s="439">
        <f t="shared" si="0"/>
        <v>2.2000000000000002</v>
      </c>
      <c r="E46" s="440"/>
      <c r="F46" s="440"/>
      <c r="G46" s="247"/>
      <c r="H46" s="237"/>
      <c r="I46" s="238" t="s">
        <v>137</v>
      </c>
      <c r="J46" s="338" t="s">
        <v>137</v>
      </c>
      <c r="K46" s="340" t="str">
        <f>CHOOSE(Q46, 'Variable Management'!N69,'Variable Management'!N70,'Variable Management'!N71)</f>
        <v>2.0 x 1.25</v>
      </c>
      <c r="L46" s="334">
        <f>CHOOSE(Q46, 'Variable Management'!O69,'Variable Management'!O70,'Variable Management'!O71)</f>
        <v>2.5</v>
      </c>
      <c r="P46" s="354"/>
      <c r="Q46" s="357">
        <v>3</v>
      </c>
      <c r="R46" s="354"/>
      <c r="S46" s="354"/>
    </row>
    <row r="47" spans="1:19" s="227" customFormat="1" ht="17.100000000000001" customHeight="1">
      <c r="A47" s="234">
        <v>1</v>
      </c>
      <c r="B47" s="235" t="s">
        <v>146</v>
      </c>
      <c r="C47" s="248">
        <v>0.1</v>
      </c>
      <c r="D47" s="450">
        <f t="shared" si="0"/>
        <v>0.1</v>
      </c>
      <c r="E47" s="451"/>
      <c r="F47" s="451"/>
      <c r="G47" s="247"/>
      <c r="H47" s="237"/>
      <c r="I47" s="238" t="s">
        <v>137</v>
      </c>
      <c r="J47" s="338" t="s">
        <v>137</v>
      </c>
      <c r="K47" s="340" t="str">
        <f>CHOOSE(Q47, 'Variable Management'!N69,'Variable Management'!N70,'Variable Management'!N71)</f>
        <v>1.6 x 0.8</v>
      </c>
      <c r="L47" s="334">
        <f>CHOOSE(Q47, 'Variable Management'!O69,'Variable Management'!O70,'Variable Management'!O71)</f>
        <v>1.3</v>
      </c>
      <c r="P47" s="354"/>
      <c r="Q47" s="357">
        <v>2</v>
      </c>
      <c r="R47" s="354"/>
      <c r="S47" s="354"/>
    </row>
    <row r="48" spans="1:19" s="227" customFormat="1" ht="17.100000000000001" customHeight="1">
      <c r="A48" s="223">
        <v>1</v>
      </c>
      <c r="B48" s="242" t="s">
        <v>147</v>
      </c>
      <c r="C48" s="251">
        <f>'Design Regulator'!E17</f>
        <v>3.3</v>
      </c>
      <c r="D48" s="441" t="str">
        <f>"Inductor, "&amp;Lout2*1000000&amp;"µH, "&amp;Rdcr*1000&amp;"mΩ, &gt;"&amp;ROUNDUP(Ilsat,0)&amp;"A"</f>
        <v>Inductor, 3.3µH, 6mΩ, &gt;18A</v>
      </c>
      <c r="E48" s="442"/>
      <c r="F48" s="442"/>
      <c r="G48" s="447"/>
      <c r="H48" s="246"/>
      <c r="I48" s="246" t="s">
        <v>148</v>
      </c>
      <c r="J48" s="337" t="s">
        <v>148</v>
      </c>
      <c r="K48" s="341" t="str">
        <f>CHOOSE(Q48, 'Variable Management'!N78,'Variable Management'!N79,'Variable Management'!N80, 'Variable Management'!N81, 'Variable Management'!N82, 'Variable Management'!N83, 'Variable Management'!N84, 'Variable Management'!N85)</f>
        <v>10.0 x 10.0</v>
      </c>
      <c r="L48" s="342">
        <f>CHOOSE(Q48, 'Variable Management'!O78,'Variable Management'!O79,'Variable Management'!O80, 'Variable Management'!O81, 'Variable Management'!O82, 'Variable Management'!O83, 'Variable Management'!O84, 'Variable Management'!O85)</f>
        <v>100</v>
      </c>
      <c r="P48" s="354"/>
      <c r="Q48" s="357">
        <v>7</v>
      </c>
      <c r="R48" s="354"/>
      <c r="S48" s="354"/>
    </row>
    <row r="49" spans="1:19" s="227" customFormat="1" ht="17.100000000000001" customHeight="1">
      <c r="A49" s="234">
        <f>R49</f>
        <v>1</v>
      </c>
      <c r="B49" s="235" t="s">
        <v>149</v>
      </c>
      <c r="C49" s="250" t="s">
        <v>150</v>
      </c>
      <c r="D49" s="422">
        <f>'Design Regulator'!E85</f>
        <v>52</v>
      </c>
      <c r="E49" s="423"/>
      <c r="F49" s="423"/>
      <c r="G49" s="424"/>
      <c r="H49" s="238"/>
      <c r="I49" s="238" t="str">
        <f>'Design Regulator'!E84</f>
        <v>CSD19538Q3A</v>
      </c>
      <c r="J49" s="338" t="s">
        <v>151</v>
      </c>
      <c r="K49" s="340" t="str">
        <f>CHOOSE(Q49, 'Variable Management'!N48,'Variable Management'!N49,'Variable Management'!N50,'Variable Management'!N51)</f>
        <v>5.0 x 6.0</v>
      </c>
      <c r="L49" s="334">
        <f>CHOOSE(Q49, 'Variable Management'!O48,'Variable Management'!O49,'Variable Management'!O50,'Variable Management'!O51)*R49</f>
        <v>30</v>
      </c>
      <c r="P49" s="354"/>
      <c r="Q49" s="357">
        <v>1</v>
      </c>
      <c r="R49" s="357">
        <v>1</v>
      </c>
      <c r="S49" s="354"/>
    </row>
    <row r="50" spans="1:19" s="227" customFormat="1" ht="17.100000000000001" customHeight="1">
      <c r="A50" s="234">
        <f>R50</f>
        <v>1</v>
      </c>
      <c r="B50" s="235" t="s">
        <v>152</v>
      </c>
      <c r="C50" s="250" t="s">
        <v>150</v>
      </c>
      <c r="D50" s="422">
        <f>'Design Regulator'!E97</f>
        <v>10</v>
      </c>
      <c r="E50" s="423"/>
      <c r="F50" s="423"/>
      <c r="G50" s="424"/>
      <c r="H50" s="238"/>
      <c r="I50" s="238" t="str">
        <f>'Design Regulator'!E96</f>
        <v>NVMFS6B14NL</v>
      </c>
      <c r="J50" s="338" t="s">
        <v>151</v>
      </c>
      <c r="K50" s="340" t="str">
        <f>CHOOSE(Q50, 'Variable Management'!N48,'Variable Management'!N49,'Variable Management'!N50,'Variable Management'!N51)</f>
        <v>5.0 x 6.0</v>
      </c>
      <c r="L50" s="334">
        <f>CHOOSE(Q50, 'Variable Management'!O48,'Variable Management'!O49,'Variable Management'!O50,'Variable Management'!O51)*R50</f>
        <v>30</v>
      </c>
      <c r="P50" s="354"/>
      <c r="Q50" s="357">
        <v>1</v>
      </c>
      <c r="R50" s="357">
        <v>1</v>
      </c>
      <c r="S50" s="354"/>
    </row>
    <row r="51" spans="1:19" s="227" customFormat="1" ht="17.100000000000001" customHeight="1">
      <c r="A51" s="234"/>
      <c r="B51" s="235"/>
      <c r="C51" s="250"/>
      <c r="D51" s="325"/>
      <c r="E51" s="326"/>
      <c r="F51" s="326"/>
      <c r="G51" s="327"/>
      <c r="H51" s="238"/>
      <c r="I51" s="238"/>
      <c r="J51" s="338"/>
      <c r="K51" s="340"/>
      <c r="L51" s="334"/>
      <c r="P51" s="354"/>
      <c r="Q51" s="357"/>
      <c r="R51" s="354"/>
      <c r="S51" s="354"/>
    </row>
    <row r="52" spans="1:19" s="227" customFormat="1" ht="17.100000000000001" customHeight="1">
      <c r="A52" s="228">
        <v>1</v>
      </c>
      <c r="B52" s="229" t="s">
        <v>153</v>
      </c>
      <c r="C52" s="230">
        <f>'Design Regulator'!D74</f>
        <v>16.5</v>
      </c>
      <c r="D52" s="419">
        <f t="shared" ref="D52:D62" si="2">C52</f>
        <v>16.5</v>
      </c>
      <c r="E52" s="420"/>
      <c r="F52" s="420"/>
      <c r="G52" s="421"/>
      <c r="H52" s="231"/>
      <c r="I52" s="232" t="s">
        <v>137</v>
      </c>
      <c r="J52" s="339" t="s">
        <v>137</v>
      </c>
      <c r="K52" s="341" t="str">
        <f>CHOOSE(Q52, 'Variable Management'!N69,'Variable Management'!N70,'Variable Management'!N71)</f>
        <v>1.0 x 0.5</v>
      </c>
      <c r="L52" s="342">
        <f>CHOOSE(Q52, 'Variable Management'!O69,'Variable Management'!O70,'Variable Management'!O71)</f>
        <v>0.5</v>
      </c>
      <c r="P52" s="354"/>
      <c r="Q52" s="357">
        <v>1</v>
      </c>
      <c r="R52" s="354"/>
      <c r="S52" s="354"/>
    </row>
    <row r="53" spans="1:19" s="227" customFormat="1" ht="17.100000000000001" customHeight="1">
      <c r="A53" s="228">
        <v>1</v>
      </c>
      <c r="B53" s="229" t="s">
        <v>154</v>
      </c>
      <c r="C53" s="233">
        <f>'Design Regulator'!D77</f>
        <v>316</v>
      </c>
      <c r="D53" s="443">
        <f t="shared" si="2"/>
        <v>316</v>
      </c>
      <c r="E53" s="444"/>
      <c r="F53" s="444"/>
      <c r="G53" s="445"/>
      <c r="H53" s="231"/>
      <c r="I53" s="232" t="s">
        <v>137</v>
      </c>
      <c r="J53" s="339" t="s">
        <v>137</v>
      </c>
      <c r="K53" s="341" t="str">
        <f>CHOOSE(Q52, 'Variable Management'!N69,'Variable Management'!N70,'Variable Management'!N71)</f>
        <v>1.0 x 0.5</v>
      </c>
      <c r="L53" s="342">
        <f>CHOOSE(Q53, 'Variable Management'!O69,'Variable Management'!O70,'Variable Management'!O71)</f>
        <v>0.5</v>
      </c>
      <c r="P53" s="354"/>
      <c r="Q53" s="357">
        <v>1</v>
      </c>
      <c r="R53" s="354"/>
      <c r="S53" s="354"/>
    </row>
    <row r="54" spans="1:19" s="227" customFormat="1" ht="17.100000000000001" customHeight="1">
      <c r="A54" s="228">
        <v>1</v>
      </c>
      <c r="B54" s="229" t="s">
        <v>155</v>
      </c>
      <c r="C54" s="233">
        <f>'Design Regulator'!E26</f>
        <v>536</v>
      </c>
      <c r="D54" s="443">
        <f t="shared" si="2"/>
        <v>536</v>
      </c>
      <c r="E54" s="444"/>
      <c r="F54" s="444"/>
      <c r="G54" s="445"/>
      <c r="H54" s="231"/>
      <c r="I54" s="232" t="s">
        <v>137</v>
      </c>
      <c r="J54" s="339" t="s">
        <v>137</v>
      </c>
      <c r="K54" s="341" t="str">
        <f>CHOOSE(Q52, 'Variable Management'!N69,'Variable Management'!N70,'Variable Management'!N71)</f>
        <v>1.0 x 0.5</v>
      </c>
      <c r="L54" s="342">
        <f>CHOOSE(Q54, 'Variable Management'!O69,'Variable Management'!O70,'Variable Management'!O71)</f>
        <v>2.5</v>
      </c>
      <c r="P54" s="354"/>
      <c r="Q54" s="357">
        <v>3</v>
      </c>
      <c r="R54" s="354"/>
      <c r="S54" s="354"/>
    </row>
    <row r="55" spans="1:19" s="227" customFormat="1" ht="17.100000000000001" customHeight="1">
      <c r="A55" s="228">
        <v>1</v>
      </c>
      <c r="B55" s="229" t="s">
        <v>156</v>
      </c>
      <c r="C55" s="230">
        <f>'Design Regulator'!E13</f>
        <v>33.200000000000003</v>
      </c>
      <c r="D55" s="419">
        <f t="shared" si="2"/>
        <v>33.200000000000003</v>
      </c>
      <c r="E55" s="420"/>
      <c r="F55" s="420"/>
      <c r="G55" s="421"/>
      <c r="H55" s="231"/>
      <c r="I55" s="232" t="s">
        <v>137</v>
      </c>
      <c r="J55" s="339" t="s">
        <v>137</v>
      </c>
      <c r="K55" s="341" t="str">
        <f>CHOOSE(Q55, 'Variable Management'!N69,'Variable Management'!N70,'Variable Management'!N71)</f>
        <v>1.0 x 0.5</v>
      </c>
      <c r="L55" s="342">
        <f>CHOOSE(Q55, 'Variable Management'!O69,'Variable Management'!O70,'Variable Management'!O71)</f>
        <v>0.5</v>
      </c>
      <c r="P55" s="354"/>
      <c r="Q55" s="357">
        <v>1</v>
      </c>
      <c r="R55" s="354"/>
      <c r="S55" s="354"/>
    </row>
    <row r="56" spans="1:19" s="227" customFormat="1" ht="17.100000000000001" customHeight="1">
      <c r="A56" s="228">
        <v>1</v>
      </c>
      <c r="B56" s="229" t="s">
        <v>157</v>
      </c>
      <c r="C56" s="230">
        <f>'Design Regulator'!E63</f>
        <v>22.1</v>
      </c>
      <c r="D56" s="419">
        <f t="shared" si="2"/>
        <v>22.1</v>
      </c>
      <c r="E56" s="420"/>
      <c r="F56" s="420"/>
      <c r="G56" s="421"/>
      <c r="H56" s="231"/>
      <c r="I56" s="232" t="s">
        <v>137</v>
      </c>
      <c r="J56" s="339" t="s">
        <v>137</v>
      </c>
      <c r="K56" s="341" t="str">
        <f>CHOOSE(Q56, 'Variable Management'!N69,'Variable Management'!N70,'Variable Management'!N71)</f>
        <v>1.0 x 0.5</v>
      </c>
      <c r="L56" s="342">
        <f>CHOOSE(Q56, 'Variable Management'!O69,'Variable Management'!O70,'Variable Management'!O71)</f>
        <v>0.5</v>
      </c>
      <c r="P56" s="354"/>
      <c r="Q56" s="357">
        <v>1</v>
      </c>
      <c r="R56" s="354"/>
      <c r="S56" s="354"/>
    </row>
    <row r="57" spans="1:19" s="227" customFormat="1" ht="17.100000000000001" customHeight="1">
      <c r="A57" s="228">
        <v>1</v>
      </c>
      <c r="B57" s="229" t="s">
        <v>158</v>
      </c>
      <c r="C57" s="230">
        <f>'Design Regulator'!E64</f>
        <v>4.22</v>
      </c>
      <c r="D57" s="419">
        <f t="shared" si="2"/>
        <v>4.22</v>
      </c>
      <c r="E57" s="420"/>
      <c r="F57" s="420"/>
      <c r="G57" s="421"/>
      <c r="H57" s="231"/>
      <c r="I57" s="232" t="s">
        <v>137</v>
      </c>
      <c r="J57" s="339" t="s">
        <v>137</v>
      </c>
      <c r="K57" s="341" t="str">
        <f>CHOOSE(Q57, 'Variable Management'!N69,'Variable Management'!N70,'Variable Management'!N71)</f>
        <v>1.0 x 0.5</v>
      </c>
      <c r="L57" s="342">
        <f>CHOOSE(Q57, 'Variable Management'!O69,'Variable Management'!O70,'Variable Management'!O71)</f>
        <v>0.5</v>
      </c>
      <c r="P57" s="354"/>
      <c r="Q57" s="357">
        <v>1</v>
      </c>
      <c r="R57" s="354"/>
      <c r="S57" s="354"/>
    </row>
    <row r="58" spans="1:19" s="227" customFormat="1" ht="17.100000000000001" customHeight="1">
      <c r="A58" s="234">
        <v>1</v>
      </c>
      <c r="B58" s="235" t="s">
        <v>159</v>
      </c>
      <c r="C58" s="236">
        <v>20</v>
      </c>
      <c r="D58" s="416">
        <f t="shared" si="2"/>
        <v>20</v>
      </c>
      <c r="E58" s="417"/>
      <c r="F58" s="417"/>
      <c r="G58" s="418"/>
      <c r="H58" s="237"/>
      <c r="I58" s="238" t="s">
        <v>137</v>
      </c>
      <c r="J58" s="338" t="s">
        <v>137</v>
      </c>
      <c r="K58" s="340" t="str">
        <f>CHOOSE(Q58, 'Variable Management'!N69,'Variable Management'!N70,'Variable Management'!N71)</f>
        <v>1.0 x 0.5</v>
      </c>
      <c r="L58" s="334">
        <f>CHOOSE(Q58, 'Variable Management'!O69,'Variable Management'!O70,'Variable Management'!O71)</f>
        <v>0.5</v>
      </c>
      <c r="P58" s="354"/>
      <c r="Q58" s="357">
        <v>1</v>
      </c>
      <c r="R58" s="354"/>
      <c r="S58" s="354"/>
    </row>
    <row r="59" spans="1:19" s="227" customFormat="1" ht="17.100000000000001" customHeight="1">
      <c r="A59" s="234">
        <v>1</v>
      </c>
      <c r="B59" s="235" t="s">
        <v>160</v>
      </c>
      <c r="C59" s="372">
        <f>'Design Regulator'!E24</f>
        <v>6</v>
      </c>
      <c r="D59" s="428">
        <f t="shared" si="2"/>
        <v>6</v>
      </c>
      <c r="E59" s="429"/>
      <c r="F59" s="429"/>
      <c r="G59" s="430"/>
      <c r="H59" s="371">
        <v>1206</v>
      </c>
      <c r="I59" s="238" t="s">
        <v>137</v>
      </c>
      <c r="J59" s="338" t="s">
        <v>137</v>
      </c>
      <c r="K59" s="340" t="s">
        <v>161</v>
      </c>
      <c r="L59" s="334">
        <f>CHOOSE(RDSON_sense, 0,5.1)</f>
        <v>0</v>
      </c>
      <c r="P59" s="354"/>
      <c r="Q59" s="357"/>
      <c r="R59" s="354"/>
      <c r="S59" s="354"/>
    </row>
    <row r="60" spans="1:19" s="227" customFormat="1" ht="17.100000000000001" customHeight="1">
      <c r="A60" s="228">
        <v>1</v>
      </c>
      <c r="B60" s="229" t="s">
        <v>162</v>
      </c>
      <c r="C60" s="230">
        <f>'Design Regulator'!E53</f>
        <v>49.900000000000006</v>
      </c>
      <c r="D60" s="419">
        <f t="shared" si="2"/>
        <v>49.900000000000006</v>
      </c>
      <c r="E60" s="420"/>
      <c r="F60" s="420"/>
      <c r="G60" s="421"/>
      <c r="H60" s="231"/>
      <c r="I60" s="232" t="s">
        <v>137</v>
      </c>
      <c r="J60" s="339" t="s">
        <v>137</v>
      </c>
      <c r="K60" s="341" t="str">
        <f>CHOOSE(Q60, 'Variable Management'!N69,'Variable Management'!N70,'Variable Management'!N71)</f>
        <v>1.6 x 0.8</v>
      </c>
      <c r="L60" s="342">
        <f>CHOOSE(Q60, 'Variable Management'!O69,'Variable Management'!O70,'Variable Management'!O71)</f>
        <v>1.3</v>
      </c>
      <c r="P60" s="354"/>
      <c r="Q60" s="357">
        <v>2</v>
      </c>
      <c r="R60" s="354"/>
      <c r="S60" s="354"/>
    </row>
    <row r="61" spans="1:19" s="227" customFormat="1" ht="17.100000000000001" customHeight="1">
      <c r="A61" s="228">
        <v>1</v>
      </c>
      <c r="B61" s="229" t="s">
        <v>163</v>
      </c>
      <c r="C61" s="230">
        <f>'Design Regulator'!E54</f>
        <v>4.53</v>
      </c>
      <c r="D61" s="419">
        <f t="shared" si="2"/>
        <v>4.53</v>
      </c>
      <c r="E61" s="420"/>
      <c r="F61" s="420"/>
      <c r="G61" s="421"/>
      <c r="H61" s="231"/>
      <c r="I61" s="232" t="s">
        <v>137</v>
      </c>
      <c r="J61" s="339" t="s">
        <v>137</v>
      </c>
      <c r="K61" s="341" t="str">
        <f>CHOOSE(Q61, 'Variable Management'!N69,'Variable Management'!N70,'Variable Management'!N71)</f>
        <v>1.0 x 0.5</v>
      </c>
      <c r="L61" s="342">
        <f>CHOOSE(Q61, 'Variable Management'!O69,'Variable Management'!O70,'Variable Management'!O71)</f>
        <v>0.5</v>
      </c>
      <c r="P61" s="354"/>
      <c r="Q61" s="357">
        <v>1</v>
      </c>
      <c r="R61" s="354"/>
      <c r="S61" s="354"/>
    </row>
    <row r="62" spans="1:19" s="227" customFormat="1" ht="17.100000000000001" customHeight="1">
      <c r="A62" s="234">
        <v>1</v>
      </c>
      <c r="B62" s="235" t="s">
        <v>164</v>
      </c>
      <c r="C62" s="250">
        <v>2.2000000000000002</v>
      </c>
      <c r="D62" s="425">
        <f t="shared" si="2"/>
        <v>2.2000000000000002</v>
      </c>
      <c r="E62" s="426"/>
      <c r="F62" s="426"/>
      <c r="G62" s="427"/>
      <c r="H62" s="237"/>
      <c r="I62" s="238" t="s">
        <v>137</v>
      </c>
      <c r="J62" s="338" t="s">
        <v>137</v>
      </c>
      <c r="K62" s="340" t="str">
        <f>CHOOSE(Q62, 'Variable Management'!N69,'Variable Management'!N70,'Variable Management'!N71)</f>
        <v>1.0 x 0.5</v>
      </c>
      <c r="L62" s="334">
        <f>CHOOSE(Q62, 'Variable Management'!O69,'Variable Management'!O70,'Variable Management'!O71)</f>
        <v>0.5</v>
      </c>
      <c r="P62" s="354"/>
      <c r="Q62" s="357">
        <v>1</v>
      </c>
      <c r="R62" s="354"/>
      <c r="S62" s="354"/>
    </row>
    <row r="63" spans="1:19" s="227" customFormat="1" ht="17.100000000000001" customHeight="1">
      <c r="A63" s="253">
        <v>1</v>
      </c>
      <c r="B63" s="254" t="s">
        <v>165</v>
      </c>
      <c r="C63" s="252" t="str">
        <f>CHOOSE(VARIANT, "LM5145", "LM5145-Q1", "LM25145", "LM5146", "LM5146-Q1")</f>
        <v>LM5146-Q1</v>
      </c>
      <c r="D63" s="413" t="str">
        <f>CHOOSE(VARIANT, "IC, LM5145, PWM Controller, 6V-75V Input", "IC, LM5145-Q1, PWM Controller, 6V-75V Input", "IC, LM25145, PWM Controller, 6V-42V Input", "IC, LM5146 PWM Controller, 5.5V-100V Input", "IC, LM5146-Q1, PWM Controller, 5.5V-100V Input")</f>
        <v>IC, LM5146-Q1, PWM Controller, 5.5V-100V Input</v>
      </c>
      <c r="E63" s="414"/>
      <c r="F63" s="414"/>
      <c r="G63" s="415"/>
      <c r="H63" s="255" t="s">
        <v>166</v>
      </c>
      <c r="I63" s="255" t="str">
        <f>CHOOSE(VARIANT, "LM5145RGYR", "LM5145QRGYRQ1", "LM25145RGYR", "LM5146RGYR", "LM5146QRGYRQ1",)</f>
        <v>LM5146QRGYRQ1</v>
      </c>
      <c r="J63" s="324" t="s">
        <v>151</v>
      </c>
      <c r="K63" s="340" t="s">
        <v>167</v>
      </c>
      <c r="L63" s="335">
        <v>15.75</v>
      </c>
      <c r="P63" s="354"/>
      <c r="Q63" s="357"/>
      <c r="R63" s="354"/>
      <c r="S63" s="354"/>
    </row>
    <row r="64" spans="1:19">
      <c r="P64" s="363"/>
      <c r="Q64" s="364"/>
      <c r="R64" s="363"/>
      <c r="S64" s="363"/>
    </row>
    <row r="65" spans="1:15" ht="18">
      <c r="I65" s="446" t="s">
        <v>168</v>
      </c>
      <c r="J65" s="446"/>
      <c r="K65" s="446"/>
      <c r="L65" s="345">
        <f>SUM(L38:L63)*1.25</f>
        <v>670.9375</v>
      </c>
      <c r="M65" s="346" t="s">
        <v>169</v>
      </c>
      <c r="N65" s="347">
        <f>L65/25.4/25.4</f>
        <v>1.0399552049104099</v>
      </c>
      <c r="O65" s="346" t="s">
        <v>170</v>
      </c>
    </row>
    <row r="66" spans="1:15">
      <c r="A66" s="260" t="s">
        <v>171</v>
      </c>
    </row>
    <row r="67" spans="1:15">
      <c r="A67" s="220" t="s">
        <v>172</v>
      </c>
    </row>
    <row r="68" spans="1:15">
      <c r="A68" s="220" t="s">
        <v>173</v>
      </c>
    </row>
    <row r="455" spans="17:17">
      <c r="Q455" s="220">
        <v>2</v>
      </c>
    </row>
  </sheetData>
  <sheetProtection algorithmName="SHA-512" hashValue="krwzp8ekoN0dSGTZZP6A75/wCRHduBqse/fAtGr5sWD/Gr0HghhzdmX50qS5gSIlnyq/Jke7EuYuVjiBhkRVvw==" saltValue="EgPEQVuZ+VJgMx0WOOXibA==" spinCount="100000" sheet="1" objects="1" scenarios="1" selectLockedCells="1" selectUnlockedCells="1"/>
  <mergeCells count="27">
    <mergeCell ref="I65:K65"/>
    <mergeCell ref="D54:G54"/>
    <mergeCell ref="D48:G48"/>
    <mergeCell ref="D44:F44"/>
    <mergeCell ref="D45:F45"/>
    <mergeCell ref="D47:F47"/>
    <mergeCell ref="D42:F42"/>
    <mergeCell ref="D46:F46"/>
    <mergeCell ref="D43:F43"/>
    <mergeCell ref="D52:G52"/>
    <mergeCell ref="D53:G53"/>
    <mergeCell ref="D37:G37"/>
    <mergeCell ref="D63:G63"/>
    <mergeCell ref="D58:G58"/>
    <mergeCell ref="D56:G56"/>
    <mergeCell ref="D57:G57"/>
    <mergeCell ref="D49:G49"/>
    <mergeCell ref="D50:G50"/>
    <mergeCell ref="D55:G55"/>
    <mergeCell ref="D60:G60"/>
    <mergeCell ref="D61:G61"/>
    <mergeCell ref="D62:G62"/>
    <mergeCell ref="D59:G59"/>
    <mergeCell ref="D38:F38"/>
    <mergeCell ref="D39:F39"/>
    <mergeCell ref="D40:F40"/>
    <mergeCell ref="D41:F41"/>
  </mergeCells>
  <conditionalFormatting sqref="A59:J59">
    <cfRule type="expression" dxfId="4" priority="6">
      <formula>RDSON_sense=1</formula>
    </cfRule>
  </conditionalFormatting>
  <conditionalFormatting sqref="K59">
    <cfRule type="expression" dxfId="3" priority="5">
      <formula>RDSON_sense=1</formula>
    </cfRule>
  </conditionalFormatting>
  <conditionalFormatting sqref="L59">
    <cfRule type="expression" dxfId="2" priority="3">
      <formula>RDSON_sense=1</formula>
    </cfRule>
  </conditionalFormatting>
  <conditionalFormatting sqref="A42:F42">
    <cfRule type="expression" dxfId="1" priority="2">
      <formula>RDSON_sense=0</formula>
    </cfRule>
  </conditionalFormatting>
  <conditionalFormatting sqref="I42:L42">
    <cfRule type="expression" dxfId="0" priority="1">
      <formula>RDSON_sense=0</formula>
    </cfRule>
  </conditionalFormatting>
  <printOptions horizontalCentered="1"/>
  <pageMargins left="0.23" right="0.23" top="0.7" bottom="0.61" header="0.3" footer="0.5"/>
  <pageSetup scale="84" fitToHeight="2" orientation="landscape" r:id="rId1"/>
  <headerFooter alignWithMargins="0"/>
  <rowBreaks count="1" manualBreakCount="1">
    <brk id="34" max="9" man="1"/>
  </rowBreaks>
  <ignoredErrors>
    <ignoredError sqref="L5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3839" r:id="rId4" name="Drop Down 47">
              <controlPr defaultSize="0" autoLine="0" autoPict="0">
                <anchor moveWithCells="1">
                  <from>
                    <xdr:col>7</xdr:col>
                    <xdr:colOff>0</xdr:colOff>
                    <xdr:row>48</xdr:row>
                    <xdr:rowOff>0</xdr:rowOff>
                  </from>
                  <to>
                    <xdr:col>8</xdr:col>
                    <xdr:colOff>0</xdr:colOff>
                    <xdr:row>48</xdr:row>
                    <xdr:rowOff>203200</xdr:rowOff>
                  </to>
                </anchor>
              </controlPr>
            </control>
          </mc:Choice>
        </mc:AlternateContent>
        <mc:AlternateContent xmlns:mc="http://schemas.openxmlformats.org/markup-compatibility/2006">
          <mc:Choice Requires="x14">
            <control shapeId="673840" r:id="rId5" name="Drop Down 48">
              <controlPr defaultSize="0" autoLine="0" autoPict="0">
                <anchor moveWithCells="1">
                  <from>
                    <xdr:col>7</xdr:col>
                    <xdr:colOff>0</xdr:colOff>
                    <xdr:row>49</xdr:row>
                    <xdr:rowOff>0</xdr:rowOff>
                  </from>
                  <to>
                    <xdr:col>8</xdr:col>
                    <xdr:colOff>0</xdr:colOff>
                    <xdr:row>49</xdr:row>
                    <xdr:rowOff>203200</xdr:rowOff>
                  </to>
                </anchor>
              </controlPr>
            </control>
          </mc:Choice>
        </mc:AlternateContent>
        <mc:AlternateContent xmlns:mc="http://schemas.openxmlformats.org/markup-compatibility/2006">
          <mc:Choice Requires="x14">
            <control shapeId="673855" r:id="rId6" name="Drop Down 63">
              <controlPr defaultSize="0" autoLine="0" autoPict="0">
                <anchor moveWithCells="1">
                  <from>
                    <xdr:col>7</xdr:col>
                    <xdr:colOff>0</xdr:colOff>
                    <xdr:row>37</xdr:row>
                    <xdr:rowOff>0</xdr:rowOff>
                  </from>
                  <to>
                    <xdr:col>7</xdr:col>
                    <xdr:colOff>876300</xdr:colOff>
                    <xdr:row>37</xdr:row>
                    <xdr:rowOff>203200</xdr:rowOff>
                  </to>
                </anchor>
              </controlPr>
            </control>
          </mc:Choice>
        </mc:AlternateContent>
        <mc:AlternateContent xmlns:mc="http://schemas.openxmlformats.org/markup-compatibility/2006">
          <mc:Choice Requires="x14">
            <control shapeId="673857" r:id="rId7" name="Drop Down 65">
              <controlPr defaultSize="0" autoLine="0" autoPict="0">
                <anchor moveWithCells="1">
                  <from>
                    <xdr:col>7</xdr:col>
                    <xdr:colOff>0</xdr:colOff>
                    <xdr:row>38</xdr:row>
                    <xdr:rowOff>0</xdr:rowOff>
                  </from>
                  <to>
                    <xdr:col>7</xdr:col>
                    <xdr:colOff>876300</xdr:colOff>
                    <xdr:row>38</xdr:row>
                    <xdr:rowOff>203200</xdr:rowOff>
                  </to>
                </anchor>
              </controlPr>
            </control>
          </mc:Choice>
        </mc:AlternateContent>
        <mc:AlternateContent xmlns:mc="http://schemas.openxmlformats.org/markup-compatibility/2006">
          <mc:Choice Requires="x14">
            <control shapeId="673858" r:id="rId8" name="Drop Down 66">
              <controlPr defaultSize="0" autoLine="0" autoPict="0">
                <anchor moveWithCells="1">
                  <from>
                    <xdr:col>7</xdr:col>
                    <xdr:colOff>0</xdr:colOff>
                    <xdr:row>39</xdr:row>
                    <xdr:rowOff>0</xdr:rowOff>
                  </from>
                  <to>
                    <xdr:col>7</xdr:col>
                    <xdr:colOff>876300</xdr:colOff>
                    <xdr:row>39</xdr:row>
                    <xdr:rowOff>203200</xdr:rowOff>
                  </to>
                </anchor>
              </controlPr>
            </control>
          </mc:Choice>
        </mc:AlternateContent>
        <mc:AlternateContent xmlns:mc="http://schemas.openxmlformats.org/markup-compatibility/2006">
          <mc:Choice Requires="x14">
            <control shapeId="673859" r:id="rId9" name="Drop Down 67">
              <controlPr defaultSize="0" autoLine="0" autoPict="0">
                <anchor moveWithCells="1">
                  <from>
                    <xdr:col>7</xdr:col>
                    <xdr:colOff>0</xdr:colOff>
                    <xdr:row>40</xdr:row>
                    <xdr:rowOff>0</xdr:rowOff>
                  </from>
                  <to>
                    <xdr:col>7</xdr:col>
                    <xdr:colOff>876300</xdr:colOff>
                    <xdr:row>40</xdr:row>
                    <xdr:rowOff>203200</xdr:rowOff>
                  </to>
                </anchor>
              </controlPr>
            </control>
          </mc:Choice>
        </mc:AlternateContent>
        <mc:AlternateContent xmlns:mc="http://schemas.openxmlformats.org/markup-compatibility/2006">
          <mc:Choice Requires="x14">
            <control shapeId="673860" r:id="rId10" name="Drop Down 68">
              <controlPr defaultSize="0" autoLine="0" autoPict="0">
                <anchor moveWithCells="1">
                  <from>
                    <xdr:col>7</xdr:col>
                    <xdr:colOff>0</xdr:colOff>
                    <xdr:row>41</xdr:row>
                    <xdr:rowOff>0</xdr:rowOff>
                  </from>
                  <to>
                    <xdr:col>7</xdr:col>
                    <xdr:colOff>876300</xdr:colOff>
                    <xdr:row>41</xdr:row>
                    <xdr:rowOff>203200</xdr:rowOff>
                  </to>
                </anchor>
              </controlPr>
            </control>
          </mc:Choice>
        </mc:AlternateContent>
        <mc:AlternateContent xmlns:mc="http://schemas.openxmlformats.org/markup-compatibility/2006">
          <mc:Choice Requires="x14">
            <control shapeId="673861" r:id="rId11" name="Drop Down 69">
              <controlPr defaultSize="0" autoLine="0" autoPict="0">
                <anchor moveWithCells="1">
                  <from>
                    <xdr:col>7</xdr:col>
                    <xdr:colOff>0</xdr:colOff>
                    <xdr:row>44</xdr:row>
                    <xdr:rowOff>0</xdr:rowOff>
                  </from>
                  <to>
                    <xdr:col>7</xdr:col>
                    <xdr:colOff>876300</xdr:colOff>
                    <xdr:row>44</xdr:row>
                    <xdr:rowOff>203200</xdr:rowOff>
                  </to>
                </anchor>
              </controlPr>
            </control>
          </mc:Choice>
        </mc:AlternateContent>
        <mc:AlternateContent xmlns:mc="http://schemas.openxmlformats.org/markup-compatibility/2006">
          <mc:Choice Requires="x14">
            <control shapeId="673862" r:id="rId12" name="Drop Down 70">
              <controlPr defaultSize="0" autoLine="0" autoPict="0">
                <anchor moveWithCells="1">
                  <from>
                    <xdr:col>7</xdr:col>
                    <xdr:colOff>0</xdr:colOff>
                    <xdr:row>45</xdr:row>
                    <xdr:rowOff>0</xdr:rowOff>
                  </from>
                  <to>
                    <xdr:col>7</xdr:col>
                    <xdr:colOff>876300</xdr:colOff>
                    <xdr:row>45</xdr:row>
                    <xdr:rowOff>203200</xdr:rowOff>
                  </to>
                </anchor>
              </controlPr>
            </control>
          </mc:Choice>
        </mc:AlternateContent>
        <mc:AlternateContent xmlns:mc="http://schemas.openxmlformats.org/markup-compatibility/2006">
          <mc:Choice Requires="x14">
            <control shapeId="673863" r:id="rId13" name="Drop Down 71">
              <controlPr defaultSize="0" autoLine="0" autoPict="0">
                <anchor moveWithCells="1">
                  <from>
                    <xdr:col>7</xdr:col>
                    <xdr:colOff>0</xdr:colOff>
                    <xdr:row>46</xdr:row>
                    <xdr:rowOff>0</xdr:rowOff>
                  </from>
                  <to>
                    <xdr:col>7</xdr:col>
                    <xdr:colOff>876300</xdr:colOff>
                    <xdr:row>46</xdr:row>
                    <xdr:rowOff>203200</xdr:rowOff>
                  </to>
                </anchor>
              </controlPr>
            </control>
          </mc:Choice>
        </mc:AlternateContent>
        <mc:AlternateContent xmlns:mc="http://schemas.openxmlformats.org/markup-compatibility/2006">
          <mc:Choice Requires="x14">
            <control shapeId="673865" r:id="rId14" name="Drop Down 73">
              <controlPr defaultSize="0" autoLine="0" autoPict="0">
                <anchor moveWithCells="1">
                  <from>
                    <xdr:col>7</xdr:col>
                    <xdr:colOff>0</xdr:colOff>
                    <xdr:row>51</xdr:row>
                    <xdr:rowOff>0</xdr:rowOff>
                  </from>
                  <to>
                    <xdr:col>7</xdr:col>
                    <xdr:colOff>876300</xdr:colOff>
                    <xdr:row>51</xdr:row>
                    <xdr:rowOff>203200</xdr:rowOff>
                  </to>
                </anchor>
              </controlPr>
            </control>
          </mc:Choice>
        </mc:AlternateContent>
        <mc:AlternateContent xmlns:mc="http://schemas.openxmlformats.org/markup-compatibility/2006">
          <mc:Choice Requires="x14">
            <control shapeId="673866" r:id="rId15" name="Drop Down 74">
              <controlPr defaultSize="0" autoLine="0" autoPict="0">
                <anchor moveWithCells="1">
                  <from>
                    <xdr:col>7</xdr:col>
                    <xdr:colOff>0</xdr:colOff>
                    <xdr:row>52</xdr:row>
                    <xdr:rowOff>0</xdr:rowOff>
                  </from>
                  <to>
                    <xdr:col>7</xdr:col>
                    <xdr:colOff>876300</xdr:colOff>
                    <xdr:row>52</xdr:row>
                    <xdr:rowOff>203200</xdr:rowOff>
                  </to>
                </anchor>
              </controlPr>
            </control>
          </mc:Choice>
        </mc:AlternateContent>
        <mc:AlternateContent xmlns:mc="http://schemas.openxmlformats.org/markup-compatibility/2006">
          <mc:Choice Requires="x14">
            <control shapeId="673867" r:id="rId16" name="Drop Down 75">
              <controlPr defaultSize="0" autoLine="0" autoPict="0">
                <anchor moveWithCells="1">
                  <from>
                    <xdr:col>7</xdr:col>
                    <xdr:colOff>0</xdr:colOff>
                    <xdr:row>53</xdr:row>
                    <xdr:rowOff>0</xdr:rowOff>
                  </from>
                  <to>
                    <xdr:col>7</xdr:col>
                    <xdr:colOff>876300</xdr:colOff>
                    <xdr:row>53</xdr:row>
                    <xdr:rowOff>203200</xdr:rowOff>
                  </to>
                </anchor>
              </controlPr>
            </control>
          </mc:Choice>
        </mc:AlternateContent>
        <mc:AlternateContent xmlns:mc="http://schemas.openxmlformats.org/markup-compatibility/2006">
          <mc:Choice Requires="x14">
            <control shapeId="673868" r:id="rId17" name="Drop Down 76">
              <controlPr defaultSize="0" autoLine="0" autoPict="0">
                <anchor moveWithCells="1">
                  <from>
                    <xdr:col>7</xdr:col>
                    <xdr:colOff>0</xdr:colOff>
                    <xdr:row>54</xdr:row>
                    <xdr:rowOff>0</xdr:rowOff>
                  </from>
                  <to>
                    <xdr:col>7</xdr:col>
                    <xdr:colOff>876300</xdr:colOff>
                    <xdr:row>54</xdr:row>
                    <xdr:rowOff>203200</xdr:rowOff>
                  </to>
                </anchor>
              </controlPr>
            </control>
          </mc:Choice>
        </mc:AlternateContent>
        <mc:AlternateContent xmlns:mc="http://schemas.openxmlformats.org/markup-compatibility/2006">
          <mc:Choice Requires="x14">
            <control shapeId="673869" r:id="rId18" name="Drop Down 77">
              <controlPr defaultSize="0" autoLine="0" autoPict="0">
                <anchor moveWithCells="1">
                  <from>
                    <xdr:col>7</xdr:col>
                    <xdr:colOff>0</xdr:colOff>
                    <xdr:row>55</xdr:row>
                    <xdr:rowOff>0</xdr:rowOff>
                  </from>
                  <to>
                    <xdr:col>7</xdr:col>
                    <xdr:colOff>876300</xdr:colOff>
                    <xdr:row>55</xdr:row>
                    <xdr:rowOff>203200</xdr:rowOff>
                  </to>
                </anchor>
              </controlPr>
            </control>
          </mc:Choice>
        </mc:AlternateContent>
        <mc:AlternateContent xmlns:mc="http://schemas.openxmlformats.org/markup-compatibility/2006">
          <mc:Choice Requires="x14">
            <control shapeId="673870" r:id="rId19" name="Drop Down 78">
              <controlPr defaultSize="0" autoLine="0" autoPict="0">
                <anchor moveWithCells="1">
                  <from>
                    <xdr:col>7</xdr:col>
                    <xdr:colOff>0</xdr:colOff>
                    <xdr:row>56</xdr:row>
                    <xdr:rowOff>0</xdr:rowOff>
                  </from>
                  <to>
                    <xdr:col>7</xdr:col>
                    <xdr:colOff>876300</xdr:colOff>
                    <xdr:row>56</xdr:row>
                    <xdr:rowOff>203200</xdr:rowOff>
                  </to>
                </anchor>
              </controlPr>
            </control>
          </mc:Choice>
        </mc:AlternateContent>
        <mc:AlternateContent xmlns:mc="http://schemas.openxmlformats.org/markup-compatibility/2006">
          <mc:Choice Requires="x14">
            <control shapeId="673871" r:id="rId20" name="Drop Down 79">
              <controlPr defaultSize="0" autoLine="0" autoPict="0">
                <anchor moveWithCells="1">
                  <from>
                    <xdr:col>7</xdr:col>
                    <xdr:colOff>0</xdr:colOff>
                    <xdr:row>57</xdr:row>
                    <xdr:rowOff>0</xdr:rowOff>
                  </from>
                  <to>
                    <xdr:col>7</xdr:col>
                    <xdr:colOff>876300</xdr:colOff>
                    <xdr:row>57</xdr:row>
                    <xdr:rowOff>203200</xdr:rowOff>
                  </to>
                </anchor>
              </controlPr>
            </control>
          </mc:Choice>
        </mc:AlternateContent>
        <mc:AlternateContent xmlns:mc="http://schemas.openxmlformats.org/markup-compatibility/2006">
          <mc:Choice Requires="x14">
            <control shapeId="673872" r:id="rId21" name="Drop Down 80">
              <controlPr defaultSize="0" autoLine="0" autoPict="0">
                <anchor moveWithCells="1">
                  <from>
                    <xdr:col>7</xdr:col>
                    <xdr:colOff>0</xdr:colOff>
                    <xdr:row>59</xdr:row>
                    <xdr:rowOff>0</xdr:rowOff>
                  </from>
                  <to>
                    <xdr:col>7</xdr:col>
                    <xdr:colOff>876300</xdr:colOff>
                    <xdr:row>59</xdr:row>
                    <xdr:rowOff>203200</xdr:rowOff>
                  </to>
                </anchor>
              </controlPr>
            </control>
          </mc:Choice>
        </mc:AlternateContent>
        <mc:AlternateContent xmlns:mc="http://schemas.openxmlformats.org/markup-compatibility/2006">
          <mc:Choice Requires="x14">
            <control shapeId="673873" r:id="rId22" name="Drop Down 81">
              <controlPr defaultSize="0" autoLine="0" autoPict="0">
                <anchor moveWithCells="1">
                  <from>
                    <xdr:col>7</xdr:col>
                    <xdr:colOff>0</xdr:colOff>
                    <xdr:row>60</xdr:row>
                    <xdr:rowOff>0</xdr:rowOff>
                  </from>
                  <to>
                    <xdr:col>7</xdr:col>
                    <xdr:colOff>876300</xdr:colOff>
                    <xdr:row>60</xdr:row>
                    <xdr:rowOff>203200</xdr:rowOff>
                  </to>
                </anchor>
              </controlPr>
            </control>
          </mc:Choice>
        </mc:AlternateContent>
        <mc:AlternateContent xmlns:mc="http://schemas.openxmlformats.org/markup-compatibility/2006">
          <mc:Choice Requires="x14">
            <control shapeId="673874" r:id="rId23" name="Drop Down 82">
              <controlPr defaultSize="0" autoLine="0" autoPict="0">
                <anchor moveWithCells="1">
                  <from>
                    <xdr:col>7</xdr:col>
                    <xdr:colOff>0</xdr:colOff>
                    <xdr:row>61</xdr:row>
                    <xdr:rowOff>0</xdr:rowOff>
                  </from>
                  <to>
                    <xdr:col>7</xdr:col>
                    <xdr:colOff>876300</xdr:colOff>
                    <xdr:row>61</xdr:row>
                    <xdr:rowOff>203200</xdr:rowOff>
                  </to>
                </anchor>
              </controlPr>
            </control>
          </mc:Choice>
        </mc:AlternateContent>
        <mc:AlternateContent xmlns:mc="http://schemas.openxmlformats.org/markup-compatibility/2006">
          <mc:Choice Requires="x14">
            <control shapeId="673877" r:id="rId24" name="Drop Down 85">
              <controlPr defaultSize="0" autoLine="0" autoPict="0">
                <anchor moveWithCells="1">
                  <from>
                    <xdr:col>7</xdr:col>
                    <xdr:colOff>0</xdr:colOff>
                    <xdr:row>47</xdr:row>
                    <xdr:rowOff>0</xdr:rowOff>
                  </from>
                  <to>
                    <xdr:col>7</xdr:col>
                    <xdr:colOff>876300</xdr:colOff>
                    <xdr:row>47</xdr:row>
                    <xdr:rowOff>203200</xdr:rowOff>
                  </to>
                </anchor>
              </controlPr>
            </control>
          </mc:Choice>
        </mc:AlternateContent>
        <mc:AlternateContent xmlns:mc="http://schemas.openxmlformats.org/markup-compatibility/2006">
          <mc:Choice Requires="x14">
            <control shapeId="673878" r:id="rId25" name="Drop Down 86">
              <controlPr defaultSize="0" autoLine="0" autoPict="0">
                <anchor moveWithCells="1">
                  <from>
                    <xdr:col>7</xdr:col>
                    <xdr:colOff>0</xdr:colOff>
                    <xdr:row>42</xdr:row>
                    <xdr:rowOff>0</xdr:rowOff>
                  </from>
                  <to>
                    <xdr:col>7</xdr:col>
                    <xdr:colOff>876300</xdr:colOff>
                    <xdr:row>42</xdr:row>
                    <xdr:rowOff>203200</xdr:rowOff>
                  </to>
                </anchor>
              </controlPr>
            </control>
          </mc:Choice>
        </mc:AlternateContent>
        <mc:AlternateContent xmlns:mc="http://schemas.openxmlformats.org/markup-compatibility/2006">
          <mc:Choice Requires="x14">
            <control shapeId="673879" r:id="rId26" name="Drop Down 87">
              <controlPr defaultSize="0" autoLine="0" autoPict="0">
                <anchor moveWithCells="1">
                  <from>
                    <xdr:col>7</xdr:col>
                    <xdr:colOff>0</xdr:colOff>
                    <xdr:row>43</xdr:row>
                    <xdr:rowOff>0</xdr:rowOff>
                  </from>
                  <to>
                    <xdr:col>7</xdr:col>
                    <xdr:colOff>876300</xdr:colOff>
                    <xdr:row>43</xdr:row>
                    <xdr:rowOff>203200</xdr:rowOff>
                  </to>
                </anchor>
              </controlPr>
            </control>
          </mc:Choice>
        </mc:AlternateContent>
        <mc:AlternateContent xmlns:mc="http://schemas.openxmlformats.org/markup-compatibility/2006">
          <mc:Choice Requires="x14">
            <control shapeId="674328" r:id="rId27" name="Drop Down 536">
              <controlPr defaultSize="0" autoLine="0" autoPict="0">
                <anchor moveWithCells="1">
                  <from>
                    <xdr:col>5</xdr:col>
                    <xdr:colOff>1168400</xdr:colOff>
                    <xdr:row>48</xdr:row>
                    <xdr:rowOff>12700</xdr:rowOff>
                  </from>
                  <to>
                    <xdr:col>6</xdr:col>
                    <xdr:colOff>635000</xdr:colOff>
                    <xdr:row>49</xdr:row>
                    <xdr:rowOff>0</xdr:rowOff>
                  </to>
                </anchor>
              </controlPr>
            </control>
          </mc:Choice>
        </mc:AlternateContent>
        <mc:AlternateContent xmlns:mc="http://schemas.openxmlformats.org/markup-compatibility/2006">
          <mc:Choice Requires="x14">
            <control shapeId="674330" r:id="rId28" name="Drop Down 538">
              <controlPr defaultSize="0" autoLine="0" autoPict="0">
                <anchor moveWithCells="1">
                  <from>
                    <xdr:col>5</xdr:col>
                    <xdr:colOff>1168400</xdr:colOff>
                    <xdr:row>49</xdr:row>
                    <xdr:rowOff>0</xdr:rowOff>
                  </from>
                  <to>
                    <xdr:col>6</xdr:col>
                    <xdr:colOff>635000</xdr:colOff>
                    <xdr:row>49</xdr:row>
                    <xdr:rowOff>203200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FF00"/>
    <pageSetUpPr fitToPage="1"/>
  </sheetPr>
  <dimension ref="A1:Y129"/>
  <sheetViews>
    <sheetView zoomScale="85" zoomScaleNormal="85" zoomScaleSheetLayoutView="80" workbookViewId="0">
      <selection activeCell="AD89" sqref="AD89"/>
    </sheetView>
  </sheetViews>
  <sheetFormatPr defaultColWidth="9.140625" defaultRowHeight="12.95"/>
  <cols>
    <col min="1" max="13" width="9.140625" style="389"/>
    <col min="14" max="14" width="11.85546875" style="389" customWidth="1"/>
    <col min="15" max="16" width="9.140625" style="389"/>
    <col min="17" max="17" width="15.7109375" style="389" customWidth="1"/>
    <col min="18" max="16384" width="9.140625" style="389"/>
  </cols>
  <sheetData>
    <row r="1" spans="1:23" s="388" customFormat="1" ht="47.25" customHeight="1">
      <c r="A1" s="452" t="s">
        <v>174</v>
      </c>
      <c r="B1" s="453"/>
      <c r="C1" s="453"/>
      <c r="D1" s="453"/>
      <c r="E1" s="453"/>
      <c r="F1" s="453"/>
      <c r="G1" s="453"/>
      <c r="H1" s="453"/>
      <c r="I1" s="453"/>
      <c r="J1" s="453"/>
      <c r="K1" s="453"/>
      <c r="L1" s="453"/>
      <c r="M1" s="453"/>
      <c r="N1" s="453"/>
      <c r="O1" s="453"/>
      <c r="P1" s="453"/>
      <c r="Q1" s="453"/>
    </row>
    <row r="2" spans="1:23" ht="20.100000000000001">
      <c r="M2" s="390"/>
      <c r="W2" s="390"/>
    </row>
    <row r="3" spans="1:23" ht="20.100000000000001">
      <c r="B3" s="390" t="s">
        <v>175</v>
      </c>
    </row>
    <row r="5" spans="1:23" ht="20.100000000000001">
      <c r="O5" s="391"/>
    </row>
    <row r="6" spans="1:23" ht="20.100000000000001">
      <c r="O6" s="391"/>
    </row>
    <row r="31" spans="15:15" ht="20.100000000000001">
      <c r="O31" s="392"/>
    </row>
    <row r="32" spans="15:15" ht="20.100000000000001">
      <c r="O32" s="391"/>
    </row>
    <row r="46" spans="2:2" ht="20.100000000000001">
      <c r="B46" s="390" t="s">
        <v>176</v>
      </c>
    </row>
    <row r="50" spans="15:25" ht="20.100000000000001">
      <c r="O50" s="391" t="s">
        <v>177</v>
      </c>
    </row>
    <row r="51" spans="15:25" ht="20.100000000000001">
      <c r="O51" s="391" t="s">
        <v>178</v>
      </c>
      <c r="Y51" s="389" t="s">
        <v>179</v>
      </c>
    </row>
    <row r="76" spans="15:15" ht="20.100000000000001">
      <c r="O76" s="392" t="s">
        <v>180</v>
      </c>
    </row>
    <row r="77" spans="15:15" ht="20.100000000000001">
      <c r="O77" s="391"/>
    </row>
    <row r="102" spans="15:15" ht="20.100000000000001">
      <c r="O102" s="392" t="s">
        <v>181</v>
      </c>
    </row>
    <row r="129" spans="15:15" ht="20.100000000000001">
      <c r="O129" s="391" t="s">
        <v>182</v>
      </c>
    </row>
  </sheetData>
  <sheetProtection algorithmName="SHA-512" hashValue="mfqg14JXM7eQdMxfIbAbyQXXoLaBzh7E+vHpbegv5G7PmoVFz5ldxzWC/I3iiTlNv+ZGdrk2NJefeD8Bt6E9aQ==" saltValue="vwGsBJHwmwVGMufLkpoxbQ==" spinCount="100000" sheet="1" objects="1" scenarios="1" selectLockedCells="1"/>
  <mergeCells count="1">
    <mergeCell ref="A1:Q1"/>
  </mergeCells>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V349"/>
  <sheetViews>
    <sheetView workbookViewId="0">
      <pane ySplit="5" topLeftCell="A195" activePane="bottomLeft" state="frozenSplit"/>
      <selection pane="bottomLeft" activeCell="B211" sqref="B211"/>
    </sheetView>
  </sheetViews>
  <sheetFormatPr defaultColWidth="8.85546875" defaultRowHeight="12.95"/>
  <cols>
    <col min="1" max="1" width="35.140625" bestFit="1" customWidth="1"/>
    <col min="2" max="2" width="19.140625" customWidth="1"/>
    <col min="7" max="7" width="18.85546875" customWidth="1"/>
    <col min="9" max="10" width="12.42578125" bestFit="1" customWidth="1"/>
    <col min="12" max="12" width="19.85546875" customWidth="1"/>
    <col min="14" max="14" width="11.42578125" customWidth="1"/>
    <col min="17" max="17" width="10.42578125" customWidth="1"/>
    <col min="20" max="20" width="10.85546875" customWidth="1"/>
    <col min="21" max="21" width="10.42578125" customWidth="1"/>
  </cols>
  <sheetData>
    <row r="1" spans="1:22" ht="40.5" customHeight="1">
      <c r="A1" s="455" t="s">
        <v>183</v>
      </c>
      <c r="B1" s="455"/>
      <c r="C1" s="455"/>
      <c r="D1" s="455"/>
      <c r="E1" s="455"/>
      <c r="F1" s="455"/>
      <c r="G1" s="455"/>
      <c r="H1" s="455"/>
    </row>
    <row r="2" spans="1:22" ht="12" customHeight="1">
      <c r="A2" s="47"/>
      <c r="B2" s="47" t="s">
        <v>184</v>
      </c>
      <c r="C2" s="52"/>
      <c r="D2" s="47"/>
      <c r="E2" s="47"/>
      <c r="F2" s="47"/>
      <c r="G2" s="47"/>
      <c r="H2" s="47"/>
    </row>
    <row r="3" spans="1:22" ht="11.25" customHeight="1">
      <c r="A3" s="47"/>
      <c r="B3" s="47" t="s">
        <v>185</v>
      </c>
      <c r="C3" s="53"/>
      <c r="D3" s="47"/>
      <c r="E3" s="47"/>
      <c r="F3" s="47"/>
      <c r="G3" s="47"/>
      <c r="H3" s="47"/>
    </row>
    <row r="4" spans="1:22" ht="11.25" customHeight="1">
      <c r="A4" s="47"/>
      <c r="B4" s="47" t="s">
        <v>186</v>
      </c>
      <c r="C4" s="54"/>
      <c r="D4" s="47"/>
      <c r="E4" s="47"/>
      <c r="F4" s="47"/>
      <c r="G4" s="47"/>
      <c r="H4" s="47"/>
    </row>
    <row r="5" spans="1:22">
      <c r="A5" s="2" t="s">
        <v>187</v>
      </c>
      <c r="B5" s="2" t="s">
        <v>129</v>
      </c>
      <c r="C5" s="2" t="s">
        <v>188</v>
      </c>
      <c r="D5" s="454" t="s">
        <v>189</v>
      </c>
      <c r="E5" s="454"/>
      <c r="F5" s="454"/>
      <c r="G5" s="454"/>
      <c r="H5" s="2" t="s">
        <v>190</v>
      </c>
    </row>
    <row r="6" spans="1:22" ht="17.100000000000001" thickBot="1">
      <c r="A6" s="106" t="s">
        <v>191</v>
      </c>
      <c r="B6" s="2"/>
      <c r="C6" s="2"/>
      <c r="D6" s="47"/>
      <c r="E6" s="47"/>
      <c r="F6" s="47"/>
      <c r="G6" s="47"/>
      <c r="H6" s="2"/>
    </row>
    <row r="7" spans="1:22">
      <c r="A7" s="499" t="s">
        <v>192</v>
      </c>
      <c r="B7" s="393">
        <f>'Design Regulator'!E7</f>
        <v>18</v>
      </c>
      <c r="C7" s="500" t="s">
        <v>8</v>
      </c>
      <c r="D7" s="500" t="s">
        <v>193</v>
      </c>
      <c r="E7" s="500"/>
      <c r="F7" s="500"/>
      <c r="G7" s="500"/>
      <c r="H7" s="501">
        <v>1</v>
      </c>
      <c r="U7" s="328" t="s">
        <v>194</v>
      </c>
      <c r="V7" s="396">
        <v>1</v>
      </c>
    </row>
    <row r="8" spans="1:22">
      <c r="A8" s="294" t="s">
        <v>195</v>
      </c>
      <c r="B8" s="30">
        <f>'Design Regulator'!E6</f>
        <v>15</v>
      </c>
      <c r="C8" s="124" t="s">
        <v>8</v>
      </c>
      <c r="D8" s="124" t="s">
        <v>196</v>
      </c>
      <c r="H8" s="69"/>
      <c r="U8" s="328" t="s">
        <v>197</v>
      </c>
      <c r="V8" s="396">
        <v>2</v>
      </c>
    </row>
    <row r="9" spans="1:22">
      <c r="A9" s="294" t="s">
        <v>198</v>
      </c>
      <c r="B9" s="30">
        <f>'Design Regulator'!E8</f>
        <v>22</v>
      </c>
      <c r="C9" s="124" t="s">
        <v>8</v>
      </c>
      <c r="D9" s="124" t="s">
        <v>199</v>
      </c>
      <c r="H9" s="69"/>
      <c r="U9" s="328" t="s">
        <v>200</v>
      </c>
      <c r="V9" s="396">
        <v>3</v>
      </c>
    </row>
    <row r="10" spans="1:22">
      <c r="A10" s="293" t="s">
        <v>201</v>
      </c>
      <c r="B10" s="30">
        <f>'Design Regulator'!E9</f>
        <v>5</v>
      </c>
      <c r="C10" t="s">
        <v>8</v>
      </c>
      <c r="D10" t="s">
        <v>202</v>
      </c>
      <c r="H10" s="69">
        <v>1</v>
      </c>
      <c r="U10" s="328" t="s">
        <v>203</v>
      </c>
      <c r="V10" s="396">
        <v>4</v>
      </c>
    </row>
    <row r="11" spans="1:22">
      <c r="A11" s="293" t="s">
        <v>204</v>
      </c>
      <c r="B11" s="30">
        <f>'Design Regulator'!E10</f>
        <v>15</v>
      </c>
      <c r="C11" t="s">
        <v>13</v>
      </c>
      <c r="D11" t="s">
        <v>205</v>
      </c>
      <c r="H11" s="69">
        <v>1</v>
      </c>
      <c r="U11" s="328" t="s">
        <v>206</v>
      </c>
      <c r="V11" s="396">
        <v>5</v>
      </c>
    </row>
    <row r="12" spans="1:22">
      <c r="A12" s="294" t="s">
        <v>207</v>
      </c>
      <c r="B12" s="262">
        <f>IF(AND('Design Regulator'!E12&lt;='Design Regulator'!E11*1.5, 'Design Regulator'!E12&gt;='Design Regulator'!E11*0.8), 'Design Regulator'!E12*1000, 'Design Regulator'!E11*1000)</f>
        <v>250000</v>
      </c>
      <c r="C12" s="124" t="s">
        <v>208</v>
      </c>
      <c r="D12" t="s">
        <v>209</v>
      </c>
      <c r="H12" s="69">
        <v>1</v>
      </c>
      <c r="T12" s="289" t="s">
        <v>210</v>
      </c>
      <c r="U12" s="397" t="str">
        <f>CHOOSE(VARIANT, "LM5145", "LM5145-Q1", "LM25145", "LM5146", "LM5146-Q1")</f>
        <v>LM5146-Q1</v>
      </c>
      <c r="V12" s="289">
        <v>5</v>
      </c>
    </row>
    <row r="13" spans="1:22">
      <c r="A13" s="294" t="s">
        <v>211</v>
      </c>
      <c r="B13" s="262">
        <f>'Design Regulator'!E11*1000</f>
        <v>300000</v>
      </c>
      <c r="C13" s="124" t="s">
        <v>208</v>
      </c>
      <c r="D13" s="124" t="s">
        <v>212</v>
      </c>
      <c r="H13" s="69"/>
      <c r="T13" s="289" t="s">
        <v>213</v>
      </c>
      <c r="U13" s="397">
        <f>CHOOSE(VARIANT, 75, 75, 42, 100, 100)</f>
        <v>100</v>
      </c>
      <c r="V13" t="s">
        <v>8</v>
      </c>
    </row>
    <row r="14" spans="1:22">
      <c r="A14" s="294" t="s">
        <v>214</v>
      </c>
      <c r="B14" s="70">
        <v>0.8</v>
      </c>
      <c r="C14" t="s">
        <v>8</v>
      </c>
      <c r="D14" t="s">
        <v>215</v>
      </c>
      <c r="H14" s="69"/>
      <c r="T14" s="289" t="s">
        <v>216</v>
      </c>
      <c r="U14" s="397">
        <f>CHOOSE(VARIANT, 6, 6, 6, 5.5, 5.5)</f>
        <v>5.5</v>
      </c>
      <c r="V14" s="124" t="s">
        <v>8</v>
      </c>
    </row>
    <row r="15" spans="1:22">
      <c r="A15" s="294" t="s">
        <v>217</v>
      </c>
      <c r="B15" s="121">
        <f>1/(B13*0.0000000001)</f>
        <v>33333.333333333336</v>
      </c>
      <c r="C15" s="219" t="s">
        <v>30</v>
      </c>
      <c r="H15" s="69"/>
      <c r="T15" s="289" t="s">
        <v>218</v>
      </c>
      <c r="U15" s="397">
        <f>CHOOSE(VARIANT, 60, 60, 42, 60, 60)</f>
        <v>60</v>
      </c>
      <c r="V15" s="124" t="s">
        <v>8</v>
      </c>
    </row>
    <row r="16" spans="1:22">
      <c r="A16" s="294"/>
      <c r="B16" s="51"/>
      <c r="C16" s="219"/>
      <c r="H16" s="69"/>
    </row>
    <row r="17" spans="1:22">
      <c r="A17" s="294" t="s">
        <v>219</v>
      </c>
      <c r="B17" s="353">
        <f>B38/Fsw*1000000000</f>
        <v>980.81422554983624</v>
      </c>
      <c r="C17" s="124" t="s">
        <v>220</v>
      </c>
      <c r="H17" s="69"/>
    </row>
    <row r="18" spans="1:22">
      <c r="A18" s="294" t="s">
        <v>221</v>
      </c>
      <c r="B18" s="502">
        <f>B37/Fsw*1000000000</f>
        <v>2541.4057063326377</v>
      </c>
      <c r="C18" s="124" t="s">
        <v>220</v>
      </c>
      <c r="H18" s="69"/>
    </row>
    <row r="19" spans="1:22" ht="14.1" thickBot="1">
      <c r="A19" s="71"/>
      <c r="B19" s="127"/>
      <c r="C19" s="72"/>
      <c r="D19" s="72"/>
      <c r="E19" s="72"/>
      <c r="F19" s="72"/>
      <c r="G19" s="72"/>
      <c r="H19" s="73"/>
      <c r="U19" s="328" t="s">
        <v>222</v>
      </c>
      <c r="V19" s="126">
        <v>1</v>
      </c>
    </row>
    <row r="20" spans="1:22">
      <c r="U20" s="328" t="s">
        <v>223</v>
      </c>
      <c r="V20" s="126">
        <v>2</v>
      </c>
    </row>
    <row r="21" spans="1:22">
      <c r="U21" s="398" t="s">
        <v>224</v>
      </c>
      <c r="V21" s="289">
        <v>1</v>
      </c>
    </row>
    <row r="22" spans="1:22" ht="17.100000000000001" thickBot="1">
      <c r="A22" s="106" t="s">
        <v>225</v>
      </c>
    </row>
    <row r="23" spans="1:22">
      <c r="A23" s="503" t="s">
        <v>226</v>
      </c>
      <c r="B23" s="504">
        <f>Vout/Vin</f>
        <v>0.27777777777777779</v>
      </c>
      <c r="C23" s="500" t="s">
        <v>227</v>
      </c>
      <c r="D23" s="500" t="s">
        <v>228</v>
      </c>
      <c r="E23" s="500"/>
      <c r="F23" s="500"/>
      <c r="G23" s="500"/>
      <c r="H23" s="501">
        <v>1</v>
      </c>
    </row>
    <row r="24" spans="1:22">
      <c r="A24" s="297" t="s">
        <v>229</v>
      </c>
      <c r="B24" s="296">
        <f>1-23:23</f>
        <v>0.72222222222222221</v>
      </c>
      <c r="C24" t="s">
        <v>227</v>
      </c>
      <c r="D24" t="s">
        <v>230</v>
      </c>
      <c r="H24" s="69">
        <v>1</v>
      </c>
    </row>
    <row r="25" spans="1:22">
      <c r="A25" s="297" t="s">
        <v>231</v>
      </c>
      <c r="B25" s="296">
        <f>Vout/Vinmin</f>
        <v>0.33333333333333331</v>
      </c>
      <c r="H25" s="69"/>
    </row>
    <row r="26" spans="1:22">
      <c r="A26" s="297" t="s">
        <v>232</v>
      </c>
      <c r="B26" s="296">
        <f>1-B25</f>
        <v>0.66666666666666674</v>
      </c>
      <c r="H26" s="69"/>
    </row>
    <row r="27" spans="1:22">
      <c r="A27" s="297" t="s">
        <v>233</v>
      </c>
      <c r="B27" s="296">
        <f>Vout/Vinmax</f>
        <v>0.22727272727272727</v>
      </c>
      <c r="H27" s="69"/>
    </row>
    <row r="28" spans="1:22">
      <c r="A28" s="297" t="s">
        <v>234</v>
      </c>
      <c r="B28" s="296">
        <f>1-B27</f>
        <v>0.77272727272727271</v>
      </c>
      <c r="H28" s="69"/>
    </row>
    <row r="29" spans="1:22">
      <c r="A29" s="297"/>
      <c r="B29" s="300"/>
      <c r="H29" s="69"/>
    </row>
    <row r="30" spans="1:22">
      <c r="A30" s="297" t="s">
        <v>235</v>
      </c>
      <c r="B30" s="266">
        <f>(Vin-Vout)*_Don1/(Fsw*Iout*0.333)</f>
        <v>2.8917806695584472E-6</v>
      </c>
      <c r="C30" t="s">
        <v>236</v>
      </c>
      <c r="D30" t="s">
        <v>237</v>
      </c>
      <c r="H30" s="69">
        <v>1</v>
      </c>
    </row>
    <row r="31" spans="1:22">
      <c r="A31" s="293" t="s">
        <v>238</v>
      </c>
      <c r="B31" s="90">
        <f>'Design Regulator'!E17/1000000</f>
        <v>3.2999999999999997E-6</v>
      </c>
      <c r="C31" t="s">
        <v>236</v>
      </c>
      <c r="D31" s="124" t="s">
        <v>239</v>
      </c>
      <c r="H31" s="69">
        <v>2</v>
      </c>
    </row>
    <row r="32" spans="1:22">
      <c r="A32" s="293" t="s">
        <v>240</v>
      </c>
      <c r="B32" s="30">
        <f>'Design Regulator'!E18/1000</f>
        <v>6.0000000000000001E-3</v>
      </c>
      <c r="C32" s="219" t="s">
        <v>30</v>
      </c>
      <c r="D32" s="124" t="s">
        <v>241</v>
      </c>
      <c r="H32" s="69">
        <v>1</v>
      </c>
    </row>
    <row r="33" spans="1:18">
      <c r="A33" s="293"/>
      <c r="C33" s="219"/>
      <c r="D33" s="124"/>
      <c r="H33" s="69"/>
    </row>
    <row r="34" spans="1:18">
      <c r="A34" s="294" t="s">
        <v>242</v>
      </c>
      <c r="B34" s="352">
        <f>(Vout+(Rdcr+RdsonBot)*Iout)/(Vin+(RdsonBot-RdsonTop)*Iout)</f>
        <v>0.30166954519286127</v>
      </c>
      <c r="D34" s="2" t="s">
        <v>243</v>
      </c>
      <c r="H34" s="69">
        <v>2</v>
      </c>
    </row>
    <row r="35" spans="1:18">
      <c r="A35" s="294" t="s">
        <v>244</v>
      </c>
      <c r="B35" s="352">
        <f>1-_Don2</f>
        <v>0.69833045480713873</v>
      </c>
      <c r="D35" s="2" t="s">
        <v>245</v>
      </c>
      <c r="H35" s="69">
        <v>2</v>
      </c>
    </row>
    <row r="36" spans="1:18">
      <c r="A36" s="294" t="s">
        <v>246</v>
      </c>
      <c r="B36" s="352">
        <f>(Vout+(Rdcr+RdsonBot)*Iout)/(Vinmin+(RdsonBot-RdsonTop)*Iout)</f>
        <v>0.36464857341684065</v>
      </c>
      <c r="H36" s="69"/>
    </row>
    <row r="37" spans="1:18">
      <c r="A37" s="294" t="s">
        <v>247</v>
      </c>
      <c r="B37" s="352">
        <f>1-B36</f>
        <v>0.63535142658315935</v>
      </c>
      <c r="H37" s="69"/>
    </row>
    <row r="38" spans="1:18">
      <c r="A38" s="294" t="s">
        <v>248</v>
      </c>
      <c r="B38" s="352">
        <f>(Vout+(Rdcr+RdsonBot)*Iout)/(Vinmax+(RdsonBot-RdsonTop)*Iout)</f>
        <v>0.24520355638745905</v>
      </c>
      <c r="H38" s="69"/>
      <c r="L38" s="365" t="s">
        <v>249</v>
      </c>
      <c r="M38" s="366">
        <v>100</v>
      </c>
      <c r="N38" s="367">
        <v>1</v>
      </c>
    </row>
    <row r="39" spans="1:18">
      <c r="A39" s="294" t="s">
        <v>250</v>
      </c>
      <c r="B39" s="352">
        <f>1-B38</f>
        <v>0.75479644361254095</v>
      </c>
      <c r="H39" s="69"/>
      <c r="L39" s="365" t="s">
        <v>251</v>
      </c>
      <c r="M39" s="366">
        <v>47</v>
      </c>
      <c r="N39" s="367">
        <v>2</v>
      </c>
    </row>
    <row r="40" spans="1:18">
      <c r="A40" s="297"/>
      <c r="B40" s="1"/>
      <c r="H40" s="69"/>
      <c r="L40" s="365" t="s">
        <v>252</v>
      </c>
      <c r="M40" s="366">
        <v>22</v>
      </c>
      <c r="N40" s="367">
        <v>3</v>
      </c>
    </row>
    <row r="41" spans="1:18">
      <c r="A41" s="293" t="s">
        <v>253</v>
      </c>
      <c r="B41" s="505">
        <f>'Design Regulator'!E31/1000</f>
        <v>0.2</v>
      </c>
      <c r="C41" t="s">
        <v>8</v>
      </c>
      <c r="D41" t="s">
        <v>254</v>
      </c>
      <c r="H41" s="69">
        <v>1</v>
      </c>
      <c r="L41" s="365" t="s">
        <v>255</v>
      </c>
      <c r="M41" s="366">
        <v>22</v>
      </c>
      <c r="N41" s="367">
        <v>4</v>
      </c>
    </row>
    <row r="42" spans="1:18">
      <c r="A42" s="359" t="s">
        <v>256</v>
      </c>
      <c r="B42" s="295">
        <f>(Vin-Vout)*_Don2/(Fsw*Lout2)</f>
        <v>4.7535807121299349</v>
      </c>
      <c r="C42" t="s">
        <v>13</v>
      </c>
      <c r="D42" s="124" t="s">
        <v>257</v>
      </c>
      <c r="H42" s="69">
        <v>1</v>
      </c>
      <c r="L42" s="328" t="s">
        <v>258</v>
      </c>
      <c r="M42" s="366">
        <v>10</v>
      </c>
      <c r="N42" s="367">
        <v>5</v>
      </c>
    </row>
    <row r="43" spans="1:18">
      <c r="A43" s="359" t="s">
        <v>259</v>
      </c>
      <c r="B43" s="295">
        <f>Rdcr*(1+0.0039*(F43-25))</f>
        <v>7.7549999999999997E-3</v>
      </c>
      <c r="C43" t="s">
        <v>260</v>
      </c>
      <c r="E43" t="s">
        <v>261</v>
      </c>
      <c r="F43">
        <v>100</v>
      </c>
      <c r="H43" s="69"/>
      <c r="L43" s="328" t="s">
        <v>262</v>
      </c>
      <c r="M43" s="366">
        <v>4.7</v>
      </c>
      <c r="N43" s="367">
        <v>6</v>
      </c>
    </row>
    <row r="44" spans="1:18" ht="14.1" thickBot="1">
      <c r="A44" s="76" t="s">
        <v>263</v>
      </c>
      <c r="B44" s="77">
        <f>Lout2/Rdcr</f>
        <v>5.4999999999999992E-4</v>
      </c>
      <c r="C44" s="72" t="s">
        <v>264</v>
      </c>
      <c r="D44" s="72" t="s">
        <v>265</v>
      </c>
      <c r="E44" s="72"/>
      <c r="F44" s="72"/>
      <c r="G44" s="72"/>
      <c r="H44" s="73"/>
      <c r="L44" s="368" t="s">
        <v>266</v>
      </c>
      <c r="M44" s="369" t="str">
        <f>CHOOSE(N44,"100", "47","22","22","10", "4.7")</f>
        <v>47</v>
      </c>
      <c r="N44" s="289">
        <f>IF(Vout&lt;5, 1, IF(Vout&lt;=8, 2, IF(Vout&lt;=12, 3, IF(Vout&lt;=20, 4, IF(Vout&lt;=42, 5, 6)))))</f>
        <v>2</v>
      </c>
      <c r="Q44" s="331" t="s">
        <v>267</v>
      </c>
      <c r="R44" s="126">
        <v>1</v>
      </c>
    </row>
    <row r="45" spans="1:18">
      <c r="A45" s="2"/>
      <c r="B45" s="1"/>
      <c r="Q45" s="331" t="s">
        <v>268</v>
      </c>
      <c r="R45" s="126">
        <v>2</v>
      </c>
    </row>
    <row r="46" spans="1:18" ht="17.100000000000001" thickBot="1">
      <c r="A46" s="106" t="s">
        <v>269</v>
      </c>
      <c r="B46" s="1"/>
    </row>
    <row r="47" spans="1:18">
      <c r="A47" s="506"/>
      <c r="B47" s="507"/>
      <c r="C47" s="500"/>
      <c r="D47" s="500"/>
      <c r="E47" s="500"/>
      <c r="F47" s="500"/>
      <c r="G47" s="500"/>
      <c r="H47" s="501"/>
    </row>
    <row r="48" spans="1:18">
      <c r="A48" s="359"/>
      <c r="B48" s="120"/>
      <c r="H48" s="69"/>
      <c r="L48" s="331" t="s">
        <v>270</v>
      </c>
      <c r="M48" s="126">
        <v>1</v>
      </c>
      <c r="N48" s="331" t="s">
        <v>271</v>
      </c>
      <c r="O48" s="51">
        <v>30</v>
      </c>
    </row>
    <row r="49" spans="1:19">
      <c r="A49" s="359" t="s">
        <v>272</v>
      </c>
      <c r="B49" s="120">
        <f>'Design Regulator'!E25</f>
        <v>13</v>
      </c>
      <c r="H49" s="69"/>
      <c r="L49" s="331" t="s">
        <v>273</v>
      </c>
      <c r="M49" s="126">
        <v>2</v>
      </c>
      <c r="N49" s="331" t="s">
        <v>274</v>
      </c>
      <c r="O49" s="51">
        <v>10.9</v>
      </c>
    </row>
    <row r="50" spans="1:19">
      <c r="A50" s="293" t="s">
        <v>275</v>
      </c>
      <c r="B50" s="291">
        <f>'Design Regulator'!E25-Iripple1/2</f>
        <v>10.623209643935033</v>
      </c>
      <c r="C50" t="s">
        <v>13</v>
      </c>
      <c r="D50" s="124" t="s">
        <v>276</v>
      </c>
      <c r="H50" s="69"/>
      <c r="L50" s="331" t="s">
        <v>277</v>
      </c>
      <c r="M50" s="126">
        <v>3</v>
      </c>
      <c r="N50" s="331" t="s">
        <v>278</v>
      </c>
      <c r="O50" s="51">
        <v>66</v>
      </c>
    </row>
    <row r="51" spans="1:19">
      <c r="A51" s="294" t="s">
        <v>279</v>
      </c>
      <c r="B51" s="299">
        <f>ROUND('Design Regulator'!E25+Iripple1/2,0)*1.2</f>
        <v>18</v>
      </c>
      <c r="C51" s="124" t="s">
        <v>13</v>
      </c>
      <c r="D51" s="124"/>
      <c r="H51" s="69"/>
      <c r="L51" s="331" t="s">
        <v>280</v>
      </c>
      <c r="M51" s="126">
        <v>4</v>
      </c>
      <c r="N51" s="331" t="s">
        <v>281</v>
      </c>
      <c r="O51" s="51">
        <v>150</v>
      </c>
    </row>
    <row r="52" spans="1:19">
      <c r="A52" s="294"/>
      <c r="B52" s="303"/>
      <c r="C52" s="124"/>
      <c r="D52" s="124"/>
      <c r="H52" s="69"/>
      <c r="K52" s="329" t="s">
        <v>282</v>
      </c>
      <c r="L52" s="288" t="str">
        <f>CHOOSE(M52, L48, L49, L50, L51)</f>
        <v>SON 5 x 6</v>
      </c>
      <c r="M52" s="289">
        <v>1</v>
      </c>
    </row>
    <row r="53" spans="1:19">
      <c r="A53" s="294" t="s">
        <v>283</v>
      </c>
      <c r="B53" s="78">
        <v>2.0000000000000001E-4</v>
      </c>
      <c r="C53" t="s">
        <v>13</v>
      </c>
      <c r="D53" s="124" t="s">
        <v>284</v>
      </c>
      <c r="H53" s="69"/>
    </row>
    <row r="54" spans="1:19" ht="15">
      <c r="A54" s="294" t="s">
        <v>285</v>
      </c>
      <c r="B54" s="78">
        <v>1E-4</v>
      </c>
      <c r="C54" t="s">
        <v>13</v>
      </c>
      <c r="D54" s="124" t="s">
        <v>286</v>
      </c>
      <c r="H54" s="69"/>
      <c r="L54" s="124" t="s">
        <v>287</v>
      </c>
      <c r="M54" s="126">
        <v>1</v>
      </c>
    </row>
    <row r="55" spans="1:19">
      <c r="A55" s="294" t="s">
        <v>288</v>
      </c>
      <c r="B55" s="292">
        <f>ILimit*RdsonBot/Ilim1</f>
        <v>531.16048219675167</v>
      </c>
      <c r="C55" s="219" t="s">
        <v>30</v>
      </c>
      <c r="D55" s="124" t="s">
        <v>289</v>
      </c>
      <c r="H55" s="69"/>
      <c r="L55" s="124" t="s">
        <v>290</v>
      </c>
      <c r="M55" s="126">
        <v>2</v>
      </c>
    </row>
    <row r="56" spans="1:19">
      <c r="A56" s="294" t="s">
        <v>291</v>
      </c>
      <c r="B56" s="80">
        <f>'Standard Value Calculator'!S6</f>
        <v>536</v>
      </c>
      <c r="C56" s="219" t="s">
        <v>30</v>
      </c>
      <c r="D56" s="124" t="s">
        <v>292</v>
      </c>
      <c r="H56" s="69"/>
      <c r="K56" s="329" t="s">
        <v>293</v>
      </c>
      <c r="L56" s="288" t="str">
        <f>CHOOSE(RDSON_sense, L54,L55)</f>
        <v>RDS(on) sensing</v>
      </c>
      <c r="M56" s="289">
        <v>1</v>
      </c>
      <c r="N56" s="124" t="s">
        <v>294</v>
      </c>
    </row>
    <row r="57" spans="1:19">
      <c r="H57" s="69"/>
      <c r="L57" s="289"/>
      <c r="M57" s="124"/>
    </row>
    <row r="58" spans="1:19">
      <c r="A58" s="294" t="s">
        <v>295</v>
      </c>
      <c r="B58" s="298">
        <f>'Design Regulator'!E24/1000</f>
        <v>6.0000000000000001E-3</v>
      </c>
      <c r="C58" s="219" t="s">
        <v>30</v>
      </c>
      <c r="H58" s="69"/>
      <c r="J58" s="288"/>
      <c r="L58" s="289"/>
      <c r="M58" s="124"/>
    </row>
    <row r="59" spans="1:19">
      <c r="A59" s="294" t="s">
        <v>296</v>
      </c>
      <c r="B59" s="80">
        <f>ILimit*Rshunt/Ilim2</f>
        <v>637.39257863610192</v>
      </c>
      <c r="C59" s="219" t="s">
        <v>30</v>
      </c>
      <c r="H59" s="69"/>
      <c r="K59" s="328" t="s">
        <v>249</v>
      </c>
      <c r="L59" s="2" t="s">
        <v>297</v>
      </c>
      <c r="M59" s="126">
        <v>1</v>
      </c>
      <c r="Q59" s="328"/>
      <c r="R59" s="2"/>
      <c r="S59" s="126"/>
    </row>
    <row r="60" spans="1:19">
      <c r="A60" s="294" t="s">
        <v>298</v>
      </c>
      <c r="B60" s="81">
        <f>'Standard Value Calculator'!S22</f>
        <v>634</v>
      </c>
      <c r="C60" s="219" t="s">
        <v>30</v>
      </c>
      <c r="D60" s="124" t="s">
        <v>292</v>
      </c>
      <c r="H60" s="69"/>
      <c r="K60" s="328" t="s">
        <v>251</v>
      </c>
      <c r="L60" s="2" t="s">
        <v>299</v>
      </c>
      <c r="M60" s="126">
        <v>2</v>
      </c>
      <c r="Q60" s="328" t="s">
        <v>300</v>
      </c>
      <c r="R60" s="2" t="s">
        <v>299</v>
      </c>
      <c r="S60" s="126">
        <v>1</v>
      </c>
    </row>
    <row r="61" spans="1:19">
      <c r="A61" s="294"/>
      <c r="B61" s="81"/>
      <c r="C61" s="219"/>
      <c r="D61" s="124"/>
      <c r="H61" s="69"/>
      <c r="K61" s="328" t="s">
        <v>252</v>
      </c>
      <c r="L61" s="2" t="s">
        <v>301</v>
      </c>
      <c r="M61" s="126">
        <v>3</v>
      </c>
      <c r="Q61" s="328" t="s">
        <v>302</v>
      </c>
      <c r="R61" s="2" t="s">
        <v>301</v>
      </c>
      <c r="S61" s="126">
        <v>2</v>
      </c>
    </row>
    <row r="62" spans="1:19">
      <c r="A62" s="294" t="s">
        <v>303</v>
      </c>
      <c r="B62" s="298">
        <f>ROUND(((1-Don_Vinmax)*Iout)^2*Rshunt,2)</f>
        <v>0.81</v>
      </c>
      <c r="C62" s="124" t="s">
        <v>30</v>
      </c>
      <c r="H62" s="69"/>
      <c r="K62" s="328" t="s">
        <v>255</v>
      </c>
      <c r="L62" s="2" t="s">
        <v>304</v>
      </c>
      <c r="M62" s="126">
        <v>4</v>
      </c>
      <c r="Q62" s="328" t="s">
        <v>305</v>
      </c>
      <c r="R62" s="2" t="s">
        <v>304</v>
      </c>
      <c r="S62" s="126">
        <v>3</v>
      </c>
    </row>
    <row r="63" spans="1:19">
      <c r="A63" s="294"/>
      <c r="B63" s="298"/>
      <c r="C63" s="124"/>
      <c r="H63" s="69"/>
      <c r="K63" s="328"/>
      <c r="L63" s="2"/>
      <c r="M63" s="126"/>
      <c r="Q63" s="328"/>
      <c r="R63" s="2"/>
      <c r="S63" s="126"/>
    </row>
    <row r="64" spans="1:19">
      <c r="A64" s="293" t="s">
        <v>306</v>
      </c>
      <c r="B64" s="362">
        <f>0.000000006/Rilim_Rdson_ideal - 0.000000000002</f>
        <v>9.2960210729259214E-12</v>
      </c>
      <c r="C64" s="124" t="s">
        <v>307</v>
      </c>
      <c r="D64" t="s">
        <v>308</v>
      </c>
      <c r="H64" s="69"/>
      <c r="K64" s="328" t="s">
        <v>258</v>
      </c>
      <c r="L64" s="2" t="s">
        <v>309</v>
      </c>
      <c r="M64" s="126">
        <v>5</v>
      </c>
      <c r="Q64" s="328" t="s">
        <v>310</v>
      </c>
      <c r="R64" s="2" t="s">
        <v>309</v>
      </c>
      <c r="S64" s="126">
        <v>4</v>
      </c>
    </row>
    <row r="65" spans="1:19">
      <c r="A65" s="293" t="s">
        <v>311</v>
      </c>
      <c r="B65" s="80">
        <f>'Standard Value Calculator'!S23</f>
        <v>10</v>
      </c>
      <c r="C65" s="124" t="s">
        <v>92</v>
      </c>
      <c r="H65" s="69"/>
      <c r="K65" s="328" t="s">
        <v>262</v>
      </c>
      <c r="L65" s="2" t="s">
        <v>312</v>
      </c>
      <c r="M65" s="126">
        <v>6</v>
      </c>
      <c r="Q65" s="328" t="s">
        <v>313</v>
      </c>
      <c r="R65" s="2" t="s">
        <v>312</v>
      </c>
      <c r="S65" s="126">
        <v>5</v>
      </c>
    </row>
    <row r="66" spans="1:19" ht="14.1" thickBot="1">
      <c r="A66" s="71" t="s">
        <v>314</v>
      </c>
      <c r="B66" s="83" t="e">
        <f>Ics*Rset/Rdcr-Iripple1/2</f>
        <v>#NAME?</v>
      </c>
      <c r="C66" s="72" t="s">
        <v>13</v>
      </c>
      <c r="D66" s="127" t="s">
        <v>315</v>
      </c>
      <c r="E66" s="72"/>
      <c r="F66" s="72"/>
      <c r="G66" s="72"/>
      <c r="H66" s="73"/>
      <c r="K66" s="329" t="s">
        <v>316</v>
      </c>
      <c r="L66" s="288" t="str">
        <f>CHOOSE(M66,"6.3V","10V","16V","25V","50V","100V")</f>
        <v>10V</v>
      </c>
      <c r="M66" s="289">
        <f>IF(Vout&lt;5, 1, IF(Vout&lt;=8, 2, IF(Vout&lt;=12, 3, IF(Vout&lt;=20, 4,  IF(Vout&lt;=42, 5, 6)))))</f>
        <v>2</v>
      </c>
      <c r="Q66" s="329" t="s">
        <v>317</v>
      </c>
      <c r="R66" s="288" t="str">
        <f>CHOOSE(S66,"10V","16V","25V","50V","100V")</f>
        <v>50V</v>
      </c>
      <c r="S66" s="289">
        <f>IF(Vinmax&lt;=8,1,IF(Vinmax&lt;=12,2,IF(Vinmax&lt;=20,3,IF(Vinmax&lt;=42,4,5))))</f>
        <v>4</v>
      </c>
    </row>
    <row r="68" spans="1:19" ht="17.100000000000001" thickBot="1">
      <c r="A68" s="106" t="s">
        <v>318</v>
      </c>
    </row>
    <row r="69" spans="1:19">
      <c r="A69" s="499" t="s">
        <v>319</v>
      </c>
      <c r="B69" s="508">
        <f>Iripple1/SQRT(3)/2</f>
        <v>1.3722405518814156</v>
      </c>
      <c r="C69" s="509" t="s">
        <v>13</v>
      </c>
      <c r="D69" s="509" t="s">
        <v>320</v>
      </c>
      <c r="E69" s="500"/>
      <c r="F69" s="500"/>
      <c r="G69" s="500"/>
      <c r="H69" s="501"/>
      <c r="L69" s="330" t="s">
        <v>321</v>
      </c>
      <c r="M69" s="126">
        <v>1</v>
      </c>
      <c r="N69" s="124" t="s">
        <v>322</v>
      </c>
      <c r="O69" s="51">
        <v>0.5</v>
      </c>
    </row>
    <row r="70" spans="1:19">
      <c r="A70" s="297" t="s">
        <v>323</v>
      </c>
      <c r="B70" s="74">
        <f>(Iripple1/(Vripple1*Fsw*8))</f>
        <v>1.1883951780324838E-5</v>
      </c>
      <c r="C70" t="s">
        <v>307</v>
      </c>
      <c r="D70" t="s">
        <v>324</v>
      </c>
      <c r="H70" s="69">
        <v>1</v>
      </c>
      <c r="L70" s="330" t="s">
        <v>325</v>
      </c>
      <c r="M70" s="126">
        <v>2</v>
      </c>
      <c r="N70" s="124" t="s">
        <v>326</v>
      </c>
      <c r="O70" s="51">
        <v>1.3</v>
      </c>
    </row>
    <row r="71" spans="1:19">
      <c r="A71" s="293" t="s">
        <v>327</v>
      </c>
      <c r="B71" s="30">
        <f>'Design Regulator'!E33/1000000</f>
        <v>8.0000000000000004E-4</v>
      </c>
      <c r="C71" t="s">
        <v>307</v>
      </c>
      <c r="D71" t="s">
        <v>328</v>
      </c>
      <c r="H71" s="69">
        <v>1</v>
      </c>
      <c r="L71" s="330" t="s">
        <v>329</v>
      </c>
      <c r="M71" s="126">
        <v>3</v>
      </c>
      <c r="N71" s="124" t="s">
        <v>330</v>
      </c>
      <c r="O71" s="51">
        <v>2.5</v>
      </c>
    </row>
    <row r="72" spans="1:19">
      <c r="A72" s="297" t="s">
        <v>331</v>
      </c>
      <c r="B72" s="296">
        <f>SQRT((Vripple1/Iripple1)^2-(1/(Fsw*Cout*8))^2)</f>
        <v>4.2068904257536913E-2</v>
      </c>
      <c r="C72" s="219" t="s">
        <v>30</v>
      </c>
      <c r="D72" s="124" t="s">
        <v>332</v>
      </c>
      <c r="H72" s="69">
        <v>1</v>
      </c>
      <c r="L72" s="330" t="s">
        <v>333</v>
      </c>
      <c r="M72" s="126">
        <v>4</v>
      </c>
      <c r="N72" s="124" t="s">
        <v>161</v>
      </c>
      <c r="O72" s="51">
        <v>5.0999999999999996</v>
      </c>
    </row>
    <row r="73" spans="1:19">
      <c r="A73" s="293" t="s">
        <v>334</v>
      </c>
      <c r="B73" s="70">
        <f>'Design Regulator'!E35/1000</f>
        <v>1E-3</v>
      </c>
      <c r="C73" s="219" t="s">
        <v>30</v>
      </c>
      <c r="D73" s="124" t="s">
        <v>335</v>
      </c>
      <c r="H73" s="69">
        <v>1</v>
      </c>
      <c r="L73" s="330" t="s">
        <v>336</v>
      </c>
      <c r="M73" s="126">
        <v>5</v>
      </c>
      <c r="N73" s="124" t="s">
        <v>337</v>
      </c>
      <c r="O73" s="51">
        <v>8</v>
      </c>
    </row>
    <row r="74" spans="1:19" ht="14.1" thickBot="1">
      <c r="A74" s="84" t="s">
        <v>338</v>
      </c>
      <c r="B74" s="348">
        <f>Iripple1*SQRT(CoutEsr^2+(1/(8*Fsw*Cout))^2)</f>
        <v>5.6056488434927491E-3</v>
      </c>
      <c r="C74" s="127" t="s">
        <v>339</v>
      </c>
      <c r="D74" s="72"/>
      <c r="E74" s="72"/>
      <c r="F74" s="72"/>
      <c r="G74" s="72"/>
      <c r="H74" s="73"/>
      <c r="K74" s="329" t="s">
        <v>340</v>
      </c>
      <c r="L74" s="288" t="str">
        <f>CHOOSE(M74,"0402","0603","0805","1206","1210")</f>
        <v>1210</v>
      </c>
      <c r="M74" s="289">
        <v>5</v>
      </c>
      <c r="N74" s="288" t="str">
        <f>CHOOSE(M74,N69,N70, N71,N72,N73)</f>
        <v>3.2 x 2.5</v>
      </c>
    </row>
    <row r="76" spans="1:19" ht="14.1" thickBot="1"/>
    <row r="77" spans="1:19" ht="15.95">
      <c r="A77" s="510" t="s">
        <v>341</v>
      </c>
      <c r="B77" s="511"/>
      <c r="C77" s="511"/>
      <c r="D77" s="511"/>
      <c r="E77" s="511"/>
      <c r="F77" s="511"/>
      <c r="G77" s="511"/>
      <c r="H77" s="512"/>
    </row>
    <row r="78" spans="1:19">
      <c r="A78" s="513" t="s">
        <v>342</v>
      </c>
      <c r="B78" s="88">
        <f>'Design Regulator'!E40/1000</f>
        <v>0.48</v>
      </c>
      <c r="C78" t="s">
        <v>339</v>
      </c>
      <c r="H78" s="110"/>
      <c r="L78" s="124" t="s">
        <v>343</v>
      </c>
      <c r="M78" s="126">
        <v>1</v>
      </c>
      <c r="N78" s="331" t="s">
        <v>344</v>
      </c>
      <c r="O78" s="51">
        <v>9</v>
      </c>
    </row>
    <row r="79" spans="1:19">
      <c r="A79" s="514" t="s">
        <v>345</v>
      </c>
      <c r="B79" s="515">
        <f>Iout*SQRT(_Don2*Doff2)</f>
        <v>6.8847390587151915</v>
      </c>
      <c r="C79" s="516" t="s">
        <v>13</v>
      </c>
      <c r="H79" s="110"/>
      <c r="L79" s="124" t="s">
        <v>346</v>
      </c>
      <c r="M79" s="126">
        <v>2</v>
      </c>
      <c r="N79" s="331" t="s">
        <v>347</v>
      </c>
      <c r="O79" s="51">
        <v>16</v>
      </c>
    </row>
    <row r="80" spans="1:19">
      <c r="A80" s="514" t="s">
        <v>348</v>
      </c>
      <c r="B80" s="517">
        <f>Iout*_Don2*(1-_Don2)/(Vinripple1*Fsw)</f>
        <v>2.6333128836999192E-5</v>
      </c>
      <c r="C80" s="516" t="s">
        <v>307</v>
      </c>
      <c r="H80" s="110"/>
      <c r="L80" s="124" t="s">
        <v>349</v>
      </c>
      <c r="M80" s="126">
        <v>3</v>
      </c>
      <c r="N80" s="331" t="s">
        <v>350</v>
      </c>
      <c r="O80" s="51">
        <v>25</v>
      </c>
    </row>
    <row r="81" spans="1:15">
      <c r="A81" s="514" t="s">
        <v>351</v>
      </c>
      <c r="B81" s="518">
        <f>'Design Regulator'!E42/1000000</f>
        <v>2.5000000000000001E-4</v>
      </c>
      <c r="C81" s="516" t="s">
        <v>307</v>
      </c>
      <c r="D81" t="s">
        <v>352</v>
      </c>
      <c r="H81" s="110"/>
      <c r="L81" s="124" t="s">
        <v>353</v>
      </c>
      <c r="M81" s="126">
        <v>4</v>
      </c>
      <c r="N81" s="331" t="s">
        <v>354</v>
      </c>
      <c r="O81" s="51">
        <v>36</v>
      </c>
    </row>
    <row r="82" spans="1:15">
      <c r="A82" s="514" t="s">
        <v>355</v>
      </c>
      <c r="B82" s="113">
        <f>-(Iout*_Don2*(1-_Don2)/(Cin*Fsw)-Vinripple1)/(Iout+Iripple1/2)</f>
        <v>2.4713447295695509E-2</v>
      </c>
      <c r="C82" s="219" t="s">
        <v>30</v>
      </c>
      <c r="H82" s="110"/>
      <c r="L82" s="124" t="s">
        <v>356</v>
      </c>
      <c r="M82" s="126">
        <v>5</v>
      </c>
      <c r="N82" s="331" t="s">
        <v>357</v>
      </c>
      <c r="O82" s="51">
        <v>49</v>
      </c>
    </row>
    <row r="83" spans="1:15">
      <c r="A83" s="514" t="s">
        <v>358</v>
      </c>
      <c r="B83" s="518">
        <f>'Design Regulator'!E44/1000</f>
        <v>2E-3</v>
      </c>
      <c r="C83" s="219" t="s">
        <v>30</v>
      </c>
      <c r="D83" s="124" t="s">
        <v>359</v>
      </c>
      <c r="H83" s="110"/>
      <c r="L83" s="124" t="s">
        <v>360</v>
      </c>
      <c r="M83" s="126">
        <v>6</v>
      </c>
      <c r="N83" s="331" t="s">
        <v>361</v>
      </c>
      <c r="O83" s="51">
        <v>64</v>
      </c>
    </row>
    <row r="84" spans="1:15">
      <c r="A84" s="514" t="s">
        <v>362</v>
      </c>
      <c r="B84" s="519">
        <f>Iout*_Don2*(1-_Don2)/(Cin*Fsw)+(Iout +Iripple1/2)*RCinEsr</f>
        <v>8.5313188079168378E-2</v>
      </c>
      <c r="C84" s="516" t="s">
        <v>339</v>
      </c>
      <c r="H84" s="110"/>
      <c r="L84" s="124" t="s">
        <v>363</v>
      </c>
      <c r="M84" s="126">
        <v>7</v>
      </c>
      <c r="N84" s="331" t="s">
        <v>364</v>
      </c>
      <c r="O84" s="51">
        <v>100</v>
      </c>
    </row>
    <row r="85" spans="1:15" ht="14.1" thickBot="1">
      <c r="A85" s="520"/>
      <c r="B85" s="521">
        <f>Iout*_Don1*(1-_Don1)/(Cin*Fsw)</f>
        <v>4.8148148148148155E-2</v>
      </c>
      <c r="C85" s="522"/>
      <c r="D85" s="111"/>
      <c r="E85" s="111"/>
      <c r="F85" s="111"/>
      <c r="G85" s="111"/>
      <c r="H85" s="112"/>
      <c r="L85" s="124" t="s">
        <v>365</v>
      </c>
      <c r="M85" s="126">
        <v>8</v>
      </c>
      <c r="N85" s="331" t="s">
        <v>366</v>
      </c>
      <c r="O85" s="51">
        <v>144</v>
      </c>
    </row>
    <row r="86" spans="1:15">
      <c r="K86" s="329" t="s">
        <v>367</v>
      </c>
      <c r="L86" s="288" t="str">
        <f>CHOOSE(M86,L78,L79, L80, L81, L82, L83, L84, L85)</f>
        <v>12mm x 12mm</v>
      </c>
      <c r="M86" s="289">
        <v>8</v>
      </c>
      <c r="N86" s="288" t="str">
        <f>CHOOSE(M86,N78,N79, N80,N81,N82, N83, N84, N85)</f>
        <v>12.0 x 12.0</v>
      </c>
      <c r="O86" s="288"/>
    </row>
    <row r="87" spans="1:15" ht="17.100000000000001" thickBot="1">
      <c r="A87" s="106" t="s">
        <v>368</v>
      </c>
    </row>
    <row r="88" spans="1:15">
      <c r="A88" s="499" t="s">
        <v>369</v>
      </c>
      <c r="B88" s="393">
        <f>'Design Regulator'!E49/1000</f>
        <v>0.1</v>
      </c>
      <c r="C88" s="500" t="s">
        <v>264</v>
      </c>
      <c r="D88" s="500" t="s">
        <v>370</v>
      </c>
      <c r="E88" s="500"/>
      <c r="F88" s="500"/>
      <c r="G88" s="500"/>
      <c r="H88" s="501"/>
    </row>
    <row r="89" spans="1:15">
      <c r="A89" s="293" t="s">
        <v>371</v>
      </c>
      <c r="B89" s="79">
        <f>Cout*Vout/Tss</f>
        <v>0.04</v>
      </c>
      <c r="C89" t="s">
        <v>13</v>
      </c>
      <c r="D89" s="124" t="s">
        <v>372</v>
      </c>
      <c r="H89" s="69"/>
    </row>
    <row r="90" spans="1:15">
      <c r="A90" s="293" t="s">
        <v>373</v>
      </c>
      <c r="B90" s="86">
        <f>0.00001*Tss/0.8</f>
        <v>1.2500000000000001E-6</v>
      </c>
      <c r="C90" t="s">
        <v>307</v>
      </c>
      <c r="H90" s="69"/>
    </row>
    <row r="91" spans="1:15" ht="14.1" thickBot="1">
      <c r="A91" s="71" t="s">
        <v>374</v>
      </c>
      <c r="B91" s="85">
        <f>'Standard Value Calculator'!B4</f>
        <v>1.1999999999999999E-6</v>
      </c>
      <c r="C91" s="72" t="s">
        <v>307</v>
      </c>
      <c r="D91" s="72"/>
      <c r="E91" s="72"/>
      <c r="F91" s="72"/>
      <c r="G91" s="72"/>
      <c r="H91" s="73"/>
    </row>
    <row r="93" spans="1:15" ht="17.100000000000001" thickBot="1">
      <c r="A93" s="106" t="s">
        <v>375</v>
      </c>
    </row>
    <row r="94" spans="1:15">
      <c r="A94" s="523"/>
      <c r="B94" s="524"/>
      <c r="C94" s="509"/>
      <c r="D94" s="500"/>
      <c r="E94" s="500"/>
      <c r="F94" s="500"/>
      <c r="G94" s="500"/>
      <c r="H94" s="501"/>
    </row>
    <row r="95" spans="1:15" ht="15">
      <c r="A95" s="294" t="s">
        <v>376</v>
      </c>
      <c r="B95" s="45">
        <f>'Design Regulator'!E51</f>
        <v>14.5</v>
      </c>
      <c r="C95" s="124" t="s">
        <v>8</v>
      </c>
      <c r="H95" s="69"/>
    </row>
    <row r="96" spans="1:15" ht="15">
      <c r="A96" s="294" t="s">
        <v>377</v>
      </c>
      <c r="B96" s="45">
        <f>'Design Regulator'!E52</f>
        <v>14</v>
      </c>
      <c r="C96" s="124" t="s">
        <v>8</v>
      </c>
      <c r="H96" s="69"/>
    </row>
    <row r="97" spans="1:8" ht="15">
      <c r="A97" s="294" t="s">
        <v>162</v>
      </c>
      <c r="B97" s="51">
        <f>(VINuvlo_off-VINuvlo_on*Vuvlo_off/Vuvlo_on)/(Iuvlo1*Vuvlo_off/Vuvlo_on-Iuvlo2)</f>
        <v>50</v>
      </c>
      <c r="C97" s="46" t="s">
        <v>378</v>
      </c>
      <c r="D97">
        <f>'Standard Value Calculator'!S16</f>
        <v>49.900000000000006</v>
      </c>
      <c r="E97" s="46" t="s">
        <v>378</v>
      </c>
      <c r="F97" s="45">
        <f>IF(Ruvlo1&lt;0,"N/A",D97)</f>
        <v>49.900000000000006</v>
      </c>
      <c r="G97" s="45" t="str">
        <f>IF(Ruvlo1&lt;0,"N/A",D97&amp;"kΩ")</f>
        <v>49.9kΩ</v>
      </c>
      <c r="H97" s="69"/>
    </row>
    <row r="98" spans="1:8" ht="15.75" customHeight="1">
      <c r="A98" s="294" t="s">
        <v>163</v>
      </c>
      <c r="B98" s="217">
        <f>D97*Vuvlo_on/(VINuvlo_on-Vuvlo_on+Ruvlo1*Iuvlo1)</f>
        <v>4.5022556390977444</v>
      </c>
      <c r="C98" s="46" t="s">
        <v>378</v>
      </c>
      <c r="D98">
        <f>'Standard Value Calculator'!S17</f>
        <v>4.53</v>
      </c>
      <c r="E98" s="46" t="s">
        <v>378</v>
      </c>
      <c r="F98" s="45">
        <f>IF(F97="N/A","N/A",D98)</f>
        <v>4.53</v>
      </c>
      <c r="G98" s="45" t="str">
        <f>IF(G97="N/A","N/A",D98&amp;"kΩ")</f>
        <v>4.53kΩ</v>
      </c>
      <c r="H98" s="69"/>
    </row>
    <row r="99" spans="1:8" ht="15.75" customHeight="1">
      <c r="A99" s="294"/>
      <c r="B99" s="217"/>
      <c r="C99" s="46"/>
      <c r="E99" s="46"/>
      <c r="H99" s="69"/>
    </row>
    <row r="100" spans="1:8" ht="15.75" customHeight="1">
      <c r="A100" s="294" t="s">
        <v>379</v>
      </c>
      <c r="B100" s="217">
        <f>(D97+D98)/D98*Vuvlo_on-Iuvlo1*D97</f>
        <v>14.418543046357616</v>
      </c>
      <c r="C100" s="46"/>
      <c r="E100" s="46"/>
      <c r="H100" s="69"/>
    </row>
    <row r="101" spans="1:8" ht="15.75" customHeight="1">
      <c r="A101" s="294" t="s">
        <v>380</v>
      </c>
      <c r="B101" s="217">
        <f>(D97+D98)/D98*Vuvlo_off-Iuvlo2*D97</f>
        <v>13.919543046357616</v>
      </c>
      <c r="C101" s="46"/>
      <c r="E101" s="46"/>
      <c r="H101" s="69"/>
    </row>
    <row r="102" spans="1:8" ht="15.75" customHeight="1">
      <c r="A102" s="294"/>
      <c r="B102" s="217"/>
      <c r="C102" s="46"/>
      <c r="E102" s="46"/>
      <c r="H102" s="69"/>
    </row>
    <row r="103" spans="1:8" ht="15.75" customHeight="1">
      <c r="A103" s="294"/>
      <c r="B103" s="45"/>
      <c r="H103" s="69"/>
    </row>
    <row r="104" spans="1:8" ht="15.75" customHeight="1">
      <c r="A104" s="294" t="s">
        <v>381</v>
      </c>
      <c r="B104" s="45">
        <v>1.2</v>
      </c>
      <c r="H104" s="69"/>
    </row>
    <row r="105" spans="1:8" ht="15.75" customHeight="1">
      <c r="A105" s="294" t="s">
        <v>382</v>
      </c>
      <c r="B105" s="45">
        <v>1.2</v>
      </c>
      <c r="H105" s="69"/>
    </row>
    <row r="106" spans="1:8" ht="15.75" customHeight="1">
      <c r="A106" s="294" t="s">
        <v>382</v>
      </c>
      <c r="B106" s="45">
        <f>B104-B105</f>
        <v>0</v>
      </c>
      <c r="H106" s="69"/>
    </row>
    <row r="107" spans="1:8" ht="15.75" customHeight="1">
      <c r="A107" s="294" t="s">
        <v>383</v>
      </c>
      <c r="B107" s="45">
        <v>0</v>
      </c>
      <c r="H107" s="69"/>
    </row>
    <row r="108" spans="1:8" ht="15.75" customHeight="1">
      <c r="A108" s="294" t="s">
        <v>384</v>
      </c>
      <c r="B108" s="45">
        <v>0.01</v>
      </c>
      <c r="H108" s="69"/>
    </row>
    <row r="109" spans="1:8" ht="15.75" customHeight="1">
      <c r="A109" s="294" t="s">
        <v>385</v>
      </c>
      <c r="B109" s="45">
        <f>B108-B107</f>
        <v>0.01</v>
      </c>
      <c r="H109" s="69"/>
    </row>
    <row r="110" spans="1:8" ht="15.75" customHeight="1">
      <c r="A110" s="294"/>
      <c r="B110" s="45"/>
      <c r="H110" s="69"/>
    </row>
    <row r="111" spans="1:8" ht="15.75" customHeight="1">
      <c r="A111" s="293" t="s">
        <v>386</v>
      </c>
      <c r="B111" s="45"/>
      <c r="C111" s="219" t="s">
        <v>30</v>
      </c>
      <c r="H111" s="69"/>
    </row>
    <row r="112" spans="1:8" ht="15.75" customHeight="1">
      <c r="A112" s="293" t="s">
        <v>387</v>
      </c>
      <c r="B112" s="45"/>
      <c r="C112" s="219" t="s">
        <v>30</v>
      </c>
      <c r="H112" s="69"/>
    </row>
    <row r="113" spans="1:8" ht="15.75" customHeight="1">
      <c r="A113" s="293" t="s">
        <v>388</v>
      </c>
      <c r="B113" s="45"/>
      <c r="C113" s="219" t="s">
        <v>30</v>
      </c>
      <c r="H113" s="69"/>
    </row>
    <row r="114" spans="1:8" ht="15.75" customHeight="1">
      <c r="A114" s="293" t="s">
        <v>389</v>
      </c>
      <c r="B114" s="45" t="e">
        <f>80700/(Totp+273)*398</f>
        <v>#NAME?</v>
      </c>
      <c r="C114" s="219" t="s">
        <v>30</v>
      </c>
      <c r="H114" s="69"/>
    </row>
    <row r="115" spans="1:8" ht="15.75" customHeight="1">
      <c r="A115" s="293"/>
      <c r="B115" s="45"/>
      <c r="H115" s="69"/>
    </row>
    <row r="116" spans="1:8">
      <c r="A116" s="293"/>
      <c r="B116" s="45"/>
      <c r="H116" s="69"/>
    </row>
    <row r="117" spans="1:8">
      <c r="A117" s="293" t="s">
        <v>390</v>
      </c>
      <c r="B117" s="45">
        <v>100</v>
      </c>
      <c r="C117" s="124" t="s">
        <v>92</v>
      </c>
      <c r="H117" s="69"/>
    </row>
    <row r="118" spans="1:8">
      <c r="A118" s="293"/>
      <c r="B118" s="45"/>
      <c r="H118" s="69"/>
    </row>
    <row r="119" spans="1:8" ht="14.1" thickBot="1">
      <c r="A119" s="71"/>
      <c r="B119" s="87"/>
      <c r="C119" s="72"/>
      <c r="D119" s="72"/>
      <c r="E119" s="72"/>
      <c r="F119" s="72"/>
      <c r="G119" s="72"/>
      <c r="H119" s="73"/>
    </row>
    <row r="120" spans="1:8">
      <c r="B120" s="45"/>
    </row>
    <row r="121" spans="1:8" ht="17.100000000000001" thickBot="1">
      <c r="A121" s="106" t="s">
        <v>391</v>
      </c>
    </row>
    <row r="122" spans="1:8">
      <c r="A122" s="499" t="s">
        <v>392</v>
      </c>
      <c r="B122" s="525">
        <v>10000</v>
      </c>
      <c r="C122" s="500" t="s">
        <v>76</v>
      </c>
      <c r="D122" s="509" t="s">
        <v>393</v>
      </c>
      <c r="E122" s="500"/>
      <c r="F122" s="500"/>
      <c r="G122" s="500"/>
      <c r="H122" s="501"/>
    </row>
    <row r="123" spans="1:8">
      <c r="A123" s="293" t="s">
        <v>394</v>
      </c>
      <c r="B123" s="70">
        <v>5000000</v>
      </c>
      <c r="C123" t="s">
        <v>208</v>
      </c>
      <c r="D123" s="124" t="s">
        <v>395</v>
      </c>
      <c r="H123" s="69"/>
    </row>
    <row r="124" spans="1:8">
      <c r="A124" s="294" t="s">
        <v>396</v>
      </c>
      <c r="B124" s="108">
        <f>'Design Regulator'!E61*1000</f>
        <v>35000</v>
      </c>
      <c r="C124" s="124" t="s">
        <v>208</v>
      </c>
      <c r="H124" s="69"/>
    </row>
    <row r="125" spans="1:8">
      <c r="A125" s="293" t="s">
        <v>397</v>
      </c>
      <c r="B125" s="109">
        <f>Fcross/Fo/15</f>
        <v>0.74771338251467667</v>
      </c>
      <c r="C125" t="s">
        <v>76</v>
      </c>
      <c r="D125" s="124" t="s">
        <v>398</v>
      </c>
      <c r="H125" s="69">
        <v>1</v>
      </c>
    </row>
    <row r="126" spans="1:8">
      <c r="A126" s="293" t="s">
        <v>399</v>
      </c>
      <c r="B126" s="88">
        <f>'Design Regulator'!E63*1000</f>
        <v>22100</v>
      </c>
      <c r="C126" s="219" t="s">
        <v>30</v>
      </c>
      <c r="D126" t="s">
        <v>400</v>
      </c>
      <c r="H126" s="69">
        <v>1</v>
      </c>
    </row>
    <row r="127" spans="1:8">
      <c r="A127" s="359" t="s">
        <v>401</v>
      </c>
      <c r="B127" s="264">
        <f>IF(Vout=Vref,100000000,Vref/((Vout-Vref)/_Rfb1))</f>
        <v>4209.5238095238092</v>
      </c>
      <c r="C127" s="219" t="s">
        <v>30</v>
      </c>
      <c r="D127" s="124" t="s">
        <v>402</v>
      </c>
      <c r="H127" s="69"/>
    </row>
    <row r="128" spans="1:8">
      <c r="A128" s="293" t="s">
        <v>403</v>
      </c>
      <c r="B128" s="79">
        <f>IF(Vout=Vref,"N/A",'Standard Value Calculator'!S11)</f>
        <v>4220</v>
      </c>
      <c r="C128" s="219" t="s">
        <v>30</v>
      </c>
      <c r="D128" s="124" t="s">
        <v>404</v>
      </c>
      <c r="H128" s="69"/>
    </row>
    <row r="129" spans="1:8">
      <c r="A129" s="293" t="s">
        <v>405</v>
      </c>
      <c r="B129" s="360">
        <f>0.8/Rfb2_u*(Rfb2_u+_Rfb1)</f>
        <v>4.9895734597156407</v>
      </c>
      <c r="C129" t="s">
        <v>8</v>
      </c>
      <c r="D129" s="124" t="s">
        <v>406</v>
      </c>
      <c r="H129" s="69"/>
    </row>
    <row r="130" spans="1:8">
      <c r="A130" s="293"/>
      <c r="C130" s="219"/>
      <c r="D130" s="124"/>
      <c r="H130" s="69"/>
    </row>
    <row r="131" spans="1:8">
      <c r="A131" s="297" t="s">
        <v>407</v>
      </c>
      <c r="B131" s="296">
        <f>Vin/15</f>
        <v>1.2</v>
      </c>
      <c r="C131" t="s">
        <v>339</v>
      </c>
      <c r="D131" s="124" t="s">
        <v>408</v>
      </c>
      <c r="H131" s="69"/>
    </row>
    <row r="132" spans="1:8">
      <c r="A132" s="297" t="s">
        <v>409</v>
      </c>
      <c r="B132" s="265">
        <f>Kmidband*_Rfb1</f>
        <v>16524.465753574354</v>
      </c>
      <c r="C132" s="219" t="s">
        <v>30</v>
      </c>
      <c r="D132" s="124" t="s">
        <v>410</v>
      </c>
      <c r="H132" s="69">
        <v>1</v>
      </c>
    </row>
    <row r="133" spans="1:8">
      <c r="A133" s="297" t="s">
        <v>411</v>
      </c>
      <c r="B133" s="266">
        <f>1/(Rcea1*('Design Regulator'!E67*1000)*2*Pi)</f>
        <v>4.4091313124136033E-9</v>
      </c>
      <c r="C133" t="s">
        <v>307</v>
      </c>
      <c r="D133" t="s">
        <v>412</v>
      </c>
      <c r="H133" s="69">
        <v>1</v>
      </c>
    </row>
    <row r="134" spans="1:8">
      <c r="A134" s="297" t="s">
        <v>413</v>
      </c>
      <c r="B134" s="266">
        <f>1/((Rcea1*2*Pi*'Design Regulator'!E70*1000)-1/Cc1ea)</f>
        <v>7.8422251003148133E-11</v>
      </c>
      <c r="C134" t="s">
        <v>307</v>
      </c>
      <c r="H134" s="69">
        <v>1</v>
      </c>
    </row>
    <row r="135" spans="1:8">
      <c r="A135" s="297" t="s">
        <v>414</v>
      </c>
      <c r="B135" s="264">
        <f>(1/(1000*2*Pi*'Design Regulator'!E69))*_Rfb1/(1/('Design Regulator'!E68*1000*2*Pi)-(1/(1000*2*Pi*'Design Regulator'!E69)))</f>
        <v>316.4616276647198</v>
      </c>
      <c r="C135" s="219" t="s">
        <v>30</v>
      </c>
      <c r="H135" s="69">
        <v>1</v>
      </c>
    </row>
    <row r="136" spans="1:8">
      <c r="A136" s="297" t="s">
        <v>415</v>
      </c>
      <c r="B136" s="266">
        <f>(1/(1000*2*Pi*'Design Regulator'!E69))/Rcea2</f>
        <v>2.5279526175210487E-9</v>
      </c>
      <c r="C136" t="s">
        <v>307</v>
      </c>
      <c r="H136" s="69">
        <v>1</v>
      </c>
    </row>
    <row r="137" spans="1:8">
      <c r="A137" s="297"/>
      <c r="B137" s="1"/>
      <c r="H137" s="69"/>
    </row>
    <row r="138" spans="1:8">
      <c r="A138" s="359" t="s">
        <v>416</v>
      </c>
      <c r="H138" s="69"/>
    </row>
    <row r="139" spans="1:8">
      <c r="A139" s="293" t="s">
        <v>417</v>
      </c>
      <c r="B139" s="121">
        <f>'Design Regulator'!D74*1000</f>
        <v>16500</v>
      </c>
      <c r="C139" s="219" t="s">
        <v>30</v>
      </c>
      <c r="H139" s="69">
        <v>2</v>
      </c>
    </row>
    <row r="140" spans="1:8">
      <c r="A140" s="293" t="s">
        <v>418</v>
      </c>
      <c r="B140" s="82">
        <f>'Design Regulator'!D75*0.000000000001</f>
        <v>4.6999999999999999E-9</v>
      </c>
      <c r="C140" t="s">
        <v>307</v>
      </c>
      <c r="H140" s="69">
        <v>2</v>
      </c>
    </row>
    <row r="141" spans="1:8">
      <c r="A141" s="293" t="s">
        <v>419</v>
      </c>
      <c r="B141" s="82">
        <f>'Design Regulator'!D76*0.000000000001</f>
        <v>8.2000000000000001E-11</v>
      </c>
      <c r="C141" t="s">
        <v>307</v>
      </c>
      <c r="H141" s="69">
        <v>2</v>
      </c>
    </row>
    <row r="142" spans="1:8">
      <c r="A142" s="293" t="s">
        <v>420</v>
      </c>
      <c r="B142" s="121">
        <f>'Design Regulator'!D77</f>
        <v>316</v>
      </c>
      <c r="C142" s="219" t="s">
        <v>30</v>
      </c>
      <c r="H142" s="69">
        <v>2</v>
      </c>
    </row>
    <row r="143" spans="1:8">
      <c r="A143" s="293" t="s">
        <v>421</v>
      </c>
      <c r="B143" s="82">
        <f>'Design Regulator'!D78*0.000000000001</f>
        <v>2.6999999999999998E-9</v>
      </c>
      <c r="C143" t="s">
        <v>307</v>
      </c>
      <c r="H143" s="69">
        <v>2</v>
      </c>
    </row>
    <row r="144" spans="1:8">
      <c r="A144" s="293"/>
      <c r="H144" s="69"/>
    </row>
    <row r="145" spans="1:8">
      <c r="A145" s="359" t="s">
        <v>422</v>
      </c>
      <c r="D145">
        <f>Cout</f>
        <v>8.0000000000000004E-4</v>
      </c>
      <c r="E145">
        <f>CoutEsr</f>
        <v>1E-3</v>
      </c>
      <c r="H145" s="69"/>
    </row>
    <row r="146" spans="1:8">
      <c r="A146" s="297" t="s">
        <v>423</v>
      </c>
      <c r="B146" s="322">
        <f>SQRT((Rfets+Rdcr+Ro)/(Cout*Lout2*(CoutEsr+Ro)))/(2*Pi)</f>
        <v>3120.625346420803</v>
      </c>
      <c r="C146" t="s">
        <v>208</v>
      </c>
      <c r="D146" t="s">
        <v>424</v>
      </c>
      <c r="H146" s="69"/>
    </row>
    <row r="147" spans="1:8">
      <c r="A147" s="297" t="s">
        <v>425</v>
      </c>
      <c r="B147" s="323">
        <f>(Rfets+Rdcr+Ro)/(Lout2+Cout*(Rdcr+Rfets)*(CoutEsr+Ro)+Cout*CoutEsr*Ro)/(Fo*2*Pi)</f>
        <v>3.3464772360440911</v>
      </c>
      <c r="C147" t="s">
        <v>76</v>
      </c>
      <c r="D147" t="s">
        <v>426</v>
      </c>
      <c r="H147" s="69"/>
    </row>
    <row r="148" spans="1:8">
      <c r="A148" s="297" t="s">
        <v>427</v>
      </c>
      <c r="B148" s="322">
        <f>1/(2*Pi*Cout*CoutEsr)</f>
        <v>198943.67909219547</v>
      </c>
      <c r="C148" t="s">
        <v>208</v>
      </c>
      <c r="D148" s="124" t="s">
        <v>428</v>
      </c>
      <c r="H148" s="69"/>
    </row>
    <row r="149" spans="1:8">
      <c r="A149" s="297" t="s">
        <v>429</v>
      </c>
      <c r="B149" s="322">
        <f>1/(2*Pi*Rcea1_u*Cc1ea_u)</f>
        <v>2052.2881144262587</v>
      </c>
      <c r="C149" t="s">
        <v>208</v>
      </c>
      <c r="D149" s="124" t="s">
        <v>430</v>
      </c>
      <c r="H149" s="69"/>
    </row>
    <row r="150" spans="1:8">
      <c r="A150" s="297" t="s">
        <v>431</v>
      </c>
      <c r="B150" s="322">
        <f>1/(2*Pi*Cc3ea_u*(_Rfb1+Rcea2_u))</f>
        <v>2629.6518239907409</v>
      </c>
      <c r="C150" t="s">
        <v>208</v>
      </c>
      <c r="D150" s="124" t="s">
        <v>430</v>
      </c>
      <c r="H150" s="69"/>
    </row>
    <row r="151" spans="1:8">
      <c r="A151" s="297" t="s">
        <v>432</v>
      </c>
      <c r="B151" s="322">
        <f>1/(2*Pi*Rcea2_u*Cc3ea_u)</f>
        <v>186538.84584359633</v>
      </c>
      <c r="C151" t="s">
        <v>208</v>
      </c>
      <c r="D151" t="s">
        <v>433</v>
      </c>
      <c r="H151" s="69"/>
    </row>
    <row r="152" spans="1:8">
      <c r="A152" s="297" t="s">
        <v>434</v>
      </c>
      <c r="B152" s="322">
        <f>1/(2*Pi*Rcea1_u*(Cc1ea_u*Cc2ea_u/(Cc1ea_u+Cc2ea_u)))</f>
        <v>119683.43613641916</v>
      </c>
      <c r="C152" t="s">
        <v>208</v>
      </c>
      <c r="D152" t="s">
        <v>435</v>
      </c>
      <c r="H152" s="69"/>
    </row>
    <row r="153" spans="1:8">
      <c r="A153" s="297" t="s">
        <v>436</v>
      </c>
      <c r="B153" s="323">
        <f>Vout/(Iout+Vref/_Rfb2)</f>
        <v>0.33332911015908695</v>
      </c>
      <c r="D153" s="124" t="s">
        <v>437</v>
      </c>
      <c r="H153" s="69"/>
    </row>
    <row r="154" spans="1:8">
      <c r="A154" s="297" t="s">
        <v>438</v>
      </c>
      <c r="B154" s="323">
        <v>3.1415926500000002</v>
      </c>
      <c r="D154" t="s">
        <v>439</v>
      </c>
      <c r="H154" s="69"/>
    </row>
    <row r="155" spans="1:8">
      <c r="A155" s="297" t="s">
        <v>440</v>
      </c>
      <c r="B155" s="1"/>
      <c r="H155" s="69"/>
    </row>
    <row r="156" spans="1:8">
      <c r="A156" s="297" t="s">
        <v>441</v>
      </c>
      <c r="B156" s="1">
        <v>0</v>
      </c>
      <c r="C156" s="219" t="s">
        <v>30</v>
      </c>
      <c r="D156" s="124" t="s">
        <v>442</v>
      </c>
      <c r="G156">
        <f>_Don2*RdsonTop+Doff2*RdsonBot+B161*Vin^2*Fsw/2/(((Iripple1/SQRT(3))^2))</f>
        <v>4.9554780229002858E-2</v>
      </c>
      <c r="H156" s="69"/>
    </row>
    <row r="157" spans="1:8">
      <c r="A157" s="293"/>
      <c r="H157" s="69"/>
    </row>
    <row r="158" spans="1:8">
      <c r="A158" s="297" t="s">
        <v>443</v>
      </c>
      <c r="B158" s="2">
        <f>0.00000002*Fsw*0.6*4/Iripple1</f>
        <v>2.5244128009395185E-3</v>
      </c>
      <c r="D158" s="2"/>
      <c r="H158" s="69"/>
    </row>
    <row r="159" spans="1:8">
      <c r="A159" s="297" t="s">
        <v>444</v>
      </c>
      <c r="B159" s="2">
        <f>_Don2*RdsonTop+Doff2*RdsonBot</f>
        <v>2.2670120898100173E-2</v>
      </c>
      <c r="D159" s="2"/>
      <c r="H159" s="69"/>
    </row>
    <row r="160" spans="1:8">
      <c r="A160" s="297" t="s">
        <v>445</v>
      </c>
      <c r="B160" s="2">
        <f>B161*Vin^2*Fsw/2/(((Iripple1/SQRT(3))^2))</f>
        <v>2.6884659330902685E-2</v>
      </c>
      <c r="D160" s="2"/>
      <c r="H160" s="69"/>
    </row>
    <row r="161" spans="1:8" ht="14.1" thickBot="1">
      <c r="A161" s="84" t="s">
        <v>446</v>
      </c>
      <c r="B161" s="89">
        <v>5.0000000000000001E-9</v>
      </c>
      <c r="C161" s="72"/>
      <c r="D161" s="89"/>
      <c r="E161" s="72"/>
      <c r="F161" s="72"/>
      <c r="G161" s="72"/>
      <c r="H161" s="73"/>
    </row>
    <row r="162" spans="1:8">
      <c r="A162" s="1"/>
      <c r="B162" s="48"/>
      <c r="D162" s="48"/>
    </row>
    <row r="163" spans="1:8">
      <c r="A163" s="1"/>
      <c r="B163" s="48"/>
      <c r="D163" s="48"/>
    </row>
    <row r="164" spans="1:8" ht="17.100000000000001" thickBot="1">
      <c r="A164" s="107" t="s">
        <v>100</v>
      </c>
    </row>
    <row r="165" spans="1:8">
      <c r="A165" s="499"/>
      <c r="B165" s="500"/>
      <c r="C165" s="500"/>
      <c r="D165" s="500"/>
      <c r="E165" s="500"/>
      <c r="F165" s="500"/>
      <c r="G165" s="500"/>
      <c r="H165" s="501"/>
    </row>
    <row r="166" spans="1:8">
      <c r="A166" s="359" t="s">
        <v>447</v>
      </c>
      <c r="H166" s="69"/>
    </row>
    <row r="167" spans="1:8">
      <c r="A167" s="293" t="s">
        <v>448</v>
      </c>
      <c r="B167" s="30">
        <v>25</v>
      </c>
      <c r="D167" t="s">
        <v>449</v>
      </c>
      <c r="H167" s="69"/>
    </row>
    <row r="168" spans="1:8" ht="15.95">
      <c r="A168" s="376" t="s">
        <v>450</v>
      </c>
      <c r="H168" s="69"/>
    </row>
    <row r="169" spans="1:8">
      <c r="A169" s="293" t="s">
        <v>451</v>
      </c>
      <c r="B169" s="70">
        <f>4000/1000000</f>
        <v>4.0000000000000001E-3</v>
      </c>
      <c r="C169" s="124" t="s">
        <v>452</v>
      </c>
      <c r="D169" t="s">
        <v>453</v>
      </c>
      <c r="H169" s="69"/>
    </row>
    <row r="170" spans="1:8">
      <c r="A170" s="293" t="s">
        <v>454</v>
      </c>
      <c r="B170" s="70">
        <v>20</v>
      </c>
      <c r="C170" s="124" t="s">
        <v>115</v>
      </c>
      <c r="D170" t="s">
        <v>455</v>
      </c>
      <c r="H170" s="69"/>
    </row>
    <row r="171" spans="1:8">
      <c r="A171" s="293" t="s">
        <v>358</v>
      </c>
      <c r="B171" s="30">
        <f>RCinEsr</f>
        <v>2E-3</v>
      </c>
      <c r="C171" s="219" t="s">
        <v>30</v>
      </c>
      <c r="D171" t="s">
        <v>456</v>
      </c>
      <c r="H171" s="69"/>
    </row>
    <row r="172" spans="1:8">
      <c r="A172" s="297" t="s">
        <v>457</v>
      </c>
      <c r="H172" s="69"/>
    </row>
    <row r="173" spans="1:8">
      <c r="A173" s="294" t="s">
        <v>458</v>
      </c>
      <c r="B173" s="70">
        <v>7.5</v>
      </c>
      <c r="H173" s="69"/>
    </row>
    <row r="174" spans="1:8">
      <c r="A174" s="359" t="s">
        <v>459</v>
      </c>
      <c r="H174" s="69"/>
    </row>
    <row r="175" spans="1:8">
      <c r="A175" s="293" t="s">
        <v>460</v>
      </c>
      <c r="B175" s="70">
        <v>1</v>
      </c>
      <c r="C175" s="219" t="s">
        <v>30</v>
      </c>
      <c r="D175" t="s">
        <v>461</v>
      </c>
      <c r="H175" s="69"/>
    </row>
    <row r="176" spans="1:8">
      <c r="A176" s="293" t="s">
        <v>462</v>
      </c>
      <c r="B176" s="70">
        <v>0.9</v>
      </c>
      <c r="C176" s="219" t="s">
        <v>30</v>
      </c>
      <c r="D176" t="s">
        <v>463</v>
      </c>
      <c r="H176" s="69"/>
    </row>
    <row r="177" spans="1:8">
      <c r="A177" s="359" t="s">
        <v>464</v>
      </c>
      <c r="H177" s="69"/>
    </row>
    <row r="178" spans="1:8">
      <c r="A178" s="293" t="s">
        <v>465</v>
      </c>
      <c r="B178" s="526">
        <v>1</v>
      </c>
      <c r="C178" s="219" t="s">
        <v>30</v>
      </c>
      <c r="D178" t="s">
        <v>461</v>
      </c>
      <c r="H178" s="69"/>
    </row>
    <row r="179" spans="1:8">
      <c r="A179" s="293" t="s">
        <v>466</v>
      </c>
      <c r="B179" s="70">
        <v>0.9</v>
      </c>
      <c r="C179" s="219" t="s">
        <v>30</v>
      </c>
      <c r="D179" t="s">
        <v>463</v>
      </c>
      <c r="H179" s="69"/>
    </row>
    <row r="180" spans="1:8">
      <c r="A180" s="359" t="s">
        <v>467</v>
      </c>
      <c r="D180" t="s">
        <v>468</v>
      </c>
      <c r="H180" s="69"/>
    </row>
    <row r="181" spans="1:8">
      <c r="A181" s="293" t="s">
        <v>467</v>
      </c>
      <c r="B181" s="78">
        <v>2.9999999999999997E-8</v>
      </c>
      <c r="C181" t="s">
        <v>264</v>
      </c>
      <c r="D181" t="s">
        <v>469</v>
      </c>
      <c r="H181" s="69"/>
    </row>
    <row r="182" spans="1:8">
      <c r="A182" s="359" t="s">
        <v>470</v>
      </c>
      <c r="H182" s="69"/>
    </row>
    <row r="183" spans="1:8">
      <c r="A183" s="293" t="s">
        <v>471</v>
      </c>
      <c r="B183" s="70">
        <v>2E-3</v>
      </c>
      <c r="C183" t="s">
        <v>13</v>
      </c>
      <c r="D183" t="s">
        <v>472</v>
      </c>
      <c r="H183" s="69"/>
    </row>
    <row r="184" spans="1:8" ht="15.95">
      <c r="A184" s="376" t="s">
        <v>473</v>
      </c>
      <c r="H184" s="69"/>
    </row>
    <row r="185" spans="1:8">
      <c r="A185" s="293" t="s">
        <v>474</v>
      </c>
      <c r="B185" s="30">
        <f>'Design Regulator'!E85/1000</f>
        <v>5.1999999999999998E-2</v>
      </c>
      <c r="C185" s="219" t="s">
        <v>30</v>
      </c>
      <c r="D185" t="s">
        <v>475</v>
      </c>
      <c r="H185" s="69"/>
    </row>
    <row r="186" spans="1:8">
      <c r="A186" s="293" t="s">
        <v>476</v>
      </c>
      <c r="B186" s="70">
        <f>4000/1000000</f>
        <v>4.0000000000000001E-3</v>
      </c>
      <c r="C186" s="124" t="s">
        <v>452</v>
      </c>
      <c r="D186" t="s">
        <v>477</v>
      </c>
      <c r="H186" s="69"/>
    </row>
    <row r="187" spans="1:8">
      <c r="A187" s="293" t="s">
        <v>478</v>
      </c>
      <c r="B187" s="90">
        <f>'Design Regulator'!E86/1000000000</f>
        <v>3.2000000000000001E-9</v>
      </c>
      <c r="C187" t="s">
        <v>479</v>
      </c>
      <c r="D187" t="s">
        <v>480</v>
      </c>
      <c r="H187" s="69"/>
    </row>
    <row r="188" spans="1:8">
      <c r="A188" s="293" t="s">
        <v>481</v>
      </c>
      <c r="B188" s="90">
        <f>'Design Regulator'!E87/1000000000</f>
        <v>8.0000000000000003E-10</v>
      </c>
      <c r="C188" t="s">
        <v>479</v>
      </c>
      <c r="D188" t="s">
        <v>482</v>
      </c>
      <c r="H188" s="69"/>
    </row>
    <row r="189" spans="1:8">
      <c r="A189" s="293" t="s">
        <v>483</v>
      </c>
      <c r="B189" s="90">
        <f>'Design Regulator'!E88/1000000000</f>
        <v>1.6000000000000001E-9</v>
      </c>
      <c r="C189" t="s">
        <v>479</v>
      </c>
      <c r="D189" t="s">
        <v>484</v>
      </c>
      <c r="H189" s="69"/>
    </row>
    <row r="190" spans="1:8">
      <c r="A190" s="294" t="s">
        <v>485</v>
      </c>
      <c r="B190" s="90">
        <f>'Design Regulator'!E89/1000000000000</f>
        <v>6.8999999999999994E-11</v>
      </c>
      <c r="C190" t="s">
        <v>307</v>
      </c>
      <c r="D190" t="s">
        <v>486</v>
      </c>
      <c r="H190" s="69"/>
    </row>
    <row r="191" spans="1:8">
      <c r="A191" s="293" t="s">
        <v>487</v>
      </c>
      <c r="B191" s="30">
        <f>'Design Regulator'!E90</f>
        <v>4.5999999999999996</v>
      </c>
      <c r="C191" s="219" t="s">
        <v>30</v>
      </c>
      <c r="D191" t="s">
        <v>488</v>
      </c>
      <c r="H191" s="69"/>
    </row>
    <row r="192" spans="1:8">
      <c r="A192" s="293" t="s">
        <v>489</v>
      </c>
      <c r="B192" s="30">
        <f>'Design Regulator'!E91</f>
        <v>45</v>
      </c>
      <c r="C192" t="s">
        <v>111</v>
      </c>
      <c r="D192" t="s">
        <v>490</v>
      </c>
      <c r="H192" s="69"/>
    </row>
    <row r="193" spans="1:10">
      <c r="A193" s="293" t="s">
        <v>491</v>
      </c>
      <c r="B193" s="30">
        <f>'Design Regulator'!E92</f>
        <v>5</v>
      </c>
      <c r="C193" t="s">
        <v>8</v>
      </c>
      <c r="D193" t="s">
        <v>492</v>
      </c>
      <c r="H193" s="69"/>
    </row>
    <row r="194" spans="1:10">
      <c r="A194" s="293" t="s">
        <v>493</v>
      </c>
      <c r="B194" s="79">
        <f>VthTop+Iout/GmTop</f>
        <v>5.333333333333333</v>
      </c>
      <c r="C194" t="s">
        <v>8</v>
      </c>
      <c r="D194" t="s">
        <v>494</v>
      </c>
      <c r="H194" s="69"/>
    </row>
    <row r="195" spans="1:10">
      <c r="A195" s="293" t="s">
        <v>495</v>
      </c>
      <c r="B195" s="30">
        <f>'Design Regulator'!E93</f>
        <v>0.8</v>
      </c>
      <c r="C195" t="s">
        <v>8</v>
      </c>
      <c r="D195" t="s">
        <v>496</v>
      </c>
      <c r="H195" s="69"/>
    </row>
    <row r="196" spans="1:10">
      <c r="A196" s="293" t="s">
        <v>497</v>
      </c>
      <c r="B196" s="30">
        <f>'Design Regulator'!E94</f>
        <v>55</v>
      </c>
      <c r="C196" s="124" t="s">
        <v>115</v>
      </c>
      <c r="D196" t="s">
        <v>498</v>
      </c>
      <c r="H196" s="69"/>
    </row>
    <row r="197" spans="1:10" ht="15.95">
      <c r="A197" s="376" t="s">
        <v>499</v>
      </c>
      <c r="H197" s="69"/>
    </row>
    <row r="198" spans="1:10">
      <c r="A198" s="293" t="s">
        <v>500</v>
      </c>
      <c r="B198" s="30">
        <f>'Design Regulator'!E97/1000</f>
        <v>0.01</v>
      </c>
      <c r="C198" s="219" t="s">
        <v>30</v>
      </c>
      <c r="D198" t="s">
        <v>501</v>
      </c>
      <c r="H198" s="69"/>
    </row>
    <row r="199" spans="1:10">
      <c r="A199" s="293" t="s">
        <v>502</v>
      </c>
      <c r="B199" s="30">
        <f>4000/1000000</f>
        <v>4.0000000000000001E-3</v>
      </c>
      <c r="C199" s="124" t="s">
        <v>452</v>
      </c>
      <c r="D199" t="s">
        <v>503</v>
      </c>
      <c r="H199" s="69"/>
    </row>
    <row r="200" spans="1:10">
      <c r="A200" s="293" t="s">
        <v>504</v>
      </c>
      <c r="B200" s="90">
        <f>'Design Regulator'!E98/1000000000</f>
        <v>1.3000000000000001E-8</v>
      </c>
      <c r="C200" t="s">
        <v>479</v>
      </c>
      <c r="D200" s="124" t="s">
        <v>505</v>
      </c>
      <c r="H200" s="69"/>
      <c r="J200">
        <f>RGateTop</f>
        <v>4.5999999999999996</v>
      </c>
    </row>
    <row r="201" spans="1:10">
      <c r="A201" s="294" t="s">
        <v>506</v>
      </c>
      <c r="B201" s="90">
        <f>'Design Regulator'!E99/1000000000</f>
        <v>2E-8</v>
      </c>
      <c r="C201" t="s">
        <v>479</v>
      </c>
      <c r="D201" s="124" t="s">
        <v>507</v>
      </c>
      <c r="H201" s="69"/>
    </row>
    <row r="202" spans="1:10">
      <c r="A202" s="294" t="s">
        <v>508</v>
      </c>
      <c r="B202" s="90">
        <f>'Design Regulator'!E100/1000000000000</f>
        <v>5.7999999999999996E-10</v>
      </c>
      <c r="C202" t="s">
        <v>307</v>
      </c>
      <c r="D202" s="124" t="s">
        <v>509</v>
      </c>
      <c r="H202" s="69"/>
    </row>
    <row r="203" spans="1:10">
      <c r="A203" s="293" t="s">
        <v>510</v>
      </c>
      <c r="B203" s="30">
        <v>1</v>
      </c>
      <c r="C203" s="219" t="s">
        <v>30</v>
      </c>
      <c r="D203" t="s">
        <v>511</v>
      </c>
      <c r="H203" s="69"/>
    </row>
    <row r="204" spans="1:10">
      <c r="A204" s="293" t="s">
        <v>512</v>
      </c>
      <c r="B204" s="30">
        <f>'Design Regulator'!E101</f>
        <v>0.9</v>
      </c>
      <c r="C204" t="s">
        <v>8</v>
      </c>
      <c r="D204" t="s">
        <v>513</v>
      </c>
      <c r="H204" s="69"/>
    </row>
    <row r="205" spans="1:10">
      <c r="A205" s="293" t="s">
        <v>514</v>
      </c>
      <c r="B205" s="90">
        <f>'Design Regulator'!E102/1000000000</f>
        <v>4.9999999999999998E-8</v>
      </c>
      <c r="C205" t="s">
        <v>479</v>
      </c>
      <c r="D205" t="s">
        <v>515</v>
      </c>
      <c r="H205" s="69"/>
    </row>
    <row r="206" spans="1:10">
      <c r="A206" s="293" t="s">
        <v>516</v>
      </c>
      <c r="B206" s="90">
        <v>4.0000000000000001E-8</v>
      </c>
      <c r="C206" t="s">
        <v>264</v>
      </c>
      <c r="D206" t="s">
        <v>517</v>
      </c>
      <c r="H206" s="69"/>
    </row>
    <row r="207" spans="1:10">
      <c r="A207" s="293" t="s">
        <v>518</v>
      </c>
      <c r="B207" s="30">
        <f>'Design Regulator'!E103</f>
        <v>40</v>
      </c>
      <c r="C207" s="124" t="s">
        <v>115</v>
      </c>
      <c r="D207" t="s">
        <v>498</v>
      </c>
      <c r="H207" s="69"/>
    </row>
    <row r="208" spans="1:10" ht="15.95">
      <c r="A208" s="376" t="s">
        <v>519</v>
      </c>
      <c r="B208" s="30"/>
      <c r="H208" s="69"/>
    </row>
    <row r="209" spans="1:8">
      <c r="A209" s="293" t="s">
        <v>520</v>
      </c>
      <c r="B209" s="30">
        <f>'Design Regulator'!E105</f>
        <v>0</v>
      </c>
      <c r="C209" t="s">
        <v>8</v>
      </c>
      <c r="D209" t="s">
        <v>521</v>
      </c>
      <c r="H209" s="69"/>
    </row>
    <row r="210" spans="1:8">
      <c r="A210" s="293" t="s">
        <v>522</v>
      </c>
      <c r="B210" s="30">
        <v>0</v>
      </c>
      <c r="C210" t="s">
        <v>479</v>
      </c>
      <c r="D210" t="s">
        <v>523</v>
      </c>
      <c r="H210" s="69"/>
    </row>
    <row r="211" spans="1:8">
      <c r="A211" s="293" t="s">
        <v>524</v>
      </c>
      <c r="B211" s="30">
        <v>0</v>
      </c>
      <c r="C211" t="s">
        <v>13</v>
      </c>
      <c r="D211" t="s">
        <v>525</v>
      </c>
      <c r="H211" s="69"/>
    </row>
    <row r="212" spans="1:8">
      <c r="A212" s="359" t="s">
        <v>526</v>
      </c>
      <c r="H212" s="69"/>
    </row>
    <row r="213" spans="1:8">
      <c r="A213" s="293" t="s">
        <v>527</v>
      </c>
      <c r="B213" s="30">
        <v>30</v>
      </c>
      <c r="H213" s="69"/>
    </row>
    <row r="214" spans="1:8">
      <c r="A214" s="359" t="s">
        <v>528</v>
      </c>
      <c r="H214" s="69"/>
    </row>
    <row r="215" spans="1:8">
      <c r="A215" s="293" t="s">
        <v>473</v>
      </c>
      <c r="H215" s="69"/>
    </row>
    <row r="216" spans="1:8">
      <c r="A216" s="293" t="s">
        <v>529</v>
      </c>
      <c r="B216" s="82">
        <f>(QgdTop+QgsTop/2)*(RdsonDRT+RGateTop)/(Vdd-VspTop)</f>
        <v>4.1353846153846152E-9</v>
      </c>
      <c r="C216" t="s">
        <v>264</v>
      </c>
      <c r="H216" s="69"/>
    </row>
    <row r="217" spans="1:8">
      <c r="A217" s="293" t="s">
        <v>530</v>
      </c>
      <c r="B217" s="82">
        <f>(QgdTop+QgsTop/2)*(RdsonDRT+RGateTop)/(VspTop)</f>
        <v>1.6800000000000002E-9</v>
      </c>
      <c r="C217" t="s">
        <v>264</v>
      </c>
      <c r="H217" s="69"/>
    </row>
    <row r="218" spans="1:8">
      <c r="A218" s="293"/>
      <c r="H218" s="69"/>
    </row>
    <row r="219" spans="1:8">
      <c r="A219" s="293"/>
      <c r="H219" s="69"/>
    </row>
    <row r="220" spans="1:8">
      <c r="A220" s="359" t="s">
        <v>531</v>
      </c>
      <c r="B220" s="2" t="s">
        <v>129</v>
      </c>
      <c r="C220" s="2" t="s">
        <v>532</v>
      </c>
      <c r="H220" s="69"/>
    </row>
    <row r="221" spans="1:8">
      <c r="A221" s="294" t="s">
        <v>533</v>
      </c>
      <c r="B221" s="352">
        <f>'Power Calculations'!AN9</f>
        <v>6.6375000000000003E-2</v>
      </c>
      <c r="C221" s="124" t="s">
        <v>30</v>
      </c>
      <c r="H221" s="69"/>
    </row>
    <row r="222" spans="1:8">
      <c r="A222" s="294" t="s">
        <v>534</v>
      </c>
      <c r="B222" s="313">
        <f>B221*ThetaJaCtrl</f>
        <v>1.9912500000000002</v>
      </c>
      <c r="C222" s="124" t="s">
        <v>124</v>
      </c>
      <c r="H222" s="69"/>
    </row>
    <row r="223" spans="1:8">
      <c r="A223" s="294" t="s">
        <v>535</v>
      </c>
      <c r="B223" s="315">
        <f>(QgBot+QgTop)*Fsw+Iq</f>
        <v>6.0499999999999998E-3</v>
      </c>
      <c r="C223" t="s">
        <v>13</v>
      </c>
      <c r="H223" s="69"/>
    </row>
    <row r="224" spans="1:8">
      <c r="A224" s="294" t="s">
        <v>536</v>
      </c>
      <c r="B224" s="314">
        <f>QrrBot*Fsw</f>
        <v>1.2499999999999999E-2</v>
      </c>
      <c r="C224" t="s">
        <v>13</v>
      </c>
      <c r="H224" s="69"/>
    </row>
    <row r="225" spans="1:8">
      <c r="A225" s="294" t="s">
        <v>537</v>
      </c>
      <c r="B225" s="314">
        <f>C225/Vin</f>
        <v>2.5163156158703229E-4</v>
      </c>
      <c r="C225">
        <f>Deadtime*Fsw*(Ipp/2)*(VsdTop+VsdBot)</f>
        <v>4.5293681085665817E-3</v>
      </c>
      <c r="H225" s="69"/>
    </row>
    <row r="226" spans="1:8">
      <c r="A226" s="294" t="s">
        <v>538</v>
      </c>
      <c r="B226" s="314">
        <f>SUM(B223:B225)</f>
        <v>1.880163156158703E-2</v>
      </c>
      <c r="C226" t="s">
        <v>13</v>
      </c>
      <c r="H226" s="69"/>
    </row>
    <row r="227" spans="1:8">
      <c r="A227" s="293"/>
      <c r="H227" s="69"/>
    </row>
    <row r="228" spans="1:8">
      <c r="A228" s="293"/>
      <c r="H228" s="69"/>
    </row>
    <row r="229" spans="1:8">
      <c r="A229" s="293"/>
      <c r="H229" s="69"/>
    </row>
    <row r="230" spans="1:8">
      <c r="A230" s="293"/>
      <c r="H230" s="69"/>
    </row>
    <row r="231" spans="1:8">
      <c r="A231" s="293"/>
      <c r="H231" s="69"/>
    </row>
    <row r="232" spans="1:8">
      <c r="A232" s="359" t="s">
        <v>539</v>
      </c>
      <c r="H232" s="69"/>
    </row>
    <row r="233" spans="1:8">
      <c r="A233" s="293" t="s">
        <v>540</v>
      </c>
      <c r="H233" s="69"/>
    </row>
    <row r="234" spans="1:8" ht="14.1" thickBot="1">
      <c r="A234" s="71" t="s">
        <v>533</v>
      </c>
      <c r="B234" s="72"/>
      <c r="C234" s="72"/>
      <c r="D234" s="72"/>
      <c r="E234" s="72"/>
      <c r="F234" s="72"/>
      <c r="G234" s="72"/>
      <c r="H234" s="73"/>
    </row>
    <row r="235" spans="1:8">
      <c r="A235" s="1"/>
      <c r="B235" s="1"/>
    </row>
    <row r="236" spans="1:8" ht="21.75" customHeight="1" thickBot="1">
      <c r="A236" s="106" t="s">
        <v>541</v>
      </c>
    </row>
    <row r="237" spans="1:8">
      <c r="A237" s="499" t="str">
        <f>"RC1 = "&amp;'Design Regulator'!D74&amp;"kΩ"</f>
        <v>RC1 = 16.5kΩ</v>
      </c>
      <c r="B237" s="500" t="str">
        <f>'Design Regulator'!D74&amp;"kΩ"</f>
        <v>16.5kΩ</v>
      </c>
      <c r="C237" s="500"/>
      <c r="D237" s="500"/>
      <c r="E237" s="500"/>
      <c r="F237" s="500"/>
      <c r="G237" s="500"/>
      <c r="H237" s="501"/>
    </row>
    <row r="238" spans="1:8">
      <c r="A238" s="293" t="str">
        <f>"LOUT = "&amp;'Design Regulator'!E17&amp;"uH"</f>
        <v>LOUT = 3.3uH</v>
      </c>
      <c r="B238" t="str">
        <f>'Design Regulator'!E17&amp;"µH"</f>
        <v>3.3µH</v>
      </c>
      <c r="H238" s="69"/>
    </row>
    <row r="239" spans="1:8">
      <c r="A239" s="293" t="str">
        <f>"Rdcr = "&amp;'Design Regulator'!E18&amp;"mΩ"</f>
        <v>Rdcr = 6mΩ</v>
      </c>
      <c r="B239" t="str">
        <f>'Design Regulator'!E18&amp;"mΩ"</f>
        <v>6mΩ</v>
      </c>
      <c r="H239" s="69"/>
    </row>
    <row r="240" spans="1:8">
      <c r="A240" s="293"/>
      <c r="H240" s="69"/>
    </row>
    <row r="241" spans="1:8">
      <c r="A241" s="293" t="str">
        <f>"VOUT = "&amp;'Design Regulator'!E9&amp;"V"</f>
        <v>VOUT = 5V</v>
      </c>
      <c r="B241" t="str">
        <f>'Design Regulator'!E9&amp;"V"</f>
        <v>5V</v>
      </c>
      <c r="H241" s="69"/>
    </row>
    <row r="242" spans="1:8">
      <c r="A242" s="293"/>
      <c r="C242" s="126" t="str">
        <f>M44</f>
        <v>47</v>
      </c>
      <c r="D242" s="126">
        <f>ROUNDUP('Design Regulator'!$E$33/C242,0)</f>
        <v>18</v>
      </c>
      <c r="H242" s="69"/>
    </row>
    <row r="243" spans="1:8">
      <c r="A243" s="293" t="str">
        <f>"COUT = "&amp;'Design Regulator'!$E$33&amp;"uF"</f>
        <v>COUT = 800uF</v>
      </c>
      <c r="B243" t="str">
        <f>'Design Regulator'!$E$33&amp;"µF"</f>
        <v>800µF</v>
      </c>
      <c r="C243" s="126" t="str">
        <f>C242</f>
        <v>47</v>
      </c>
      <c r="D243" s="126" t="str">
        <f>IF(D242=1, "",B245)</f>
        <v xml:space="preserve">18 x </v>
      </c>
      <c r="E243" t="str">
        <f>D243&amp;C243&amp;"µF"</f>
        <v>18 x 47µF</v>
      </c>
      <c r="F243" t="str">
        <f>C243&amp;"µF"</f>
        <v>47µF</v>
      </c>
      <c r="G243" t="str">
        <f>L66</f>
        <v>10V</v>
      </c>
      <c r="H243" s="69"/>
    </row>
    <row r="244" spans="1:8">
      <c r="A244" s="294" t="s">
        <v>542</v>
      </c>
      <c r="B244" t="str">
        <f>C242&amp;"µF"</f>
        <v>47µF</v>
      </c>
      <c r="H244" s="69"/>
    </row>
    <row r="245" spans="1:8">
      <c r="A245" s="294" t="s">
        <v>543</v>
      </c>
      <c r="B245" s="126" t="str">
        <f>D242&amp;" x "</f>
        <v xml:space="preserve">18 x </v>
      </c>
      <c r="H245" s="69"/>
    </row>
    <row r="246" spans="1:8">
      <c r="A246" s="294"/>
      <c r="H246" s="69"/>
    </row>
    <row r="247" spans="1:8">
      <c r="A247" s="293"/>
      <c r="H247" s="69"/>
    </row>
    <row r="248" spans="1:8">
      <c r="A248" s="293" t="s">
        <v>544</v>
      </c>
      <c r="B248" t="str">
        <f>Cin*1000000&amp;"µF"</f>
        <v>250µF</v>
      </c>
      <c r="H248" s="69"/>
    </row>
    <row r="249" spans="1:8">
      <c r="A249" s="294" t="s">
        <v>545</v>
      </c>
      <c r="B249" t="str">
        <f>"4.7µF"</f>
        <v>4.7µF</v>
      </c>
      <c r="H249" s="69"/>
    </row>
    <row r="250" spans="1:8">
      <c r="A250" s="294" t="s">
        <v>546</v>
      </c>
      <c r="B250" s="126" t="str">
        <f>ROUNDUP(Cin*1000000/4.7,0)&amp;" x "</f>
        <v xml:space="preserve">54 x </v>
      </c>
      <c r="E250" t="str">
        <f>B250&amp;B249</f>
        <v>54 x 4.7µF</v>
      </c>
      <c r="H250" s="69"/>
    </row>
    <row r="251" spans="1:8">
      <c r="A251" s="294"/>
      <c r="B251" s="126"/>
      <c r="H251" s="69"/>
    </row>
    <row r="252" spans="1:8">
      <c r="A252" s="294"/>
      <c r="B252" s="126"/>
      <c r="H252" s="69"/>
    </row>
    <row r="253" spans="1:8">
      <c r="A253" s="293" t="str">
        <f>"RC1 = "&amp;Rcea1_u/1000&amp;"kΩ"</f>
        <v>RC1 = 16.5kΩ</v>
      </c>
      <c r="B253" t="str">
        <f>ROUND(Rcea1_u/1000,2)&amp;"kΩ"</f>
        <v>16.5kΩ</v>
      </c>
      <c r="H253" s="69"/>
    </row>
    <row r="254" spans="1:8">
      <c r="A254" s="293" t="str">
        <f>"CC1 = "&amp;Cc1ea_u*10^9&amp;"nF"</f>
        <v>CC1 = 4.7nF</v>
      </c>
      <c r="B254" t="str">
        <f>ROUND(Cc1ea_u*10^9,1)&amp;"nF"</f>
        <v>4.7nF</v>
      </c>
      <c r="H254" s="69"/>
    </row>
    <row r="255" spans="1:8">
      <c r="A255" s="293" t="str">
        <f>"CC2 = "&amp;Cc2ea_u*10^12&amp;"pF"</f>
        <v>CC2 = 82pF</v>
      </c>
      <c r="B255" t="str">
        <f>ROUND(Cc2ea_u*10^12,0)&amp;"pF"</f>
        <v>82pF</v>
      </c>
      <c r="H255" s="69"/>
    </row>
    <row r="256" spans="1:8">
      <c r="A256" s="293" t="str">
        <f>"RC2 = "&amp;Rcea2_u&amp;"Ω"</f>
        <v>RC2 = 316Ω</v>
      </c>
      <c r="B256" t="str">
        <f>ROUND(Rcea2_u,2)&amp;"Ω"</f>
        <v>316Ω</v>
      </c>
      <c r="H256" s="69"/>
    </row>
    <row r="257" spans="1:8">
      <c r="A257" s="293" t="str">
        <f>"CC3 = "&amp;Cc3ea_u*10^12&amp;"pF"</f>
        <v>CC3 = 2700pF</v>
      </c>
      <c r="B257" t="str">
        <f>ROUND(Cc3ea_u*10^12,0)&amp;"pF"</f>
        <v>2700pF</v>
      </c>
      <c r="H257" s="69"/>
    </row>
    <row r="258" spans="1:8">
      <c r="A258" s="293" t="str">
        <f>"RFB1 = "&amp;'Design Regulator'!E63&amp;"kΩ"</f>
        <v>RFB1 = 22.1kΩ</v>
      </c>
      <c r="B258" t="str">
        <f>'Design Regulator'!E63&amp;"kΩ"</f>
        <v>22.1kΩ</v>
      </c>
      <c r="H258" s="69"/>
    </row>
    <row r="259" spans="1:8">
      <c r="A259" s="293" t="str">
        <f>"RFB2 = "&amp;IF(Vout=Vref,"OPEN",'Design Regulator'!E64&amp;"kΩ")</f>
        <v>RFB2 = 4.22kΩ</v>
      </c>
      <c r="B259" t="str">
        <f>IF(Vout=Vref,"OPEN",Rfb2_u/1000&amp;"kΩ")</f>
        <v>4.22kΩ</v>
      </c>
      <c r="H259" s="69"/>
    </row>
    <row r="260" spans="1:8">
      <c r="A260" s="293" t="str">
        <f>"Crossover Frequency = "&amp;ROUND('Bode Plots Calculations'!BK5,0)&amp;" kHz"</f>
        <v>Crossover Frequency = 40 kHz</v>
      </c>
      <c r="B260" t="str">
        <f>ROUND('Bode Plots Calculations'!BK5,0)&amp;" kHz"</f>
        <v>40 kHz</v>
      </c>
      <c r="C260" s="125">
        <f>'Bode Plots Calculations'!BK5</f>
        <v>40</v>
      </c>
      <c r="H260" s="69"/>
    </row>
    <row r="261" spans="1:8">
      <c r="A261" s="293" t="str">
        <f>"Phase Margin = "&amp;ROUND('Bode Plots Calculations'!BK6,0)&amp;"°"</f>
        <v>Phase Margin = 60°</v>
      </c>
      <c r="B261" s="126" t="str">
        <f>ROUND('Bode Plots Calculations'!BK6,0)&amp;"°"</f>
        <v>60°</v>
      </c>
      <c r="D261" s="219"/>
      <c r="H261" s="69"/>
    </row>
    <row r="262" spans="1:8">
      <c r="A262" s="293"/>
      <c r="B262" s="126"/>
      <c r="D262" s="219"/>
      <c r="H262" s="69"/>
    </row>
    <row r="263" spans="1:8">
      <c r="A263" s="293"/>
      <c r="H263" s="69"/>
    </row>
    <row r="264" spans="1:8">
      <c r="A264" s="293" t="str">
        <f>"Rilim(Rdson) = "&amp;Rilim_Rdson&amp;"Ω"</f>
        <v>Rilim(Rdson) = 536Ω</v>
      </c>
      <c r="B264" t="str">
        <f>IF(Rilim_Rdson&gt;999,Rilim_Rdson/1000&amp;"kΩ", Rilim_Rdson&amp;"Ω")</f>
        <v>536Ω</v>
      </c>
      <c r="C264">
        <f>IF(Rilim_Rdson&gt;999,Rilim_Rdson/1000, Rilim_Rdson)</f>
        <v>536</v>
      </c>
      <c r="H264" s="69"/>
    </row>
    <row r="265" spans="1:8">
      <c r="A265" s="293" t="str">
        <f>"Rilim(shunt) = "&amp;Rilim_shunt&amp;"Ω"</f>
        <v>Rilim(shunt) = 634Ω</v>
      </c>
      <c r="B265" t="str">
        <f>IF('Standard Value Calculator'!S22&gt;999, 'Standard Value Calculator'!S22/1000&amp;"kΩ", 'Standard Value Calculator'!S22&amp;"Ω")</f>
        <v>634Ω</v>
      </c>
      <c r="C265">
        <f>IF('Standard Value Calculator'!S22&gt;999, 'Standard Value Calculator'!S22/1000, 'Standard Value Calculator'!S22)</f>
        <v>634</v>
      </c>
      <c r="H265" s="69"/>
    </row>
    <row r="266" spans="1:8">
      <c r="A266" s="293" t="s">
        <v>306</v>
      </c>
      <c r="B266" t="str">
        <f>Cilim_ideal&amp;"pF"</f>
        <v>10pF</v>
      </c>
      <c r="C266" s="361">
        <f>Cilim_ideal</f>
        <v>10</v>
      </c>
      <c r="H266" s="69"/>
    </row>
    <row r="267" spans="1:8">
      <c r="A267" s="293"/>
      <c r="H267" s="69"/>
    </row>
    <row r="268" spans="1:8">
      <c r="A268" s="294" t="s">
        <v>547</v>
      </c>
      <c r="B268" t="str">
        <f>IF(RDSON_sense=1, 'Variable Management'!B264,'Variable Management'!B265)</f>
        <v>536Ω</v>
      </c>
      <c r="C268">
        <f>IF(RDSON_sense=1, 'Variable Management'!C264,'Variable Management'!C265)</f>
        <v>536</v>
      </c>
      <c r="H268" s="69"/>
    </row>
    <row r="269" spans="1:8">
      <c r="A269" s="294" t="str">
        <f>IF(RDSON_sense=1, "", "Rs")</f>
        <v/>
      </c>
      <c r="B269" t="str">
        <f>IF(RDSON_sense=1, "", Rshunt*1000&amp;"mΩ")</f>
        <v/>
      </c>
      <c r="D269" t="s">
        <v>548</v>
      </c>
      <c r="H269" s="69"/>
    </row>
    <row r="270" spans="1:8">
      <c r="A270" s="294" t="str">
        <f>IF(RDSON_sense=1, "Cilim", "")</f>
        <v>Cilim</v>
      </c>
      <c r="B270" t="str">
        <f>IF(RDSON_sense=1, IF(Cilim_ideal&lt;3.3, "N/A", Cilim_ideal&amp;"pF"), "")</f>
        <v>10pF</v>
      </c>
      <c r="C270" s="328" t="str">
        <f>IF(RDSON_sense=1, IF(Cilim_ideal&lt;3.3, "N/A", Cilim_ideal&amp;""), "")</f>
        <v>10</v>
      </c>
      <c r="D270" t="s">
        <v>549</v>
      </c>
      <c r="H270" s="69"/>
    </row>
    <row r="271" spans="1:8">
      <c r="A271" s="293"/>
      <c r="H271" s="69"/>
    </row>
    <row r="272" spans="1:8">
      <c r="A272" s="293"/>
      <c r="H272" s="69"/>
    </row>
    <row r="273" spans="1:8">
      <c r="A273" s="293" t="s">
        <v>389</v>
      </c>
      <c r="B273" t="str">
        <f>'Standard Value Calculator'!S24/1000&amp;"kΩ"</f>
        <v>0kΩ</v>
      </c>
      <c r="C273">
        <f>'Standard Value Calculator'!S24/1000</f>
        <v>0</v>
      </c>
      <c r="H273" s="69"/>
    </row>
    <row r="274" spans="1:8">
      <c r="A274" s="294" t="s">
        <v>550</v>
      </c>
      <c r="B274" s="124" t="s">
        <v>551</v>
      </c>
      <c r="H274" s="69"/>
    </row>
    <row r="275" spans="1:8">
      <c r="A275" s="293" t="s">
        <v>552</v>
      </c>
      <c r="B275" t="str">
        <f>'Standard Value Calculator'!S4/1000&amp;"kΩ"</f>
        <v>33.2kΩ</v>
      </c>
      <c r="H275" s="69"/>
    </row>
    <row r="276" spans="1:8">
      <c r="A276" s="293" t="s">
        <v>373</v>
      </c>
      <c r="B276" t="str">
        <f>'Standard Value Calculator'!B4*1000000000 &amp;"nF"</f>
        <v>1200nF</v>
      </c>
      <c r="H276" s="69"/>
    </row>
    <row r="277" spans="1:8">
      <c r="A277" s="294" t="s">
        <v>553</v>
      </c>
      <c r="B277" s="124" t="s">
        <v>554</v>
      </c>
      <c r="H277" s="69"/>
    </row>
    <row r="278" spans="1:8">
      <c r="A278" s="293" t="s">
        <v>555</v>
      </c>
      <c r="B278" t="str">
        <f>IF(B47="y","","|")</f>
        <v>|</v>
      </c>
      <c r="H278" s="69"/>
    </row>
    <row r="279" spans="1:8">
      <c r="A279" s="293" t="s">
        <v>556</v>
      </c>
      <c r="B279" t="str">
        <f>'Design Regulator'!$E$10&amp;"A"</f>
        <v>15A</v>
      </c>
      <c r="H279" s="69"/>
    </row>
    <row r="280" spans="1:8">
      <c r="A280" s="293" t="s">
        <v>557</v>
      </c>
      <c r="B280" t="str">
        <f>Vin&amp;"V"</f>
        <v>18V</v>
      </c>
      <c r="H280" s="69"/>
    </row>
    <row r="281" spans="1:8">
      <c r="A281" s="294" t="s">
        <v>558</v>
      </c>
      <c r="B281" t="str">
        <f>Vinmin&amp;"V to "&amp;Vinmax&amp;"V"</f>
        <v>15V to 22V</v>
      </c>
      <c r="H281" s="69"/>
    </row>
    <row r="282" spans="1:8">
      <c r="A282" s="294"/>
      <c r="H282" s="69"/>
    </row>
    <row r="283" spans="1:8">
      <c r="A283" s="293"/>
      <c r="H283" s="69"/>
    </row>
    <row r="284" spans="1:8">
      <c r="A284" s="293" t="s">
        <v>559</v>
      </c>
      <c r="B284">
        <v>12</v>
      </c>
      <c r="H284" s="69"/>
    </row>
    <row r="285" spans="1:8">
      <c r="A285" s="293" t="s">
        <v>560</v>
      </c>
      <c r="B285">
        <v>18</v>
      </c>
      <c r="H285" s="69"/>
    </row>
    <row r="286" spans="1:8">
      <c r="A286" s="293" t="s">
        <v>561</v>
      </c>
      <c r="B286">
        <v>14</v>
      </c>
      <c r="H286" s="69"/>
    </row>
    <row r="287" spans="1:8">
      <c r="A287" s="293" t="s">
        <v>562</v>
      </c>
      <c r="B287">
        <v>6</v>
      </c>
      <c r="H287" s="69"/>
    </row>
    <row r="288" spans="1:8">
      <c r="A288" s="293" t="s">
        <v>563</v>
      </c>
      <c r="B288">
        <v>7</v>
      </c>
      <c r="H288" s="69"/>
    </row>
    <row r="289" spans="1:8">
      <c r="A289" s="293" t="s">
        <v>564</v>
      </c>
      <c r="B289">
        <v>11</v>
      </c>
      <c r="H289" s="69"/>
    </row>
    <row r="290" spans="1:8">
      <c r="A290" s="293" t="s">
        <v>565</v>
      </c>
      <c r="B290">
        <v>1</v>
      </c>
      <c r="H290" s="69"/>
    </row>
    <row r="291" spans="1:8">
      <c r="A291" s="293" t="s">
        <v>566</v>
      </c>
      <c r="B291">
        <v>5</v>
      </c>
      <c r="H291" s="69"/>
    </row>
    <row r="292" spans="1:8">
      <c r="A292" s="293" t="s">
        <v>567</v>
      </c>
      <c r="B292">
        <v>13</v>
      </c>
      <c r="H292" s="69"/>
    </row>
    <row r="293" spans="1:8">
      <c r="A293" s="293" t="s">
        <v>568</v>
      </c>
      <c r="B293">
        <v>4</v>
      </c>
      <c r="H293" s="69"/>
    </row>
    <row r="294" spans="1:8">
      <c r="A294" s="293" t="s">
        <v>569</v>
      </c>
      <c r="B294">
        <v>3</v>
      </c>
      <c r="H294" s="69"/>
    </row>
    <row r="295" spans="1:8">
      <c r="A295" s="293" t="s">
        <v>570</v>
      </c>
      <c r="B295">
        <v>24</v>
      </c>
      <c r="H295" s="69"/>
    </row>
    <row r="296" spans="1:8">
      <c r="A296" s="293" t="s">
        <v>571</v>
      </c>
      <c r="B296">
        <v>23</v>
      </c>
      <c r="H296" s="69"/>
    </row>
    <row r="297" spans="1:8">
      <c r="A297" s="293" t="s">
        <v>572</v>
      </c>
      <c r="B297">
        <v>15</v>
      </c>
      <c r="H297" s="69"/>
    </row>
    <row r="298" spans="1:8">
      <c r="A298" s="293" t="s">
        <v>573</v>
      </c>
      <c r="B298">
        <v>16</v>
      </c>
      <c r="H298" s="69"/>
    </row>
    <row r="299" spans="1:8">
      <c r="A299" s="293" t="s">
        <v>574</v>
      </c>
      <c r="B299">
        <v>17</v>
      </c>
      <c r="H299" s="69"/>
    </row>
    <row r="300" spans="1:8">
      <c r="A300" t="s">
        <v>575</v>
      </c>
      <c r="B300">
        <v>2</v>
      </c>
      <c r="H300" s="69"/>
    </row>
    <row r="301" spans="1:8">
      <c r="A301" s="293" t="s">
        <v>576</v>
      </c>
      <c r="B301">
        <v>8</v>
      </c>
      <c r="H301" s="69"/>
    </row>
    <row r="302" spans="1:8">
      <c r="A302" s="293" t="s">
        <v>577</v>
      </c>
      <c r="B302">
        <v>9</v>
      </c>
      <c r="H302" s="69"/>
    </row>
    <row r="303" spans="1:8" ht="14.1" thickBot="1">
      <c r="A303" s="71" t="s">
        <v>578</v>
      </c>
      <c r="B303" s="72">
        <v>10</v>
      </c>
      <c r="C303" s="72"/>
      <c r="D303" s="72"/>
      <c r="E303" s="72"/>
      <c r="F303" s="72"/>
      <c r="G303" s="72"/>
      <c r="H303" s="73"/>
    </row>
    <row r="307" spans="1:2">
      <c r="A307" s="122"/>
    </row>
    <row r="308" spans="1:2">
      <c r="A308" s="75" t="s">
        <v>579</v>
      </c>
      <c r="B308" s="45" t="str">
        <f>ROUND('Power Calculations'!AU209*1,1)&amp;"%"</f>
        <v>77.2%</v>
      </c>
    </row>
    <row r="309" spans="1:2">
      <c r="A309" s="75" t="s">
        <v>580</v>
      </c>
      <c r="B309" s="45" t="str">
        <f>ROUND('Power Calculations'!AU109*1,1)&amp;"%"</f>
        <v>93.3%</v>
      </c>
    </row>
    <row r="346" spans="1:1">
      <c r="A346" t="s">
        <v>581</v>
      </c>
    </row>
    <row r="347" spans="1:1">
      <c r="A347" t="s">
        <v>582</v>
      </c>
    </row>
    <row r="348" spans="1:1">
      <c r="A348" t="s">
        <v>583</v>
      </c>
    </row>
    <row r="349" spans="1:1">
      <c r="A349" t="s">
        <v>584</v>
      </c>
    </row>
  </sheetData>
  <sheetProtection selectLockedCells="1"/>
  <mergeCells count="2">
    <mergeCell ref="D5:G5"/>
    <mergeCell ref="A1:H1"/>
  </mergeCells>
  <phoneticPr fontId="5" type="noConversion"/>
  <pageMargins left="0.75" right="0.75" top="1" bottom="1" header="0.5" footer="0.5"/>
  <pageSetup orientation="portrait" r:id="rId1"/>
  <headerFooter alignWithMargins="0"/>
  <ignoredErrors>
    <ignoredError sqref="L69:L73" numberStoredAsText="1"/>
  </ignoredErrors>
  <drawing r:id="rId2"/>
  <legacyDrawing r:id="rId3"/>
  <oleObjects>
    <mc:AlternateContent xmlns:mc="http://schemas.openxmlformats.org/markup-compatibility/2006">
      <mc:Choice Requires="x14">
        <oleObject progId="Visio.Drawing.11" shapeId="3073" r:id="rId4">
          <objectPr defaultSize="0" autoPict="0" r:id="rId5">
            <anchor moveWithCells="1">
              <from>
                <xdr:col>9</xdr:col>
                <xdr:colOff>215900</xdr:colOff>
                <xdr:row>10</xdr:row>
                <xdr:rowOff>114300</xdr:rowOff>
              </from>
              <to>
                <xdr:col>16</xdr:col>
                <xdr:colOff>25400</xdr:colOff>
                <xdr:row>31</xdr:row>
                <xdr:rowOff>127000</xdr:rowOff>
              </to>
            </anchor>
          </objectPr>
        </oleObject>
      </mc:Choice>
      <mc:Fallback>
        <oleObject progId="Visio.Drawing.11" shapeId="3073"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2:T159"/>
  <sheetViews>
    <sheetView workbookViewId="0">
      <selection activeCell="S4" sqref="S4"/>
    </sheetView>
  </sheetViews>
  <sheetFormatPr defaultColWidth="8.85546875" defaultRowHeight="12.95"/>
  <cols>
    <col min="1" max="1" width="17.28515625" customWidth="1"/>
    <col min="2" max="2" width="12" bestFit="1" customWidth="1"/>
    <col min="3" max="5" width="12.42578125" bestFit="1" customWidth="1"/>
    <col min="8" max="8" width="12.42578125" bestFit="1" customWidth="1"/>
    <col min="14" max="14" width="11.85546875" customWidth="1"/>
    <col min="17" max="17" width="12.140625" customWidth="1"/>
    <col min="18" max="18" width="12.42578125" bestFit="1" customWidth="1"/>
    <col min="19" max="19" width="15.42578125" customWidth="1"/>
  </cols>
  <sheetData>
    <row r="2" spans="1:20">
      <c r="A2" t="s">
        <v>585</v>
      </c>
      <c r="B2" t="s">
        <v>373</v>
      </c>
      <c r="C2" t="s">
        <v>411</v>
      </c>
      <c r="D2" t="s">
        <v>413</v>
      </c>
      <c r="E2" t="s">
        <v>415</v>
      </c>
      <c r="F2" t="s">
        <v>327</v>
      </c>
      <c r="G2" t="s">
        <v>351</v>
      </c>
      <c r="H2" t="s">
        <v>306</v>
      </c>
      <c r="I2" t="s">
        <v>586</v>
      </c>
      <c r="J2" t="s">
        <v>587</v>
      </c>
      <c r="K2" t="s">
        <v>588</v>
      </c>
      <c r="L2" t="s">
        <v>589</v>
      </c>
      <c r="M2" t="s">
        <v>590</v>
      </c>
      <c r="N2" t="s">
        <v>591</v>
      </c>
    </row>
    <row r="3" spans="1:20">
      <c r="A3" t="s">
        <v>592</v>
      </c>
      <c r="B3">
        <f>Css</f>
        <v>1.2500000000000001E-6</v>
      </c>
      <c r="C3">
        <f>Cc1ea</f>
        <v>4.4091313124136033E-9</v>
      </c>
      <c r="D3">
        <f>Cc2ea</f>
        <v>7.8422251003148133E-11</v>
      </c>
      <c r="E3">
        <f>Cc3ea</f>
        <v>2.5279526175210487E-9</v>
      </c>
      <c r="F3">
        <f>Cout</f>
        <v>8.0000000000000004E-4</v>
      </c>
      <c r="G3">
        <f>Cin</f>
        <v>2.5000000000000001E-4</v>
      </c>
      <c r="H3">
        <f>Cilim</f>
        <v>9.2960210729259214E-12</v>
      </c>
      <c r="I3">
        <f>Cdd</f>
        <v>0</v>
      </c>
      <c r="J3">
        <f>Csb</f>
        <v>0</v>
      </c>
      <c r="K3">
        <f>Csby</f>
        <v>100</v>
      </c>
      <c r="L3">
        <f>Cby</f>
        <v>0</v>
      </c>
      <c r="M3">
        <f>Cb</f>
        <v>0</v>
      </c>
      <c r="N3" t="e">
        <f>'Variable Management'!#REF!</f>
        <v>#REF!</v>
      </c>
      <c r="Q3" t="s">
        <v>593</v>
      </c>
      <c r="R3" t="s">
        <v>594</v>
      </c>
      <c r="S3" s="2" t="s">
        <v>595</v>
      </c>
    </row>
    <row r="4" spans="1:20" ht="14.1">
      <c r="A4" s="6" t="s">
        <v>595</v>
      </c>
      <c r="B4" s="6">
        <f>SUM(B6:B158)/1000000000000</f>
        <v>1.1999999999999999E-6</v>
      </c>
      <c r="C4" s="6">
        <f t="shared" ref="C4:H4" si="0">SUM(C6:C158)/1000000000000</f>
        <v>4.6999999999999999E-9</v>
      </c>
      <c r="D4" s="6">
        <f t="shared" si="0"/>
        <v>8.2000000000000001E-11</v>
      </c>
      <c r="E4" s="6">
        <f t="shared" si="0"/>
        <v>2.7000000000000002E-9</v>
      </c>
      <c r="F4" s="6">
        <f t="shared" si="0"/>
        <v>8.1999999999999998E-4</v>
      </c>
      <c r="G4" s="6">
        <f t="shared" si="0"/>
        <v>2.7E-4</v>
      </c>
      <c r="H4" s="6">
        <f t="shared" si="0"/>
        <v>9.9999999999999994E-12</v>
      </c>
      <c r="I4" s="6">
        <f t="shared" ref="I4:N4" si="1">IF(I3="OPEN","OPEN",SUM(I6:I158)/1000000000000)</f>
        <v>0</v>
      </c>
      <c r="J4" s="6">
        <f t="shared" si="1"/>
        <v>0</v>
      </c>
      <c r="K4" s="6">
        <f t="shared" si="1"/>
        <v>0</v>
      </c>
      <c r="L4" s="6">
        <f t="shared" si="1"/>
        <v>0</v>
      </c>
      <c r="M4" s="6">
        <f t="shared" si="1"/>
        <v>0</v>
      </c>
      <c r="N4" s="6" t="e">
        <f t="shared" si="1"/>
        <v>#REF!</v>
      </c>
      <c r="Q4" t="s">
        <v>596</v>
      </c>
      <c r="R4">
        <f>Rfadj</f>
        <v>33333.333333333336</v>
      </c>
      <c r="S4" s="2">
        <f t="shared" ref="S4:S6" si="2">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33200</v>
      </c>
      <c r="T4" s="46" t="s">
        <v>597</v>
      </c>
    </row>
    <row r="5" spans="1:20" ht="14.1">
      <c r="A5" t="s">
        <v>598</v>
      </c>
      <c r="Q5" s="124" t="s">
        <v>291</v>
      </c>
      <c r="R5">
        <f>Rilim_Rdson_ideal</f>
        <v>531.16048219675167</v>
      </c>
      <c r="S5" s="2">
        <f t="shared" si="2"/>
        <v>536</v>
      </c>
      <c r="T5" s="46" t="s">
        <v>597</v>
      </c>
    </row>
    <row r="6" spans="1:20" ht="14.1">
      <c r="A6">
        <v>0.47</v>
      </c>
      <c r="B6">
        <f>IF(IF((B$3*10^12-$A7)*(B$3*10^12-$A6)*-1&lt;0,0,1)*IF(ABS(B$3*10^12-$A7)&gt;(B$3*10^12-$A6),$A6,$A7)=B7,0,IF((B$3*10^12-$A7)*(B$3*10^12-$A6)*-1&lt;0,0,1)*IF(ABS(B$3*10^12-$A7)&gt;(B$3*10^12-$A6),$A6,$A7))</f>
        <v>0</v>
      </c>
      <c r="C6">
        <f>IF(IF((C$3*10^12-$A7)*(C$3*10^12-$A6)*-1&lt;0,0,1)*IF(ABS(C$3*10^12-$A7)&gt;(C$3*10^12-$A6),$A6,$A7)=C7,0,IF((C$3*10^12-$A7)*(C$3*10^12-$A6)*-1&lt;0,0,1)*IF(ABS(C$3*10^12-$A7)&gt;(C$3*10^12-$A6),$A6,$A7))</f>
        <v>0</v>
      </c>
      <c r="D6">
        <f t="shared" ref="D6:D69" si="3">IF(IF((D$3*10^12-$A7)*(D$3*10^12-$A6)*-1&lt;0,0,1)*IF(ABS(D$3*10^12-$A7)&gt;(D$3*10^12-$A6),$A6,$A7)=D7,0,IF((D$3*10^12-$A7)*(D$3*10^12-$A6)*-1&lt;0,0,1)*IF(ABS(D$3*10^12-$A7)&gt;(D$3*10^12-$A6),$A6,$A7))</f>
        <v>0</v>
      </c>
      <c r="E6">
        <f t="shared" ref="E6:E69" si="4">IF(IF((E$3*10^12-$A7)*(E$3*10^12-$A6)*-1&lt;0,0,1)*IF(ABS(E$3*10^12-$A7)&gt;(E$3*10^12-$A6),$A6,$A7)=E7,0,IF((E$3*10^12-$A7)*(E$3*10^12-$A6)*-1&lt;0,0,1)*IF(ABS(E$3*10^12-$A7)&gt;(E$3*10^12-$A6),$A6,$A7))</f>
        <v>0</v>
      </c>
      <c r="F6">
        <f t="shared" ref="F6:F69" si="5">IF(IF((F$3*10^12-$A7)*(F$3*10^12-$A6)*-1&lt;0,0,1)*IF(ABS(F$3*10^12-$A7)&gt;(F$3*10^12-$A6),$A6,$A7)=F7,0,IF((F$3*10^12-$A7)*(F$3*10^12-$A6)*-1&lt;0,0,1)*IF(ABS(F$3*10^12-$A7)&gt;(F$3*10^12-$A6),$A6,$A7))</f>
        <v>0</v>
      </c>
      <c r="G6">
        <f t="shared" ref="G6:G69" si="6">IF(IF((G$3*10^12-$A7)*(G$3*10^12-$A6)*-1&lt;0,0,1)*IF(ABS(G$3*10^12-$A7)&gt;(G$3*10^12-$A6),$A6,$A7)=G7,0,IF((G$3*10^12-$A7)*(G$3*10^12-$A6)*-1&lt;0,0,1)*IF(ABS(G$3*10^12-$A7)&gt;(G$3*10^12-$A6),$A6,$A7))</f>
        <v>0</v>
      </c>
      <c r="H6">
        <f t="shared" ref="H6:K69" si="7">IF(IF((H$3*10^12-$A7)*(H$3*10^12-$A6)*-1&lt;0,0,1)*IF(ABS(H$3*10^12-$A7)&gt;(H$3*10^12-$A6),$A6,$A7)=H7,0,IF((H$3*10^12-$A7)*(H$3*10^12-$A6)*-1&lt;0,0,1)*IF(ABS(H$3*10^12-$A7)&gt;(H$3*10^12-$A6),$A6,$A7))</f>
        <v>0</v>
      </c>
      <c r="I6">
        <f t="shared" si="7"/>
        <v>0</v>
      </c>
      <c r="J6">
        <f t="shared" si="7"/>
        <v>0</v>
      </c>
      <c r="K6">
        <f t="shared" si="7"/>
        <v>0</v>
      </c>
      <c r="L6">
        <f t="shared" ref="L6:L69" si="8">IF(IF((L$3*10^12-$A7)*(L$3*10^12-$A6)*-1&lt;0,0,1)*IF(ABS(L$3*10^12-$A7)&gt;(L$3*10^12-$A6),$A6,$A7)=L7,0,IF((L$3*10^12-$A7)*(L$3*10^12-$A6)*-1&lt;0,0,1)*IF(ABS(L$3*10^12-$A7)&gt;(L$3*10^12-$A6),$A6,$A7))</f>
        <v>0</v>
      </c>
      <c r="M6">
        <f t="shared" ref="M6:M37" si="9">IF(IF((M$3*10^12-$A7)*(M$3*10^12-$A6)*-1&lt;0,0,1)*IF(ABS(M$3*10^12-$A7)&gt;(M$3*10^12-$A6),$A6,$A7)=M7,0,IF((M$3*10^12-$A7)*(M$3*10^12-$A6)*-1&lt;0,0,1)*IF(ABS(M$3*10^12-$A7)&gt;(M$3*10^12-$A6),$A6,$A7))</f>
        <v>0</v>
      </c>
      <c r="N6" t="e">
        <f t="shared" ref="N6:N37" si="10">IF(IF((N$3*10^12-$A7)*(N$3*10^12-$A6)*-1&lt;0,0,1)*IF(ABS(N$3*10^12-$A7)&gt;(N$3*10^12-$A6),$A6,$A7)=N7,0,IF((N$3*10^12-$A7)*(N$3*10^12-$A6)*-1&lt;0,0,1)*IF(ABS(N$3*10^12-$A7)&gt;(N$3*10^12-$A6),$A6,$A7))</f>
        <v>#REF!</v>
      </c>
      <c r="Q6" s="124" t="s">
        <v>291</v>
      </c>
      <c r="R6">
        <f>Rilim_Rdson_ideal</f>
        <v>531.16048219675167</v>
      </c>
      <c r="S6" s="2">
        <f t="shared" si="2"/>
        <v>536</v>
      </c>
      <c r="T6" s="46" t="s">
        <v>597</v>
      </c>
    </row>
    <row r="7" spans="1:20">
      <c r="A7">
        <v>0.56000000000000005</v>
      </c>
      <c r="B7">
        <f t="shared" ref="B7:B70" si="11">IF(IF((B$3*10^12-$A8)*(B$3*10^12-$A7)*-1&lt;0,0,1)*IF(ABS(B$3*10^12-$A8)&gt;(B$3*10^12-$A7),$A7,$A8)=B8,0,IF((B$3*10^12-$A8)*(B$3*10^12-$A7)*-1&lt;0,0,1)*IF(ABS(B$3*10^12-$A8)&gt;(B$3*10^12-$A7),$A7,$A8))</f>
        <v>0</v>
      </c>
      <c r="C7">
        <f t="shared" ref="C7:C38" si="12">IF(IF((C$3*10^12-$A8)*(C$3*10^12-$A7)*-1&lt;0,0,1)*IF(ABS(C$3*10^12-$A8)&gt;(C$3*10^12-$A7),$A7,$A8)=C8,0,IF((C$3*10^12-$A8)*(C$3*10^12-$A7)*-1&lt;0,0,1)*IF(ABS(C$3*10^12-$A8)&gt;(C$3*10^12-$A7),$A7,$A8))</f>
        <v>0</v>
      </c>
      <c r="D7">
        <f t="shared" si="3"/>
        <v>0</v>
      </c>
      <c r="E7">
        <f t="shared" si="4"/>
        <v>0</v>
      </c>
      <c r="F7">
        <f t="shared" si="5"/>
        <v>0</v>
      </c>
      <c r="G7">
        <f t="shared" si="6"/>
        <v>0</v>
      </c>
      <c r="H7">
        <f t="shared" si="7"/>
        <v>0</v>
      </c>
      <c r="I7">
        <f t="shared" si="7"/>
        <v>0</v>
      </c>
      <c r="J7">
        <f t="shared" si="7"/>
        <v>0</v>
      </c>
      <c r="K7">
        <f t="shared" si="7"/>
        <v>0</v>
      </c>
      <c r="L7">
        <f t="shared" si="8"/>
        <v>0</v>
      </c>
      <c r="M7">
        <f t="shared" si="9"/>
        <v>0</v>
      </c>
      <c r="N7" t="e">
        <f t="shared" si="10"/>
        <v>#REF!</v>
      </c>
    </row>
    <row r="8" spans="1:20" ht="14.1">
      <c r="A8">
        <v>0.68</v>
      </c>
      <c r="B8">
        <f t="shared" si="11"/>
        <v>0</v>
      </c>
      <c r="C8">
        <f t="shared" si="12"/>
        <v>0</v>
      </c>
      <c r="D8">
        <f t="shared" si="3"/>
        <v>0</v>
      </c>
      <c r="E8">
        <f t="shared" si="4"/>
        <v>0</v>
      </c>
      <c r="F8">
        <f t="shared" si="5"/>
        <v>0</v>
      </c>
      <c r="G8">
        <f t="shared" si="6"/>
        <v>0</v>
      </c>
      <c r="H8">
        <f t="shared" si="7"/>
        <v>0</v>
      </c>
      <c r="I8">
        <f t="shared" si="7"/>
        <v>0</v>
      </c>
      <c r="J8">
        <f t="shared" si="7"/>
        <v>0</v>
      </c>
      <c r="K8">
        <f t="shared" si="7"/>
        <v>0</v>
      </c>
      <c r="L8">
        <f t="shared" si="8"/>
        <v>0</v>
      </c>
      <c r="M8">
        <f t="shared" si="9"/>
        <v>0</v>
      </c>
      <c r="N8" t="e">
        <f t="shared" si="10"/>
        <v>#REF!</v>
      </c>
      <c r="Q8" t="s">
        <v>599</v>
      </c>
      <c r="R8">
        <f>Rcea1</f>
        <v>16524.465753574354</v>
      </c>
      <c r="S8" s="2">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16500</v>
      </c>
      <c r="T8" s="46" t="s">
        <v>597</v>
      </c>
    </row>
    <row r="9" spans="1:20" ht="14.1">
      <c r="A9">
        <v>0.82</v>
      </c>
      <c r="B9">
        <f t="shared" si="11"/>
        <v>0</v>
      </c>
      <c r="C9">
        <f t="shared" si="12"/>
        <v>0</v>
      </c>
      <c r="D9">
        <f t="shared" si="3"/>
        <v>0</v>
      </c>
      <c r="E9">
        <f t="shared" si="4"/>
        <v>0</v>
      </c>
      <c r="F9">
        <f t="shared" si="5"/>
        <v>0</v>
      </c>
      <c r="G9">
        <f t="shared" si="6"/>
        <v>0</v>
      </c>
      <c r="H9">
        <f t="shared" si="7"/>
        <v>0</v>
      </c>
      <c r="I9">
        <f t="shared" si="7"/>
        <v>0</v>
      </c>
      <c r="J9">
        <f t="shared" si="7"/>
        <v>0</v>
      </c>
      <c r="K9">
        <f t="shared" si="7"/>
        <v>0</v>
      </c>
      <c r="L9">
        <f t="shared" si="8"/>
        <v>0</v>
      </c>
      <c r="M9">
        <f t="shared" si="9"/>
        <v>0</v>
      </c>
      <c r="N9" t="e">
        <f t="shared" si="10"/>
        <v>#REF!</v>
      </c>
      <c r="Q9" t="s">
        <v>600</v>
      </c>
      <c r="R9">
        <f>Rcea2</f>
        <v>316.4616276647198</v>
      </c>
      <c r="S9" s="2">
        <f>IF(R9&gt;(INT(0.5+100*POWER(10,IF(96*(LOG(R9)-INT(LOG(R9)))-ROUND(96*(LOG(R9)-INT(LOG(R9))),0)&lt;0,ROUND(96*(LOG(R9)-INT(LOG(R9))),0)-1,ROUND(96*(LOG(R9)-INT(LOG(R9))),0))/96))*POWER(10,INT(LOG(R9))-2)+INT(0.5+100*POWER(10,(IF(96*(LOG(R9)-INT(LOG(R9)))-ROUND(96*(LOG(R9)-INT(LOG(R9))),0)&lt;0,ROUND(96*(LOG(R9)-INT(LOG(R9))),0)-1,ROUND(96*(LOG(R9)-INT(LOG(R9))),0))+1)/96))*POWER(10,INT(LOG(R9))-2))/2,INT(0.5+100*POWER(10,(IF(96*(LOG(R9)-INT(LOG(R9)))-ROUND(96*(LOG(R9)-INT(LOG(R9))),0)&lt;0,ROUND(96*(LOG(R9)-INT(LOG(R9))),0)-1,ROUND(96*(LOG(R9)-INT(LOG(R9))),0))+1)/96))*POWER(10,INT(LOG(R9))-2),INT(0.5+100*POWER(10,IF(96*(LOG(R9)-INT(LOG(R9)))-ROUND(96*(LOG(R9)-INT(LOG(R9))),0)&lt;0,ROUND(96*(LOG(R9)-INT(LOG(R9))),0)-1,ROUND(96*(LOG(R9)-INT(LOG(R9))),0))/96))*POWER(10,INT(LOG(R9))-2))</f>
        <v>316</v>
      </c>
      <c r="T9" s="46" t="s">
        <v>597</v>
      </c>
    </row>
    <row r="10" spans="1:20" ht="14.1">
      <c r="A10">
        <v>1</v>
      </c>
      <c r="B10">
        <f t="shared" si="11"/>
        <v>0</v>
      </c>
      <c r="C10">
        <f t="shared" si="12"/>
        <v>0</v>
      </c>
      <c r="D10">
        <f t="shared" si="3"/>
        <v>0</v>
      </c>
      <c r="E10">
        <f t="shared" si="4"/>
        <v>0</v>
      </c>
      <c r="F10">
        <f t="shared" si="5"/>
        <v>0</v>
      </c>
      <c r="G10">
        <f t="shared" si="6"/>
        <v>0</v>
      </c>
      <c r="H10">
        <f t="shared" si="7"/>
        <v>0</v>
      </c>
      <c r="I10">
        <f t="shared" si="7"/>
        <v>0</v>
      </c>
      <c r="J10">
        <f t="shared" si="7"/>
        <v>0</v>
      </c>
      <c r="K10">
        <f t="shared" si="7"/>
        <v>0</v>
      </c>
      <c r="L10">
        <f t="shared" si="8"/>
        <v>0</v>
      </c>
      <c r="M10">
        <f t="shared" si="9"/>
        <v>0</v>
      </c>
      <c r="N10" t="e">
        <f t="shared" si="10"/>
        <v>#REF!</v>
      </c>
      <c r="Q10" t="s">
        <v>399</v>
      </c>
      <c r="R10">
        <f>_Rfb1</f>
        <v>22100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22100</v>
      </c>
      <c r="T10" s="46" t="s">
        <v>597</v>
      </c>
    </row>
    <row r="11" spans="1:20" ht="14.1">
      <c r="A11">
        <v>1.2</v>
      </c>
      <c r="B11">
        <f t="shared" si="11"/>
        <v>0</v>
      </c>
      <c r="C11">
        <f t="shared" si="12"/>
        <v>0</v>
      </c>
      <c r="D11">
        <f t="shared" si="3"/>
        <v>0</v>
      </c>
      <c r="E11">
        <f t="shared" si="4"/>
        <v>0</v>
      </c>
      <c r="F11">
        <f t="shared" si="5"/>
        <v>0</v>
      </c>
      <c r="G11">
        <f t="shared" si="6"/>
        <v>0</v>
      </c>
      <c r="H11">
        <f t="shared" si="7"/>
        <v>0</v>
      </c>
      <c r="I11">
        <f t="shared" si="7"/>
        <v>0</v>
      </c>
      <c r="J11">
        <f t="shared" si="7"/>
        <v>0</v>
      </c>
      <c r="K11">
        <f t="shared" si="7"/>
        <v>0</v>
      </c>
      <c r="L11">
        <f t="shared" si="8"/>
        <v>0</v>
      </c>
      <c r="M11">
        <f t="shared" si="9"/>
        <v>0</v>
      </c>
      <c r="N11" t="e">
        <f t="shared" si="10"/>
        <v>#REF!</v>
      </c>
      <c r="Q11" t="s">
        <v>401</v>
      </c>
      <c r="R11">
        <f>_Rfb2</f>
        <v>4209.5238095238092</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4220</v>
      </c>
      <c r="T11" s="46" t="s">
        <v>597</v>
      </c>
    </row>
    <row r="12" spans="1:20">
      <c r="A12">
        <v>1.5</v>
      </c>
      <c r="B12">
        <f t="shared" si="11"/>
        <v>0</v>
      </c>
      <c r="C12">
        <f t="shared" si="12"/>
        <v>0</v>
      </c>
      <c r="D12">
        <f t="shared" si="3"/>
        <v>0</v>
      </c>
      <c r="E12">
        <f t="shared" si="4"/>
        <v>0</v>
      </c>
      <c r="F12">
        <f t="shared" si="5"/>
        <v>0</v>
      </c>
      <c r="G12">
        <f t="shared" si="6"/>
        <v>0</v>
      </c>
      <c r="H12">
        <f t="shared" si="7"/>
        <v>0</v>
      </c>
      <c r="I12">
        <f t="shared" si="7"/>
        <v>0</v>
      </c>
      <c r="J12">
        <f t="shared" si="7"/>
        <v>0</v>
      </c>
      <c r="K12">
        <f t="shared" si="7"/>
        <v>0</v>
      </c>
      <c r="L12">
        <f t="shared" si="8"/>
        <v>0</v>
      </c>
      <c r="M12">
        <f t="shared" si="9"/>
        <v>0</v>
      </c>
      <c r="N12" t="e">
        <f t="shared" si="10"/>
        <v>#REF!</v>
      </c>
      <c r="Q12" t="s">
        <v>581</v>
      </c>
      <c r="R12">
        <f>_Rs1</f>
        <v>10</v>
      </c>
      <c r="S12" s="2"/>
    </row>
    <row r="13" spans="1:20">
      <c r="A13">
        <v>1.8</v>
      </c>
      <c r="B13">
        <f t="shared" si="11"/>
        <v>0</v>
      </c>
      <c r="C13">
        <f t="shared" si="12"/>
        <v>0</v>
      </c>
      <c r="D13">
        <f t="shared" si="3"/>
        <v>0</v>
      </c>
      <c r="E13">
        <f t="shared" si="4"/>
        <v>0</v>
      </c>
      <c r="F13">
        <f t="shared" si="5"/>
        <v>0</v>
      </c>
      <c r="G13">
        <f t="shared" si="6"/>
        <v>0</v>
      </c>
      <c r="H13">
        <f t="shared" si="7"/>
        <v>0</v>
      </c>
      <c r="I13">
        <f t="shared" si="7"/>
        <v>0</v>
      </c>
      <c r="J13">
        <f t="shared" si="7"/>
        <v>0</v>
      </c>
      <c r="K13">
        <f t="shared" si="7"/>
        <v>0</v>
      </c>
      <c r="L13">
        <f t="shared" si="8"/>
        <v>0</v>
      </c>
      <c r="M13">
        <f t="shared" si="9"/>
        <v>0</v>
      </c>
      <c r="N13" t="e">
        <f t="shared" si="10"/>
        <v>#REF!</v>
      </c>
      <c r="Q13" t="s">
        <v>582</v>
      </c>
      <c r="R13">
        <f>_Rs2</f>
        <v>9.2960210729259214E-12</v>
      </c>
      <c r="S13" s="2"/>
    </row>
    <row r="14" spans="1:20">
      <c r="A14">
        <v>2.2000000000000002</v>
      </c>
      <c r="B14">
        <f t="shared" si="11"/>
        <v>0</v>
      </c>
      <c r="C14">
        <f t="shared" si="12"/>
        <v>0</v>
      </c>
      <c r="D14">
        <f t="shared" si="3"/>
        <v>0</v>
      </c>
      <c r="E14">
        <f t="shared" si="4"/>
        <v>0</v>
      </c>
      <c r="F14">
        <f t="shared" si="5"/>
        <v>0</v>
      </c>
      <c r="G14">
        <f t="shared" si="6"/>
        <v>0</v>
      </c>
      <c r="H14">
        <f t="shared" si="7"/>
        <v>0</v>
      </c>
      <c r="I14">
        <f t="shared" si="7"/>
        <v>0</v>
      </c>
      <c r="J14">
        <f t="shared" si="7"/>
        <v>0</v>
      </c>
      <c r="K14">
        <f t="shared" si="7"/>
        <v>0</v>
      </c>
      <c r="L14">
        <f t="shared" si="8"/>
        <v>0</v>
      </c>
      <c r="M14">
        <f t="shared" si="9"/>
        <v>0</v>
      </c>
      <c r="N14" t="e">
        <f t="shared" si="10"/>
        <v>#REF!</v>
      </c>
      <c r="Q14" t="s">
        <v>583</v>
      </c>
      <c r="R14">
        <f>_Rs3</f>
        <v>0.81</v>
      </c>
      <c r="S14" s="2"/>
    </row>
    <row r="15" spans="1:20">
      <c r="A15">
        <v>2.7</v>
      </c>
      <c r="B15">
        <f t="shared" si="11"/>
        <v>0</v>
      </c>
      <c r="C15">
        <f t="shared" si="12"/>
        <v>0</v>
      </c>
      <c r="D15">
        <f t="shared" si="3"/>
        <v>0</v>
      </c>
      <c r="E15">
        <f t="shared" si="4"/>
        <v>0</v>
      </c>
      <c r="F15">
        <f t="shared" si="5"/>
        <v>0</v>
      </c>
      <c r="G15">
        <f t="shared" si="6"/>
        <v>0</v>
      </c>
      <c r="H15">
        <f t="shared" si="7"/>
        <v>0</v>
      </c>
      <c r="I15">
        <f t="shared" si="7"/>
        <v>0</v>
      </c>
      <c r="J15">
        <f t="shared" si="7"/>
        <v>0</v>
      </c>
      <c r="K15">
        <f t="shared" si="7"/>
        <v>0</v>
      </c>
      <c r="L15">
        <f t="shared" si="8"/>
        <v>0</v>
      </c>
      <c r="M15">
        <f t="shared" si="9"/>
        <v>0</v>
      </c>
      <c r="N15" t="e">
        <f t="shared" si="10"/>
        <v>#REF!</v>
      </c>
      <c r="S15" s="2"/>
    </row>
    <row r="16" spans="1:20" ht="14.1">
      <c r="A16">
        <v>3.3</v>
      </c>
      <c r="B16">
        <f t="shared" si="11"/>
        <v>0</v>
      </c>
      <c r="C16">
        <f t="shared" si="12"/>
        <v>0</v>
      </c>
      <c r="D16">
        <f t="shared" si="3"/>
        <v>0</v>
      </c>
      <c r="E16">
        <f t="shared" si="4"/>
        <v>0</v>
      </c>
      <c r="F16">
        <f t="shared" si="5"/>
        <v>0</v>
      </c>
      <c r="G16">
        <f t="shared" si="6"/>
        <v>0</v>
      </c>
      <c r="H16">
        <f t="shared" si="7"/>
        <v>0</v>
      </c>
      <c r="I16">
        <f t="shared" si="7"/>
        <v>0</v>
      </c>
      <c r="J16">
        <f t="shared" si="7"/>
        <v>0</v>
      </c>
      <c r="K16">
        <f t="shared" si="7"/>
        <v>0</v>
      </c>
      <c r="L16">
        <f t="shared" si="8"/>
        <v>0</v>
      </c>
      <c r="M16">
        <f t="shared" si="9"/>
        <v>0</v>
      </c>
      <c r="N16" t="e">
        <f t="shared" si="10"/>
        <v>#REF!</v>
      </c>
      <c r="Q16" s="124" t="s">
        <v>601</v>
      </c>
      <c r="R16">
        <f>Ruvlo1</f>
        <v>50</v>
      </c>
      <c r="S16" s="2">
        <f t="shared" ref="S16:S17" si="13">IF(R16="OPEN","OPEN",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49.900000000000006</v>
      </c>
      <c r="T16" s="46" t="s">
        <v>378</v>
      </c>
    </row>
    <row r="17" spans="1:20" ht="14.1">
      <c r="A17">
        <v>3.9</v>
      </c>
      <c r="B17">
        <f t="shared" si="11"/>
        <v>0</v>
      </c>
      <c r="C17">
        <f t="shared" si="12"/>
        <v>0</v>
      </c>
      <c r="D17">
        <f t="shared" si="3"/>
        <v>0</v>
      </c>
      <c r="E17">
        <f t="shared" si="4"/>
        <v>0</v>
      </c>
      <c r="F17">
        <f t="shared" si="5"/>
        <v>0</v>
      </c>
      <c r="G17">
        <f t="shared" si="6"/>
        <v>0</v>
      </c>
      <c r="H17">
        <f t="shared" si="7"/>
        <v>0</v>
      </c>
      <c r="I17">
        <f t="shared" si="7"/>
        <v>0</v>
      </c>
      <c r="J17">
        <f t="shared" si="7"/>
        <v>0</v>
      </c>
      <c r="K17">
        <f t="shared" si="7"/>
        <v>0</v>
      </c>
      <c r="L17">
        <f t="shared" si="8"/>
        <v>0</v>
      </c>
      <c r="M17">
        <f t="shared" si="9"/>
        <v>0</v>
      </c>
      <c r="N17" t="e">
        <f t="shared" si="10"/>
        <v>#REF!</v>
      </c>
      <c r="Q17" s="124" t="s">
        <v>602</v>
      </c>
      <c r="R17">
        <f>Ruvlo2</f>
        <v>4.5022556390977444</v>
      </c>
      <c r="S17" s="2">
        <f t="shared" si="13"/>
        <v>4.53</v>
      </c>
      <c r="T17" s="46" t="s">
        <v>378</v>
      </c>
    </row>
    <row r="18" spans="1:20">
      <c r="A18">
        <v>4.7</v>
      </c>
      <c r="B18">
        <f t="shared" si="11"/>
        <v>0</v>
      </c>
      <c r="C18">
        <f t="shared" si="12"/>
        <v>0</v>
      </c>
      <c r="D18">
        <f t="shared" si="3"/>
        <v>0</v>
      </c>
      <c r="E18">
        <f t="shared" si="4"/>
        <v>0</v>
      </c>
      <c r="F18">
        <f t="shared" si="5"/>
        <v>0</v>
      </c>
      <c r="G18">
        <f t="shared" si="6"/>
        <v>0</v>
      </c>
      <c r="H18">
        <f t="shared" si="7"/>
        <v>0</v>
      </c>
      <c r="I18">
        <f t="shared" si="7"/>
        <v>0</v>
      </c>
      <c r="J18">
        <f t="shared" si="7"/>
        <v>0</v>
      </c>
      <c r="K18">
        <f t="shared" si="7"/>
        <v>0</v>
      </c>
      <c r="L18">
        <f t="shared" si="8"/>
        <v>0</v>
      </c>
      <c r="M18">
        <f t="shared" si="9"/>
        <v>0</v>
      </c>
      <c r="N18" t="e">
        <f t="shared" si="10"/>
        <v>#REF!</v>
      </c>
      <c r="S18" s="2"/>
    </row>
    <row r="19" spans="1:20">
      <c r="A19">
        <v>5.6</v>
      </c>
      <c r="B19">
        <f t="shared" si="11"/>
        <v>0</v>
      </c>
      <c r="C19">
        <f t="shared" si="12"/>
        <v>0</v>
      </c>
      <c r="D19">
        <f t="shared" si="3"/>
        <v>0</v>
      </c>
      <c r="E19">
        <f t="shared" si="4"/>
        <v>0</v>
      </c>
      <c r="F19">
        <f t="shared" si="5"/>
        <v>0</v>
      </c>
      <c r="G19">
        <f t="shared" si="6"/>
        <v>0</v>
      </c>
      <c r="H19">
        <f t="shared" si="7"/>
        <v>0</v>
      </c>
      <c r="I19">
        <f t="shared" si="7"/>
        <v>0</v>
      </c>
      <c r="J19">
        <f t="shared" si="7"/>
        <v>0</v>
      </c>
      <c r="K19">
        <f t="shared" si="7"/>
        <v>0</v>
      </c>
      <c r="L19">
        <f t="shared" si="8"/>
        <v>0</v>
      </c>
      <c r="M19">
        <f t="shared" si="9"/>
        <v>0</v>
      </c>
      <c r="N19" t="e">
        <f t="shared" si="10"/>
        <v>#REF!</v>
      </c>
      <c r="S19" s="2"/>
    </row>
    <row r="20" spans="1:20">
      <c r="A20">
        <v>6.8</v>
      </c>
      <c r="B20">
        <f t="shared" si="11"/>
        <v>0</v>
      </c>
      <c r="C20">
        <f t="shared" si="12"/>
        <v>0</v>
      </c>
      <c r="D20">
        <f t="shared" si="3"/>
        <v>0</v>
      </c>
      <c r="E20">
        <f t="shared" si="4"/>
        <v>0</v>
      </c>
      <c r="F20">
        <f t="shared" si="5"/>
        <v>0</v>
      </c>
      <c r="G20">
        <f t="shared" si="6"/>
        <v>0</v>
      </c>
      <c r="H20">
        <f t="shared" si="7"/>
        <v>0</v>
      </c>
      <c r="I20">
        <f t="shared" si="7"/>
        <v>0</v>
      </c>
      <c r="J20">
        <f t="shared" si="7"/>
        <v>0</v>
      </c>
      <c r="K20">
        <f t="shared" si="7"/>
        <v>0</v>
      </c>
      <c r="L20">
        <f t="shared" si="8"/>
        <v>0</v>
      </c>
      <c r="M20">
        <f t="shared" si="9"/>
        <v>0</v>
      </c>
      <c r="N20" t="e">
        <f t="shared" si="10"/>
        <v>#REF!</v>
      </c>
      <c r="S20" s="2"/>
    </row>
    <row r="21" spans="1:20" ht="14.1">
      <c r="A21">
        <v>8.1999999999999993</v>
      </c>
      <c r="B21">
        <f t="shared" si="11"/>
        <v>0</v>
      </c>
      <c r="C21">
        <f t="shared" si="12"/>
        <v>0</v>
      </c>
      <c r="D21">
        <f t="shared" si="3"/>
        <v>0</v>
      </c>
      <c r="E21">
        <f t="shared" si="4"/>
        <v>0</v>
      </c>
      <c r="F21">
        <f t="shared" si="5"/>
        <v>0</v>
      </c>
      <c r="G21">
        <f t="shared" si="6"/>
        <v>0</v>
      </c>
      <c r="H21">
        <f t="shared" si="7"/>
        <v>10</v>
      </c>
      <c r="I21">
        <f t="shared" si="7"/>
        <v>0</v>
      </c>
      <c r="J21">
        <f t="shared" si="7"/>
        <v>0</v>
      </c>
      <c r="K21">
        <f t="shared" si="7"/>
        <v>0</v>
      </c>
      <c r="L21">
        <f t="shared" si="8"/>
        <v>0</v>
      </c>
      <c r="M21">
        <f t="shared" si="9"/>
        <v>0</v>
      </c>
      <c r="N21" t="e">
        <f t="shared" si="10"/>
        <v>#REF!</v>
      </c>
      <c r="Q21" s="124"/>
      <c r="S21" s="2"/>
      <c r="T21" s="46"/>
    </row>
    <row r="22" spans="1:20" ht="14.1">
      <c r="A22">
        <v>10</v>
      </c>
      <c r="B22">
        <f t="shared" si="11"/>
        <v>0</v>
      </c>
      <c r="C22">
        <f t="shared" si="12"/>
        <v>0</v>
      </c>
      <c r="D22">
        <f t="shared" si="3"/>
        <v>0</v>
      </c>
      <c r="E22">
        <f t="shared" si="4"/>
        <v>0</v>
      </c>
      <c r="F22">
        <f t="shared" si="5"/>
        <v>0</v>
      </c>
      <c r="G22">
        <f t="shared" si="6"/>
        <v>0</v>
      </c>
      <c r="H22">
        <f t="shared" si="7"/>
        <v>0</v>
      </c>
      <c r="I22">
        <f t="shared" si="7"/>
        <v>0</v>
      </c>
      <c r="J22">
        <f t="shared" si="7"/>
        <v>0</v>
      </c>
      <c r="K22">
        <f t="shared" si="7"/>
        <v>0</v>
      </c>
      <c r="L22">
        <f t="shared" si="8"/>
        <v>0</v>
      </c>
      <c r="M22">
        <f t="shared" si="9"/>
        <v>0</v>
      </c>
      <c r="N22" t="e">
        <f t="shared" si="10"/>
        <v>#REF!</v>
      </c>
      <c r="Q22" s="124" t="s">
        <v>298</v>
      </c>
      <c r="R22" s="310">
        <f>Rilim_shunt_ideal</f>
        <v>637.39257863610192</v>
      </c>
      <c r="S22" s="2">
        <f>IF(R22=0,0,IF(R22&gt;(INT(0.5+100*POWER(10,IF(96*(LOG(R22)-INT(LOG(R22)))-ROUND(96*(LOG(R22)-INT(LOG(R22))),0)&lt;0,ROUND(96*(LOG(R22)-INT(LOG(R22))),0)-1,ROUND(96*(LOG(R22)-INT(LOG(R22))),0))/96))*POWER(10,INT(LOG(R22))-2)+INT(0.5+100*POWER(10,(IF(96*(LOG(R22)-INT(LOG(R22)))-ROUND(96*(LOG(R22)-INT(LOG(R22))),0)&lt;0,ROUND(96*(LOG(R22)-INT(LOG(R22))),0)-1,ROUND(96*(LOG(R22)-INT(LOG(R22))),0))+1)/96))*POWER(10,INT(LOG(R22))-2))/2,INT(0.5+100*POWER(10,(IF(96*(LOG(R22)-INT(LOG(R22)))-ROUND(96*(LOG(R22)-INT(LOG(R22))),0)&lt;0,ROUND(96*(LOG(R22)-INT(LOG(R22))),0)-1,ROUND(96*(LOG(R22)-INT(LOG(R22))),0))+1)/96))*POWER(10,INT(LOG(R22))-2),INT(0.5+100*POWER(10,IF(96*(LOG(R22)-INT(LOG(R22)))-ROUND(96*(LOG(R22)-INT(LOG(R22))),0)&lt;0,ROUND(96*(LOG(R22)-INT(LOG(R22))),0)-1,ROUND(96*(LOG(R22)-INT(LOG(R22))),0))/96))*POWER(10,INT(LOG(R22))-2)))</f>
        <v>634</v>
      </c>
      <c r="T22" s="46" t="s">
        <v>597</v>
      </c>
    </row>
    <row r="23" spans="1:20">
      <c r="A23">
        <v>12</v>
      </c>
      <c r="B23">
        <f t="shared" si="11"/>
        <v>0</v>
      </c>
      <c r="C23">
        <f t="shared" si="12"/>
        <v>0</v>
      </c>
      <c r="D23">
        <f t="shared" si="3"/>
        <v>0</v>
      </c>
      <c r="E23">
        <f t="shared" si="4"/>
        <v>0</v>
      </c>
      <c r="F23">
        <f t="shared" si="5"/>
        <v>0</v>
      </c>
      <c r="G23">
        <f t="shared" si="6"/>
        <v>0</v>
      </c>
      <c r="H23">
        <f t="shared" si="7"/>
        <v>0</v>
      </c>
      <c r="I23">
        <f t="shared" si="7"/>
        <v>0</v>
      </c>
      <c r="J23">
        <f t="shared" si="7"/>
        <v>0</v>
      </c>
      <c r="K23">
        <f t="shared" si="7"/>
        <v>0</v>
      </c>
      <c r="L23">
        <f t="shared" si="8"/>
        <v>0</v>
      </c>
      <c r="M23">
        <f t="shared" si="9"/>
        <v>0</v>
      </c>
      <c r="N23" t="e">
        <f t="shared" si="10"/>
        <v>#REF!</v>
      </c>
      <c r="Q23" t="s">
        <v>306</v>
      </c>
      <c r="R23" s="31">
        <f>Cilim</f>
        <v>9.2960210729259214E-12</v>
      </c>
      <c r="S23" s="2">
        <f>H4*1000000000000</f>
        <v>10</v>
      </c>
      <c r="T23" t="s">
        <v>92</v>
      </c>
    </row>
    <row r="24" spans="1:20" ht="14.1">
      <c r="A24">
        <v>15</v>
      </c>
      <c r="B24">
        <f t="shared" si="11"/>
        <v>0</v>
      </c>
      <c r="C24">
        <f t="shared" si="12"/>
        <v>0</v>
      </c>
      <c r="D24">
        <f t="shared" si="3"/>
        <v>0</v>
      </c>
      <c r="E24">
        <f t="shared" si="4"/>
        <v>0</v>
      </c>
      <c r="F24">
        <f t="shared" si="5"/>
        <v>0</v>
      </c>
      <c r="G24">
        <f t="shared" si="6"/>
        <v>0</v>
      </c>
      <c r="H24">
        <f t="shared" si="7"/>
        <v>0</v>
      </c>
      <c r="I24">
        <f t="shared" si="7"/>
        <v>0</v>
      </c>
      <c r="J24">
        <f t="shared" si="7"/>
        <v>0</v>
      </c>
      <c r="K24">
        <f t="shared" si="7"/>
        <v>0</v>
      </c>
      <c r="L24">
        <f t="shared" si="8"/>
        <v>0</v>
      </c>
      <c r="M24">
        <f t="shared" si="9"/>
        <v>0</v>
      </c>
      <c r="N24" t="e">
        <f t="shared" si="10"/>
        <v>#REF!</v>
      </c>
      <c r="Q24" s="124"/>
      <c r="S24" s="2"/>
      <c r="T24" s="46"/>
    </row>
    <row r="25" spans="1:20">
      <c r="A25">
        <v>18</v>
      </c>
      <c r="B25">
        <f t="shared" si="11"/>
        <v>0</v>
      </c>
      <c r="C25">
        <f t="shared" si="12"/>
        <v>0</v>
      </c>
      <c r="D25">
        <f t="shared" si="3"/>
        <v>0</v>
      </c>
      <c r="E25">
        <f t="shared" si="4"/>
        <v>0</v>
      </c>
      <c r="F25">
        <f t="shared" si="5"/>
        <v>0</v>
      </c>
      <c r="G25">
        <f t="shared" si="6"/>
        <v>0</v>
      </c>
      <c r="H25">
        <f t="shared" si="7"/>
        <v>0</v>
      </c>
      <c r="I25">
        <f t="shared" si="7"/>
        <v>0</v>
      </c>
      <c r="J25">
        <f t="shared" si="7"/>
        <v>0</v>
      </c>
      <c r="K25">
        <f t="shared" si="7"/>
        <v>0</v>
      </c>
      <c r="L25">
        <f t="shared" si="8"/>
        <v>0</v>
      </c>
      <c r="M25">
        <f t="shared" si="9"/>
        <v>0</v>
      </c>
      <c r="N25" t="e">
        <f t="shared" si="10"/>
        <v>#REF!</v>
      </c>
    </row>
    <row r="26" spans="1:20">
      <c r="A26">
        <v>22</v>
      </c>
      <c r="B26">
        <f t="shared" si="11"/>
        <v>0</v>
      </c>
      <c r="C26">
        <f t="shared" si="12"/>
        <v>0</v>
      </c>
      <c r="D26">
        <f t="shared" si="3"/>
        <v>0</v>
      </c>
      <c r="E26">
        <f t="shared" si="4"/>
        <v>0</v>
      </c>
      <c r="F26">
        <f t="shared" si="5"/>
        <v>0</v>
      </c>
      <c r="G26">
        <f t="shared" si="6"/>
        <v>0</v>
      </c>
      <c r="H26">
        <f t="shared" si="7"/>
        <v>0</v>
      </c>
      <c r="I26">
        <f t="shared" si="7"/>
        <v>0</v>
      </c>
      <c r="J26">
        <f t="shared" si="7"/>
        <v>0</v>
      </c>
      <c r="K26">
        <f t="shared" si="7"/>
        <v>0</v>
      </c>
      <c r="L26">
        <f t="shared" si="8"/>
        <v>0</v>
      </c>
      <c r="M26">
        <f t="shared" si="9"/>
        <v>0</v>
      </c>
      <c r="N26" t="e">
        <f t="shared" si="10"/>
        <v>#REF!</v>
      </c>
    </row>
    <row r="27" spans="1:20" ht="14.1">
      <c r="A27">
        <v>27</v>
      </c>
      <c r="B27">
        <f t="shared" si="11"/>
        <v>0</v>
      </c>
      <c r="C27">
        <f t="shared" si="12"/>
        <v>0</v>
      </c>
      <c r="D27">
        <f t="shared" si="3"/>
        <v>0</v>
      </c>
      <c r="E27">
        <f t="shared" si="4"/>
        <v>0</v>
      </c>
      <c r="F27">
        <f t="shared" si="5"/>
        <v>0</v>
      </c>
      <c r="G27">
        <f t="shared" si="6"/>
        <v>0</v>
      </c>
      <c r="H27">
        <f t="shared" si="7"/>
        <v>0</v>
      </c>
      <c r="I27">
        <f t="shared" si="7"/>
        <v>0</v>
      </c>
      <c r="J27">
        <f t="shared" si="7"/>
        <v>0</v>
      </c>
      <c r="K27">
        <f t="shared" si="7"/>
        <v>0</v>
      </c>
      <c r="L27">
        <f t="shared" si="8"/>
        <v>0</v>
      </c>
      <c r="M27">
        <f t="shared" si="9"/>
        <v>0</v>
      </c>
      <c r="N27" t="e">
        <f t="shared" si="10"/>
        <v>#REF!</v>
      </c>
      <c r="Q27" s="124" t="s">
        <v>603</v>
      </c>
      <c r="R27" t="str">
        <f>S8/1000&amp;" kΩ"</f>
        <v>16.5 kΩ</v>
      </c>
      <c r="S27">
        <f>S8/1000</f>
        <v>16.5</v>
      </c>
      <c r="T27" s="46" t="s">
        <v>378</v>
      </c>
    </row>
    <row r="28" spans="1:20">
      <c r="A28">
        <v>33</v>
      </c>
      <c r="B28">
        <f t="shared" si="11"/>
        <v>0</v>
      </c>
      <c r="C28">
        <f t="shared" si="12"/>
        <v>0</v>
      </c>
      <c r="D28">
        <f t="shared" si="3"/>
        <v>0</v>
      </c>
      <c r="E28">
        <f t="shared" si="4"/>
        <v>0</v>
      </c>
      <c r="F28">
        <f t="shared" si="5"/>
        <v>0</v>
      </c>
      <c r="G28">
        <f t="shared" si="6"/>
        <v>0</v>
      </c>
      <c r="H28">
        <f t="shared" si="7"/>
        <v>0</v>
      </c>
      <c r="I28">
        <f t="shared" si="7"/>
        <v>0</v>
      </c>
      <c r="J28">
        <f t="shared" si="7"/>
        <v>0</v>
      </c>
      <c r="K28">
        <f t="shared" si="7"/>
        <v>0</v>
      </c>
      <c r="L28">
        <f t="shared" si="8"/>
        <v>0</v>
      </c>
      <c r="M28">
        <f t="shared" si="9"/>
        <v>0</v>
      </c>
      <c r="N28" t="e">
        <f t="shared" si="10"/>
        <v>#REF!</v>
      </c>
      <c r="Q28" s="124" t="s">
        <v>604</v>
      </c>
      <c r="R28" t="str">
        <f>C4*1000000000000&amp;" pF"</f>
        <v>4700 pF</v>
      </c>
      <c r="S28">
        <f>C4*1000000000000</f>
        <v>4700</v>
      </c>
      <c r="T28" s="124" t="s">
        <v>92</v>
      </c>
    </row>
    <row r="29" spans="1:20">
      <c r="A29">
        <v>39</v>
      </c>
      <c r="B29">
        <f t="shared" si="11"/>
        <v>0</v>
      </c>
      <c r="C29">
        <f t="shared" si="12"/>
        <v>0</v>
      </c>
      <c r="D29">
        <f t="shared" si="3"/>
        <v>0</v>
      </c>
      <c r="E29">
        <f t="shared" si="4"/>
        <v>0</v>
      </c>
      <c r="F29">
        <f t="shared" si="5"/>
        <v>0</v>
      </c>
      <c r="G29">
        <f t="shared" si="6"/>
        <v>0</v>
      </c>
      <c r="H29">
        <f t="shared" si="7"/>
        <v>0</v>
      </c>
      <c r="I29">
        <f t="shared" si="7"/>
        <v>0</v>
      </c>
      <c r="J29">
        <f t="shared" si="7"/>
        <v>0</v>
      </c>
      <c r="K29">
        <f t="shared" si="7"/>
        <v>0</v>
      </c>
      <c r="L29">
        <f t="shared" si="8"/>
        <v>0</v>
      </c>
      <c r="M29">
        <f t="shared" si="9"/>
        <v>0</v>
      </c>
      <c r="N29" t="e">
        <f t="shared" si="10"/>
        <v>#REF!</v>
      </c>
      <c r="Q29" s="124" t="s">
        <v>605</v>
      </c>
      <c r="R29" t="str">
        <f>D4*1000000000000&amp;" pF"</f>
        <v>82 pF</v>
      </c>
      <c r="S29">
        <f>D4*1000000000000</f>
        <v>82</v>
      </c>
      <c r="T29" s="124" t="s">
        <v>92</v>
      </c>
    </row>
    <row r="30" spans="1:20" ht="14.1">
      <c r="A30">
        <v>47</v>
      </c>
      <c r="B30">
        <f t="shared" si="11"/>
        <v>0</v>
      </c>
      <c r="C30">
        <f t="shared" si="12"/>
        <v>0</v>
      </c>
      <c r="D30">
        <f t="shared" si="3"/>
        <v>0</v>
      </c>
      <c r="E30">
        <f t="shared" si="4"/>
        <v>0</v>
      </c>
      <c r="F30">
        <f t="shared" si="5"/>
        <v>0</v>
      </c>
      <c r="G30">
        <f t="shared" si="6"/>
        <v>0</v>
      </c>
      <c r="H30">
        <f t="shared" si="7"/>
        <v>0</v>
      </c>
      <c r="I30">
        <f t="shared" si="7"/>
        <v>0</v>
      </c>
      <c r="J30">
        <f t="shared" si="7"/>
        <v>0</v>
      </c>
      <c r="K30">
        <f t="shared" si="7"/>
        <v>0</v>
      </c>
      <c r="L30">
        <f t="shared" si="8"/>
        <v>0</v>
      </c>
      <c r="M30">
        <f t="shared" si="9"/>
        <v>0</v>
      </c>
      <c r="N30" t="e">
        <f t="shared" si="10"/>
        <v>#REF!</v>
      </c>
      <c r="Q30" s="124" t="s">
        <v>606</v>
      </c>
      <c r="R30" t="str">
        <f>S9&amp;" Ω"</f>
        <v>316 Ω</v>
      </c>
      <c r="S30">
        <f>S9</f>
        <v>316</v>
      </c>
      <c r="T30" s="46" t="s">
        <v>597</v>
      </c>
    </row>
    <row r="31" spans="1:20">
      <c r="A31">
        <v>56</v>
      </c>
      <c r="B31">
        <f t="shared" si="11"/>
        <v>0</v>
      </c>
      <c r="C31">
        <f t="shared" si="12"/>
        <v>0</v>
      </c>
      <c r="D31">
        <f t="shared" si="3"/>
        <v>0</v>
      </c>
      <c r="E31">
        <f t="shared" si="4"/>
        <v>0</v>
      </c>
      <c r="F31">
        <f t="shared" si="5"/>
        <v>0</v>
      </c>
      <c r="G31">
        <f t="shared" si="6"/>
        <v>0</v>
      </c>
      <c r="H31">
        <f t="shared" si="7"/>
        <v>0</v>
      </c>
      <c r="I31">
        <f t="shared" si="7"/>
        <v>0</v>
      </c>
      <c r="J31">
        <f t="shared" si="7"/>
        <v>0</v>
      </c>
      <c r="K31">
        <f t="shared" si="7"/>
        <v>0</v>
      </c>
      <c r="L31">
        <f t="shared" si="8"/>
        <v>0</v>
      </c>
      <c r="M31">
        <f t="shared" si="9"/>
        <v>0</v>
      </c>
      <c r="N31" t="e">
        <f t="shared" si="10"/>
        <v>#REF!</v>
      </c>
      <c r="Q31" s="124" t="s">
        <v>607</v>
      </c>
      <c r="R31" t="str">
        <f>E4*1000000000000&amp;" pF"</f>
        <v>2700 pF</v>
      </c>
      <c r="S31">
        <f>E4*1000000000000</f>
        <v>2700</v>
      </c>
      <c r="T31" s="124" t="s">
        <v>92</v>
      </c>
    </row>
    <row r="32" spans="1:20">
      <c r="A32">
        <v>68</v>
      </c>
      <c r="B32">
        <f t="shared" si="11"/>
        <v>0</v>
      </c>
      <c r="C32">
        <f t="shared" si="12"/>
        <v>0</v>
      </c>
      <c r="D32">
        <f t="shared" si="3"/>
        <v>82</v>
      </c>
      <c r="E32">
        <f t="shared" si="4"/>
        <v>0</v>
      </c>
      <c r="F32">
        <f t="shared" si="5"/>
        <v>0</v>
      </c>
      <c r="G32">
        <f t="shared" si="6"/>
        <v>0</v>
      </c>
      <c r="H32">
        <f t="shared" si="7"/>
        <v>0</v>
      </c>
      <c r="I32">
        <f t="shared" si="7"/>
        <v>0</v>
      </c>
      <c r="J32">
        <f t="shared" si="7"/>
        <v>0</v>
      </c>
      <c r="K32">
        <f t="shared" si="7"/>
        <v>0</v>
      </c>
      <c r="L32">
        <f t="shared" si="8"/>
        <v>0</v>
      </c>
      <c r="M32">
        <f t="shared" si="9"/>
        <v>0</v>
      </c>
      <c r="N32" t="e">
        <f t="shared" si="10"/>
        <v>#REF!</v>
      </c>
    </row>
    <row r="33" spans="1:17">
      <c r="A33">
        <v>82</v>
      </c>
      <c r="B33">
        <f t="shared" si="11"/>
        <v>0</v>
      </c>
      <c r="C33">
        <f t="shared" si="12"/>
        <v>0</v>
      </c>
      <c r="D33">
        <f t="shared" si="3"/>
        <v>0</v>
      </c>
      <c r="E33">
        <f t="shared" si="4"/>
        <v>0</v>
      </c>
      <c r="F33">
        <f t="shared" si="5"/>
        <v>0</v>
      </c>
      <c r="G33">
        <f t="shared" si="6"/>
        <v>0</v>
      </c>
      <c r="H33">
        <f t="shared" si="7"/>
        <v>0</v>
      </c>
      <c r="I33">
        <f t="shared" si="7"/>
        <v>0</v>
      </c>
      <c r="J33">
        <f t="shared" si="7"/>
        <v>0</v>
      </c>
      <c r="K33">
        <f t="shared" si="7"/>
        <v>0</v>
      </c>
      <c r="L33">
        <f t="shared" si="8"/>
        <v>0</v>
      </c>
      <c r="M33">
        <f t="shared" si="9"/>
        <v>0</v>
      </c>
      <c r="N33" t="e">
        <f t="shared" si="10"/>
        <v>#REF!</v>
      </c>
    </row>
    <row r="34" spans="1:17">
      <c r="A34">
        <f>A22*10</f>
        <v>100</v>
      </c>
      <c r="B34">
        <f t="shared" si="11"/>
        <v>0</v>
      </c>
      <c r="C34">
        <f t="shared" si="12"/>
        <v>0</v>
      </c>
      <c r="D34">
        <f t="shared" si="3"/>
        <v>0</v>
      </c>
      <c r="E34">
        <f t="shared" si="4"/>
        <v>0</v>
      </c>
      <c r="F34">
        <f t="shared" si="5"/>
        <v>0</v>
      </c>
      <c r="G34">
        <f t="shared" si="6"/>
        <v>0</v>
      </c>
      <c r="H34">
        <f t="shared" si="7"/>
        <v>0</v>
      </c>
      <c r="I34">
        <f t="shared" si="7"/>
        <v>0</v>
      </c>
      <c r="J34">
        <f t="shared" si="7"/>
        <v>0</v>
      </c>
      <c r="K34">
        <f t="shared" si="7"/>
        <v>0</v>
      </c>
      <c r="L34">
        <f t="shared" si="8"/>
        <v>0</v>
      </c>
      <c r="M34">
        <f t="shared" si="9"/>
        <v>0</v>
      </c>
      <c r="N34" t="e">
        <f t="shared" si="10"/>
        <v>#REF!</v>
      </c>
      <c r="Q34" s="124"/>
    </row>
    <row r="35" spans="1:17">
      <c r="A35">
        <f t="shared" ref="A35:A98" si="14">A23*10</f>
        <v>120</v>
      </c>
      <c r="B35">
        <f t="shared" si="11"/>
        <v>0</v>
      </c>
      <c r="C35">
        <f t="shared" si="12"/>
        <v>0</v>
      </c>
      <c r="D35">
        <f t="shared" si="3"/>
        <v>0</v>
      </c>
      <c r="E35">
        <f t="shared" si="4"/>
        <v>0</v>
      </c>
      <c r="F35">
        <f t="shared" si="5"/>
        <v>0</v>
      </c>
      <c r="G35">
        <f t="shared" si="6"/>
        <v>0</v>
      </c>
      <c r="H35">
        <f t="shared" si="7"/>
        <v>0</v>
      </c>
      <c r="I35">
        <f t="shared" si="7"/>
        <v>0</v>
      </c>
      <c r="J35">
        <f t="shared" si="7"/>
        <v>0</v>
      </c>
      <c r="K35">
        <f t="shared" si="7"/>
        <v>0</v>
      </c>
      <c r="L35">
        <f t="shared" si="8"/>
        <v>0</v>
      </c>
      <c r="M35">
        <f t="shared" si="9"/>
        <v>0</v>
      </c>
      <c r="N35" t="e">
        <f t="shared" si="10"/>
        <v>#REF!</v>
      </c>
      <c r="Q35" s="124"/>
    </row>
    <row r="36" spans="1:17">
      <c r="A36">
        <f t="shared" si="14"/>
        <v>150</v>
      </c>
      <c r="B36">
        <f t="shared" si="11"/>
        <v>0</v>
      </c>
      <c r="C36">
        <f t="shared" si="12"/>
        <v>0</v>
      </c>
      <c r="D36">
        <f t="shared" si="3"/>
        <v>0</v>
      </c>
      <c r="E36">
        <f t="shared" si="4"/>
        <v>0</v>
      </c>
      <c r="F36">
        <f t="shared" si="5"/>
        <v>0</v>
      </c>
      <c r="G36">
        <f t="shared" si="6"/>
        <v>0</v>
      </c>
      <c r="H36">
        <f t="shared" si="7"/>
        <v>0</v>
      </c>
      <c r="I36">
        <f t="shared" si="7"/>
        <v>0</v>
      </c>
      <c r="J36">
        <f t="shared" si="7"/>
        <v>0</v>
      </c>
      <c r="K36">
        <f t="shared" si="7"/>
        <v>0</v>
      </c>
      <c r="L36">
        <f t="shared" si="8"/>
        <v>0</v>
      </c>
      <c r="M36">
        <f t="shared" si="9"/>
        <v>0</v>
      </c>
      <c r="N36" t="e">
        <f t="shared" si="10"/>
        <v>#REF!</v>
      </c>
    </row>
    <row r="37" spans="1:17">
      <c r="A37">
        <f t="shared" si="14"/>
        <v>180</v>
      </c>
      <c r="B37">
        <f t="shared" si="11"/>
        <v>0</v>
      </c>
      <c r="C37">
        <f t="shared" si="12"/>
        <v>0</v>
      </c>
      <c r="D37">
        <f t="shared" si="3"/>
        <v>0</v>
      </c>
      <c r="E37">
        <f t="shared" si="4"/>
        <v>0</v>
      </c>
      <c r="F37">
        <f t="shared" si="5"/>
        <v>0</v>
      </c>
      <c r="G37">
        <f t="shared" si="6"/>
        <v>0</v>
      </c>
      <c r="H37">
        <f t="shared" si="7"/>
        <v>0</v>
      </c>
      <c r="I37">
        <f t="shared" si="7"/>
        <v>0</v>
      </c>
      <c r="J37">
        <f t="shared" si="7"/>
        <v>0</v>
      </c>
      <c r="K37">
        <f t="shared" si="7"/>
        <v>0</v>
      </c>
      <c r="L37">
        <f t="shared" si="8"/>
        <v>0</v>
      </c>
      <c r="M37">
        <f t="shared" si="9"/>
        <v>0</v>
      </c>
      <c r="N37" t="e">
        <f t="shared" si="10"/>
        <v>#REF!</v>
      </c>
    </row>
    <row r="38" spans="1:17">
      <c r="A38">
        <f t="shared" si="14"/>
        <v>220</v>
      </c>
      <c r="B38">
        <f t="shared" si="11"/>
        <v>0</v>
      </c>
      <c r="C38">
        <f t="shared" si="12"/>
        <v>0</v>
      </c>
      <c r="D38">
        <f t="shared" si="3"/>
        <v>0</v>
      </c>
      <c r="E38">
        <f t="shared" si="4"/>
        <v>0</v>
      </c>
      <c r="F38">
        <f t="shared" si="5"/>
        <v>0</v>
      </c>
      <c r="G38">
        <f t="shared" si="6"/>
        <v>0</v>
      </c>
      <c r="H38">
        <f t="shared" si="7"/>
        <v>0</v>
      </c>
      <c r="I38">
        <f t="shared" si="7"/>
        <v>0</v>
      </c>
      <c r="J38">
        <f t="shared" si="7"/>
        <v>0</v>
      </c>
      <c r="K38">
        <f t="shared" si="7"/>
        <v>0</v>
      </c>
      <c r="L38">
        <f t="shared" si="8"/>
        <v>0</v>
      </c>
      <c r="M38">
        <f t="shared" ref="M38:M69" si="15">IF(IF((M$3*10^12-$A39)*(M$3*10^12-$A38)*-1&lt;0,0,1)*IF(ABS(M$3*10^12-$A39)&gt;(M$3*10^12-$A38),$A38,$A39)=M39,0,IF((M$3*10^12-$A39)*(M$3*10^12-$A38)*-1&lt;0,0,1)*IF(ABS(M$3*10^12-$A39)&gt;(M$3*10^12-$A38),$A38,$A39))</f>
        <v>0</v>
      </c>
      <c r="N38" t="e">
        <f t="shared" ref="N38:N69" si="16">IF(IF((N$3*10^12-$A39)*(N$3*10^12-$A38)*-1&lt;0,0,1)*IF(ABS(N$3*10^12-$A39)&gt;(N$3*10^12-$A38),$A38,$A39)=N39,0,IF((N$3*10^12-$A39)*(N$3*10^12-$A38)*-1&lt;0,0,1)*IF(ABS(N$3*10^12-$A39)&gt;(N$3*10^12-$A38),$A38,$A39))</f>
        <v>#REF!</v>
      </c>
    </row>
    <row r="39" spans="1:17">
      <c r="A39">
        <f t="shared" si="14"/>
        <v>270</v>
      </c>
      <c r="B39">
        <f t="shared" si="11"/>
        <v>0</v>
      </c>
      <c r="C39">
        <f t="shared" ref="C39:C70" si="17">IF(IF((C$3*10^12-$A40)*(C$3*10^12-$A39)*-1&lt;0,0,1)*IF(ABS(C$3*10^12-$A40)&gt;(C$3*10^12-$A39),$A39,$A40)=C40,0,IF((C$3*10^12-$A40)*(C$3*10^12-$A39)*-1&lt;0,0,1)*IF(ABS(C$3*10^12-$A40)&gt;(C$3*10^12-$A39),$A39,$A40))</f>
        <v>0</v>
      </c>
      <c r="D39">
        <f t="shared" si="3"/>
        <v>0</v>
      </c>
      <c r="E39">
        <f t="shared" si="4"/>
        <v>0</v>
      </c>
      <c r="F39">
        <f t="shared" si="5"/>
        <v>0</v>
      </c>
      <c r="G39">
        <f t="shared" si="6"/>
        <v>0</v>
      </c>
      <c r="H39">
        <f t="shared" si="7"/>
        <v>0</v>
      </c>
      <c r="I39">
        <f t="shared" si="7"/>
        <v>0</v>
      </c>
      <c r="J39">
        <f t="shared" si="7"/>
        <v>0</v>
      </c>
      <c r="K39">
        <f t="shared" si="7"/>
        <v>0</v>
      </c>
      <c r="L39">
        <f t="shared" si="8"/>
        <v>0</v>
      </c>
      <c r="M39">
        <f t="shared" si="15"/>
        <v>0</v>
      </c>
      <c r="N39" t="e">
        <f t="shared" si="16"/>
        <v>#REF!</v>
      </c>
    </row>
    <row r="40" spans="1:17">
      <c r="A40">
        <f t="shared" si="14"/>
        <v>330</v>
      </c>
      <c r="B40">
        <f t="shared" si="11"/>
        <v>0</v>
      </c>
      <c r="C40">
        <f t="shared" si="17"/>
        <v>0</v>
      </c>
      <c r="D40">
        <f t="shared" si="3"/>
        <v>0</v>
      </c>
      <c r="E40">
        <f t="shared" si="4"/>
        <v>0</v>
      </c>
      <c r="F40">
        <f t="shared" si="5"/>
        <v>0</v>
      </c>
      <c r="G40">
        <f t="shared" si="6"/>
        <v>0</v>
      </c>
      <c r="H40">
        <f t="shared" si="7"/>
        <v>0</v>
      </c>
      <c r="I40">
        <f t="shared" si="7"/>
        <v>0</v>
      </c>
      <c r="J40">
        <f t="shared" si="7"/>
        <v>0</v>
      </c>
      <c r="K40">
        <f t="shared" si="7"/>
        <v>0</v>
      </c>
      <c r="L40">
        <f t="shared" si="8"/>
        <v>0</v>
      </c>
      <c r="M40">
        <f t="shared" si="15"/>
        <v>0</v>
      </c>
      <c r="N40" t="e">
        <f t="shared" si="16"/>
        <v>#REF!</v>
      </c>
    </row>
    <row r="41" spans="1:17">
      <c r="A41">
        <f t="shared" si="14"/>
        <v>390</v>
      </c>
      <c r="B41">
        <f t="shared" si="11"/>
        <v>0</v>
      </c>
      <c r="C41">
        <f t="shared" si="17"/>
        <v>0</v>
      </c>
      <c r="D41">
        <f t="shared" si="3"/>
        <v>0</v>
      </c>
      <c r="E41">
        <f t="shared" si="4"/>
        <v>0</v>
      </c>
      <c r="F41">
        <f t="shared" si="5"/>
        <v>0</v>
      </c>
      <c r="G41">
        <f t="shared" si="6"/>
        <v>0</v>
      </c>
      <c r="H41">
        <f t="shared" si="7"/>
        <v>0</v>
      </c>
      <c r="I41">
        <f t="shared" si="7"/>
        <v>0</v>
      </c>
      <c r="J41">
        <f t="shared" si="7"/>
        <v>0</v>
      </c>
      <c r="K41">
        <f t="shared" si="7"/>
        <v>0</v>
      </c>
      <c r="L41">
        <f t="shared" si="8"/>
        <v>0</v>
      </c>
      <c r="M41">
        <f t="shared" si="15"/>
        <v>0</v>
      </c>
      <c r="N41" t="e">
        <f t="shared" si="16"/>
        <v>#REF!</v>
      </c>
    </row>
    <row r="42" spans="1:17">
      <c r="A42">
        <f t="shared" si="14"/>
        <v>470</v>
      </c>
      <c r="B42">
        <f t="shared" si="11"/>
        <v>0</v>
      </c>
      <c r="C42">
        <f t="shared" si="17"/>
        <v>0</v>
      </c>
      <c r="D42">
        <f t="shared" si="3"/>
        <v>0</v>
      </c>
      <c r="E42">
        <f t="shared" si="4"/>
        <v>0</v>
      </c>
      <c r="F42">
        <f t="shared" si="5"/>
        <v>0</v>
      </c>
      <c r="G42">
        <f t="shared" si="6"/>
        <v>0</v>
      </c>
      <c r="H42">
        <f t="shared" si="7"/>
        <v>0</v>
      </c>
      <c r="I42">
        <f t="shared" si="7"/>
        <v>0</v>
      </c>
      <c r="J42">
        <f t="shared" si="7"/>
        <v>0</v>
      </c>
      <c r="K42">
        <f t="shared" si="7"/>
        <v>0</v>
      </c>
      <c r="L42">
        <f t="shared" si="8"/>
        <v>0</v>
      </c>
      <c r="M42">
        <f t="shared" si="15"/>
        <v>0</v>
      </c>
      <c r="N42" t="e">
        <f t="shared" si="16"/>
        <v>#REF!</v>
      </c>
    </row>
    <row r="43" spans="1:17">
      <c r="A43">
        <f t="shared" si="14"/>
        <v>560</v>
      </c>
      <c r="B43">
        <f t="shared" si="11"/>
        <v>0</v>
      </c>
      <c r="C43">
        <f t="shared" si="17"/>
        <v>0</v>
      </c>
      <c r="D43">
        <f t="shared" si="3"/>
        <v>0</v>
      </c>
      <c r="E43">
        <f t="shared" si="4"/>
        <v>0</v>
      </c>
      <c r="F43">
        <f t="shared" si="5"/>
        <v>0</v>
      </c>
      <c r="G43">
        <f t="shared" si="6"/>
        <v>0</v>
      </c>
      <c r="H43">
        <f t="shared" si="7"/>
        <v>0</v>
      </c>
      <c r="I43">
        <f t="shared" si="7"/>
        <v>0</v>
      </c>
      <c r="J43">
        <f t="shared" si="7"/>
        <v>0</v>
      </c>
      <c r="K43">
        <f t="shared" si="7"/>
        <v>0</v>
      </c>
      <c r="L43">
        <f t="shared" si="8"/>
        <v>0</v>
      </c>
      <c r="M43">
        <f t="shared" si="15"/>
        <v>0</v>
      </c>
      <c r="N43" t="e">
        <f t="shared" si="16"/>
        <v>#REF!</v>
      </c>
    </row>
    <row r="44" spans="1:17">
      <c r="A44">
        <f t="shared" si="14"/>
        <v>680</v>
      </c>
      <c r="B44">
        <f t="shared" si="11"/>
        <v>0</v>
      </c>
      <c r="C44">
        <f t="shared" si="17"/>
        <v>0</v>
      </c>
      <c r="D44">
        <f t="shared" si="3"/>
        <v>0</v>
      </c>
      <c r="E44">
        <f t="shared" si="4"/>
        <v>0</v>
      </c>
      <c r="F44">
        <f t="shared" si="5"/>
        <v>0</v>
      </c>
      <c r="G44">
        <f t="shared" si="6"/>
        <v>0</v>
      </c>
      <c r="H44">
        <f t="shared" si="7"/>
        <v>0</v>
      </c>
      <c r="I44">
        <f t="shared" si="7"/>
        <v>0</v>
      </c>
      <c r="J44">
        <f t="shared" si="7"/>
        <v>0</v>
      </c>
      <c r="K44">
        <f t="shared" si="7"/>
        <v>0</v>
      </c>
      <c r="L44">
        <f t="shared" si="8"/>
        <v>0</v>
      </c>
      <c r="M44">
        <f t="shared" si="15"/>
        <v>0</v>
      </c>
      <c r="N44" t="e">
        <f t="shared" si="16"/>
        <v>#REF!</v>
      </c>
    </row>
    <row r="45" spans="1:17">
      <c r="A45">
        <f>A33*10</f>
        <v>820</v>
      </c>
      <c r="B45">
        <f t="shared" si="11"/>
        <v>0</v>
      </c>
      <c r="C45">
        <f t="shared" si="17"/>
        <v>0</v>
      </c>
      <c r="D45">
        <f t="shared" si="3"/>
        <v>0</v>
      </c>
      <c r="E45">
        <f t="shared" si="4"/>
        <v>0</v>
      </c>
      <c r="F45">
        <f t="shared" si="5"/>
        <v>0</v>
      </c>
      <c r="G45">
        <f t="shared" si="6"/>
        <v>0</v>
      </c>
      <c r="H45">
        <f t="shared" si="7"/>
        <v>0</v>
      </c>
      <c r="I45">
        <f t="shared" si="7"/>
        <v>0</v>
      </c>
      <c r="J45">
        <f t="shared" si="7"/>
        <v>0</v>
      </c>
      <c r="K45">
        <f t="shared" si="7"/>
        <v>0</v>
      </c>
      <c r="L45">
        <f t="shared" si="8"/>
        <v>0</v>
      </c>
      <c r="M45">
        <f t="shared" si="15"/>
        <v>0</v>
      </c>
      <c r="N45" t="e">
        <f t="shared" si="16"/>
        <v>#REF!</v>
      </c>
    </row>
    <row r="46" spans="1:17">
      <c r="A46">
        <f t="shared" si="14"/>
        <v>1000</v>
      </c>
      <c r="B46">
        <f t="shared" si="11"/>
        <v>0</v>
      </c>
      <c r="C46">
        <f t="shared" si="17"/>
        <v>0</v>
      </c>
      <c r="D46">
        <f t="shared" si="3"/>
        <v>0</v>
      </c>
      <c r="E46">
        <f t="shared" si="4"/>
        <v>0</v>
      </c>
      <c r="F46">
        <f t="shared" si="5"/>
        <v>0</v>
      </c>
      <c r="G46">
        <f t="shared" si="6"/>
        <v>0</v>
      </c>
      <c r="H46">
        <f t="shared" si="7"/>
        <v>0</v>
      </c>
      <c r="I46">
        <f t="shared" si="7"/>
        <v>0</v>
      </c>
      <c r="J46">
        <f t="shared" si="7"/>
        <v>0</v>
      </c>
      <c r="K46">
        <f t="shared" si="7"/>
        <v>0</v>
      </c>
      <c r="L46">
        <f t="shared" si="8"/>
        <v>0</v>
      </c>
      <c r="M46">
        <f t="shared" si="15"/>
        <v>0</v>
      </c>
      <c r="N46" t="e">
        <f t="shared" si="16"/>
        <v>#REF!</v>
      </c>
    </row>
    <row r="47" spans="1:17">
      <c r="A47">
        <f t="shared" si="14"/>
        <v>1200</v>
      </c>
      <c r="B47">
        <f t="shared" si="11"/>
        <v>0</v>
      </c>
      <c r="C47">
        <f t="shared" si="17"/>
        <v>0</v>
      </c>
      <c r="D47">
        <f t="shared" si="3"/>
        <v>0</v>
      </c>
      <c r="E47">
        <f t="shared" si="4"/>
        <v>0</v>
      </c>
      <c r="F47">
        <f t="shared" si="5"/>
        <v>0</v>
      </c>
      <c r="G47">
        <f t="shared" si="6"/>
        <v>0</v>
      </c>
      <c r="H47">
        <f t="shared" si="7"/>
        <v>0</v>
      </c>
      <c r="I47">
        <f t="shared" si="7"/>
        <v>0</v>
      </c>
      <c r="J47">
        <f t="shared" si="7"/>
        <v>0</v>
      </c>
      <c r="K47">
        <f t="shared" si="7"/>
        <v>0</v>
      </c>
      <c r="L47">
        <f t="shared" si="8"/>
        <v>0</v>
      </c>
      <c r="M47">
        <f t="shared" si="15"/>
        <v>0</v>
      </c>
      <c r="N47" t="e">
        <f t="shared" si="16"/>
        <v>#REF!</v>
      </c>
    </row>
    <row r="48" spans="1:17">
      <c r="A48">
        <f t="shared" si="14"/>
        <v>1500</v>
      </c>
      <c r="B48">
        <f t="shared" si="11"/>
        <v>0</v>
      </c>
      <c r="C48">
        <f t="shared" si="17"/>
        <v>0</v>
      </c>
      <c r="D48">
        <f t="shared" si="3"/>
        <v>0</v>
      </c>
      <c r="E48">
        <f t="shared" si="4"/>
        <v>0</v>
      </c>
      <c r="F48">
        <f t="shared" si="5"/>
        <v>0</v>
      </c>
      <c r="G48">
        <f t="shared" si="6"/>
        <v>0</v>
      </c>
      <c r="H48">
        <f t="shared" si="7"/>
        <v>0</v>
      </c>
      <c r="I48">
        <f t="shared" si="7"/>
        <v>0</v>
      </c>
      <c r="J48">
        <f t="shared" si="7"/>
        <v>0</v>
      </c>
      <c r="K48">
        <f t="shared" si="7"/>
        <v>0</v>
      </c>
      <c r="L48">
        <f t="shared" si="8"/>
        <v>0</v>
      </c>
      <c r="M48">
        <f t="shared" si="15"/>
        <v>0</v>
      </c>
      <c r="N48" t="e">
        <f t="shared" si="16"/>
        <v>#REF!</v>
      </c>
    </row>
    <row r="49" spans="1:14">
      <c r="A49">
        <f t="shared" si="14"/>
        <v>1800</v>
      </c>
      <c r="B49">
        <f t="shared" si="11"/>
        <v>0</v>
      </c>
      <c r="C49">
        <f t="shared" si="17"/>
        <v>0</v>
      </c>
      <c r="D49">
        <f t="shared" si="3"/>
        <v>0</v>
      </c>
      <c r="E49">
        <f t="shared" si="4"/>
        <v>0</v>
      </c>
      <c r="F49">
        <f t="shared" si="5"/>
        <v>0</v>
      </c>
      <c r="G49">
        <f t="shared" si="6"/>
        <v>0</v>
      </c>
      <c r="H49">
        <f t="shared" si="7"/>
        <v>0</v>
      </c>
      <c r="I49">
        <f t="shared" si="7"/>
        <v>0</v>
      </c>
      <c r="J49">
        <f t="shared" si="7"/>
        <v>0</v>
      </c>
      <c r="K49">
        <f t="shared" si="7"/>
        <v>0</v>
      </c>
      <c r="L49">
        <f t="shared" si="8"/>
        <v>0</v>
      </c>
      <c r="M49">
        <f t="shared" si="15"/>
        <v>0</v>
      </c>
      <c r="N49" t="e">
        <f t="shared" si="16"/>
        <v>#REF!</v>
      </c>
    </row>
    <row r="50" spans="1:14">
      <c r="A50">
        <f t="shared" si="14"/>
        <v>2200</v>
      </c>
      <c r="B50">
        <f t="shared" si="11"/>
        <v>0</v>
      </c>
      <c r="C50">
        <f t="shared" si="17"/>
        <v>0</v>
      </c>
      <c r="D50">
        <f t="shared" si="3"/>
        <v>0</v>
      </c>
      <c r="E50">
        <f t="shared" si="4"/>
        <v>2700</v>
      </c>
      <c r="F50">
        <f t="shared" si="5"/>
        <v>0</v>
      </c>
      <c r="G50">
        <f t="shared" si="6"/>
        <v>0</v>
      </c>
      <c r="H50">
        <f t="shared" si="7"/>
        <v>0</v>
      </c>
      <c r="I50">
        <f t="shared" si="7"/>
        <v>0</v>
      </c>
      <c r="J50">
        <f t="shared" si="7"/>
        <v>0</v>
      </c>
      <c r="K50">
        <f t="shared" si="7"/>
        <v>0</v>
      </c>
      <c r="L50">
        <f t="shared" si="8"/>
        <v>0</v>
      </c>
      <c r="M50">
        <f t="shared" si="15"/>
        <v>0</v>
      </c>
      <c r="N50" t="e">
        <f t="shared" si="16"/>
        <v>#REF!</v>
      </c>
    </row>
    <row r="51" spans="1:14">
      <c r="A51">
        <f t="shared" si="14"/>
        <v>2700</v>
      </c>
      <c r="B51">
        <f t="shared" si="11"/>
        <v>0</v>
      </c>
      <c r="C51">
        <f t="shared" si="17"/>
        <v>0</v>
      </c>
      <c r="D51">
        <f t="shared" si="3"/>
        <v>0</v>
      </c>
      <c r="E51">
        <f t="shared" si="4"/>
        <v>0</v>
      </c>
      <c r="F51">
        <f t="shared" si="5"/>
        <v>0</v>
      </c>
      <c r="G51">
        <f t="shared" si="6"/>
        <v>0</v>
      </c>
      <c r="H51">
        <f t="shared" si="7"/>
        <v>0</v>
      </c>
      <c r="I51">
        <f t="shared" si="7"/>
        <v>0</v>
      </c>
      <c r="J51">
        <f t="shared" si="7"/>
        <v>0</v>
      </c>
      <c r="K51">
        <f t="shared" si="7"/>
        <v>0</v>
      </c>
      <c r="L51">
        <f t="shared" si="8"/>
        <v>0</v>
      </c>
      <c r="M51">
        <f t="shared" si="15"/>
        <v>0</v>
      </c>
      <c r="N51" t="e">
        <f t="shared" si="16"/>
        <v>#REF!</v>
      </c>
    </row>
    <row r="52" spans="1:14">
      <c r="A52">
        <f t="shared" si="14"/>
        <v>3300</v>
      </c>
      <c r="B52">
        <f t="shared" si="11"/>
        <v>0</v>
      </c>
      <c r="C52">
        <f t="shared" si="17"/>
        <v>0</v>
      </c>
      <c r="D52">
        <f t="shared" si="3"/>
        <v>0</v>
      </c>
      <c r="E52">
        <f t="shared" si="4"/>
        <v>0</v>
      </c>
      <c r="F52">
        <f t="shared" si="5"/>
        <v>0</v>
      </c>
      <c r="G52">
        <f t="shared" si="6"/>
        <v>0</v>
      </c>
      <c r="H52">
        <f t="shared" si="7"/>
        <v>0</v>
      </c>
      <c r="I52">
        <f t="shared" si="7"/>
        <v>0</v>
      </c>
      <c r="J52">
        <f t="shared" si="7"/>
        <v>0</v>
      </c>
      <c r="K52">
        <f t="shared" si="7"/>
        <v>0</v>
      </c>
      <c r="L52">
        <f t="shared" si="8"/>
        <v>0</v>
      </c>
      <c r="M52">
        <f t="shared" si="15"/>
        <v>0</v>
      </c>
      <c r="N52" t="e">
        <f t="shared" si="16"/>
        <v>#REF!</v>
      </c>
    </row>
    <row r="53" spans="1:14">
      <c r="A53">
        <f t="shared" si="14"/>
        <v>3900</v>
      </c>
      <c r="B53">
        <f t="shared" si="11"/>
        <v>0</v>
      </c>
      <c r="C53">
        <f t="shared" si="17"/>
        <v>4700</v>
      </c>
      <c r="D53">
        <f t="shared" si="3"/>
        <v>0</v>
      </c>
      <c r="E53">
        <f t="shared" si="4"/>
        <v>0</v>
      </c>
      <c r="F53">
        <f t="shared" si="5"/>
        <v>0</v>
      </c>
      <c r="G53">
        <f t="shared" si="6"/>
        <v>0</v>
      </c>
      <c r="H53">
        <f t="shared" si="7"/>
        <v>0</v>
      </c>
      <c r="I53">
        <f t="shared" si="7"/>
        <v>0</v>
      </c>
      <c r="J53">
        <f t="shared" si="7"/>
        <v>0</v>
      </c>
      <c r="K53">
        <f t="shared" si="7"/>
        <v>0</v>
      </c>
      <c r="L53">
        <f t="shared" si="8"/>
        <v>0</v>
      </c>
      <c r="M53">
        <f t="shared" si="15"/>
        <v>0</v>
      </c>
      <c r="N53" t="e">
        <f t="shared" si="16"/>
        <v>#REF!</v>
      </c>
    </row>
    <row r="54" spans="1:14">
      <c r="A54">
        <f t="shared" si="14"/>
        <v>4700</v>
      </c>
      <c r="B54">
        <f t="shared" si="11"/>
        <v>0</v>
      </c>
      <c r="C54">
        <f t="shared" si="17"/>
        <v>0</v>
      </c>
      <c r="D54">
        <f t="shared" si="3"/>
        <v>0</v>
      </c>
      <c r="E54">
        <f t="shared" si="4"/>
        <v>0</v>
      </c>
      <c r="F54">
        <f t="shared" si="5"/>
        <v>0</v>
      </c>
      <c r="G54">
        <f t="shared" si="6"/>
        <v>0</v>
      </c>
      <c r="H54">
        <f t="shared" si="7"/>
        <v>0</v>
      </c>
      <c r="I54">
        <f t="shared" si="7"/>
        <v>0</v>
      </c>
      <c r="J54">
        <f t="shared" si="7"/>
        <v>0</v>
      </c>
      <c r="K54">
        <f t="shared" si="7"/>
        <v>0</v>
      </c>
      <c r="L54">
        <f t="shared" si="8"/>
        <v>0</v>
      </c>
      <c r="M54">
        <f t="shared" si="15"/>
        <v>0</v>
      </c>
      <c r="N54" t="e">
        <f t="shared" si="16"/>
        <v>#REF!</v>
      </c>
    </row>
    <row r="55" spans="1:14">
      <c r="A55">
        <f t="shared" si="14"/>
        <v>5600</v>
      </c>
      <c r="B55">
        <f t="shared" si="11"/>
        <v>0</v>
      </c>
      <c r="C55">
        <f t="shared" si="17"/>
        <v>0</v>
      </c>
      <c r="D55">
        <f t="shared" si="3"/>
        <v>0</v>
      </c>
      <c r="E55">
        <f t="shared" si="4"/>
        <v>0</v>
      </c>
      <c r="F55">
        <f t="shared" si="5"/>
        <v>0</v>
      </c>
      <c r="G55">
        <f t="shared" si="6"/>
        <v>0</v>
      </c>
      <c r="H55">
        <f t="shared" si="7"/>
        <v>0</v>
      </c>
      <c r="I55">
        <f t="shared" si="7"/>
        <v>0</v>
      </c>
      <c r="J55">
        <f t="shared" si="7"/>
        <v>0</v>
      </c>
      <c r="K55">
        <f t="shared" si="7"/>
        <v>0</v>
      </c>
      <c r="L55">
        <f t="shared" si="8"/>
        <v>0</v>
      </c>
      <c r="M55">
        <f t="shared" si="15"/>
        <v>0</v>
      </c>
      <c r="N55" t="e">
        <f t="shared" si="16"/>
        <v>#REF!</v>
      </c>
    </row>
    <row r="56" spans="1:14">
      <c r="A56">
        <f t="shared" si="14"/>
        <v>6800</v>
      </c>
      <c r="B56">
        <f t="shared" si="11"/>
        <v>0</v>
      </c>
      <c r="C56">
        <f t="shared" si="17"/>
        <v>0</v>
      </c>
      <c r="D56">
        <f t="shared" si="3"/>
        <v>0</v>
      </c>
      <c r="E56">
        <f t="shared" si="4"/>
        <v>0</v>
      </c>
      <c r="F56">
        <f t="shared" si="5"/>
        <v>0</v>
      </c>
      <c r="G56">
        <f t="shared" si="6"/>
        <v>0</v>
      </c>
      <c r="H56">
        <f t="shared" si="7"/>
        <v>0</v>
      </c>
      <c r="I56">
        <f t="shared" si="7"/>
        <v>0</v>
      </c>
      <c r="J56">
        <f t="shared" si="7"/>
        <v>0</v>
      </c>
      <c r="K56">
        <f t="shared" si="7"/>
        <v>0</v>
      </c>
      <c r="L56">
        <f t="shared" si="8"/>
        <v>0</v>
      </c>
      <c r="M56">
        <f t="shared" si="15"/>
        <v>0</v>
      </c>
      <c r="N56" t="e">
        <f t="shared" si="16"/>
        <v>#REF!</v>
      </c>
    </row>
    <row r="57" spans="1:14">
      <c r="A57">
        <f t="shared" si="14"/>
        <v>8200</v>
      </c>
      <c r="B57">
        <f t="shared" si="11"/>
        <v>0</v>
      </c>
      <c r="C57">
        <f t="shared" si="17"/>
        <v>0</v>
      </c>
      <c r="D57">
        <f t="shared" si="3"/>
        <v>0</v>
      </c>
      <c r="E57">
        <f t="shared" si="4"/>
        <v>0</v>
      </c>
      <c r="F57">
        <f t="shared" si="5"/>
        <v>0</v>
      </c>
      <c r="G57">
        <f t="shared" si="6"/>
        <v>0</v>
      </c>
      <c r="H57">
        <f t="shared" si="7"/>
        <v>0</v>
      </c>
      <c r="I57">
        <f t="shared" si="7"/>
        <v>0</v>
      </c>
      <c r="J57">
        <f t="shared" si="7"/>
        <v>0</v>
      </c>
      <c r="K57">
        <f t="shared" si="7"/>
        <v>0</v>
      </c>
      <c r="L57">
        <f t="shared" si="8"/>
        <v>0</v>
      </c>
      <c r="M57">
        <f t="shared" si="15"/>
        <v>0</v>
      </c>
      <c r="N57" t="e">
        <f t="shared" si="16"/>
        <v>#REF!</v>
      </c>
    </row>
    <row r="58" spans="1:14">
      <c r="A58">
        <f t="shared" si="14"/>
        <v>10000</v>
      </c>
      <c r="B58">
        <f t="shared" si="11"/>
        <v>0</v>
      </c>
      <c r="C58">
        <f t="shared" si="17"/>
        <v>0</v>
      </c>
      <c r="D58">
        <f t="shared" si="3"/>
        <v>0</v>
      </c>
      <c r="E58">
        <f t="shared" si="4"/>
        <v>0</v>
      </c>
      <c r="F58">
        <f t="shared" si="5"/>
        <v>0</v>
      </c>
      <c r="G58">
        <f t="shared" si="6"/>
        <v>0</v>
      </c>
      <c r="H58">
        <f t="shared" si="7"/>
        <v>0</v>
      </c>
      <c r="I58">
        <f t="shared" si="7"/>
        <v>0</v>
      </c>
      <c r="J58">
        <f t="shared" si="7"/>
        <v>0</v>
      </c>
      <c r="K58">
        <f t="shared" si="7"/>
        <v>0</v>
      </c>
      <c r="L58">
        <f t="shared" si="8"/>
        <v>0</v>
      </c>
      <c r="M58">
        <f t="shared" si="15"/>
        <v>0</v>
      </c>
      <c r="N58" t="e">
        <f t="shared" si="16"/>
        <v>#REF!</v>
      </c>
    </row>
    <row r="59" spans="1:14">
      <c r="A59">
        <f t="shared" si="14"/>
        <v>12000</v>
      </c>
      <c r="B59">
        <f t="shared" si="11"/>
        <v>0</v>
      </c>
      <c r="C59">
        <f t="shared" si="17"/>
        <v>0</v>
      </c>
      <c r="D59">
        <f t="shared" si="3"/>
        <v>0</v>
      </c>
      <c r="E59">
        <f t="shared" si="4"/>
        <v>0</v>
      </c>
      <c r="F59">
        <f t="shared" si="5"/>
        <v>0</v>
      </c>
      <c r="G59">
        <f t="shared" si="6"/>
        <v>0</v>
      </c>
      <c r="H59">
        <f t="shared" si="7"/>
        <v>0</v>
      </c>
      <c r="I59">
        <f t="shared" si="7"/>
        <v>0</v>
      </c>
      <c r="J59">
        <f t="shared" si="7"/>
        <v>0</v>
      </c>
      <c r="K59">
        <f t="shared" si="7"/>
        <v>0</v>
      </c>
      <c r="L59">
        <f t="shared" si="8"/>
        <v>0</v>
      </c>
      <c r="M59">
        <f t="shared" si="15"/>
        <v>0</v>
      </c>
      <c r="N59" t="e">
        <f t="shared" si="16"/>
        <v>#REF!</v>
      </c>
    </row>
    <row r="60" spans="1:14">
      <c r="A60">
        <f t="shared" si="14"/>
        <v>15000</v>
      </c>
      <c r="B60">
        <f t="shared" si="11"/>
        <v>0</v>
      </c>
      <c r="C60">
        <f t="shared" si="17"/>
        <v>0</v>
      </c>
      <c r="D60">
        <f t="shared" si="3"/>
        <v>0</v>
      </c>
      <c r="E60">
        <f t="shared" si="4"/>
        <v>0</v>
      </c>
      <c r="F60">
        <f t="shared" si="5"/>
        <v>0</v>
      </c>
      <c r="G60">
        <f t="shared" si="6"/>
        <v>0</v>
      </c>
      <c r="H60">
        <f t="shared" si="7"/>
        <v>0</v>
      </c>
      <c r="I60">
        <f t="shared" si="7"/>
        <v>0</v>
      </c>
      <c r="J60">
        <f t="shared" si="7"/>
        <v>0</v>
      </c>
      <c r="K60">
        <f t="shared" si="7"/>
        <v>0</v>
      </c>
      <c r="L60">
        <f t="shared" si="8"/>
        <v>0</v>
      </c>
      <c r="M60">
        <f t="shared" si="15"/>
        <v>0</v>
      </c>
      <c r="N60" t="e">
        <f t="shared" si="16"/>
        <v>#REF!</v>
      </c>
    </row>
    <row r="61" spans="1:14">
      <c r="A61">
        <f t="shared" si="14"/>
        <v>18000</v>
      </c>
      <c r="B61">
        <f t="shared" si="11"/>
        <v>0</v>
      </c>
      <c r="C61">
        <f t="shared" si="17"/>
        <v>0</v>
      </c>
      <c r="D61">
        <f t="shared" si="3"/>
        <v>0</v>
      </c>
      <c r="E61">
        <f t="shared" si="4"/>
        <v>0</v>
      </c>
      <c r="F61">
        <f t="shared" si="5"/>
        <v>0</v>
      </c>
      <c r="G61">
        <f t="shared" si="6"/>
        <v>0</v>
      </c>
      <c r="H61">
        <f t="shared" si="7"/>
        <v>0</v>
      </c>
      <c r="I61">
        <f t="shared" si="7"/>
        <v>0</v>
      </c>
      <c r="J61">
        <f t="shared" si="7"/>
        <v>0</v>
      </c>
      <c r="K61">
        <f t="shared" si="7"/>
        <v>0</v>
      </c>
      <c r="L61">
        <f t="shared" si="8"/>
        <v>0</v>
      </c>
      <c r="M61">
        <f t="shared" si="15"/>
        <v>0</v>
      </c>
      <c r="N61" t="e">
        <f t="shared" si="16"/>
        <v>#REF!</v>
      </c>
    </row>
    <row r="62" spans="1:14">
      <c r="A62">
        <f t="shared" si="14"/>
        <v>22000</v>
      </c>
      <c r="B62">
        <f t="shared" si="11"/>
        <v>0</v>
      </c>
      <c r="C62">
        <f t="shared" si="17"/>
        <v>0</v>
      </c>
      <c r="D62">
        <f t="shared" si="3"/>
        <v>0</v>
      </c>
      <c r="E62">
        <f t="shared" si="4"/>
        <v>0</v>
      </c>
      <c r="F62">
        <f t="shared" si="5"/>
        <v>0</v>
      </c>
      <c r="G62">
        <f t="shared" si="6"/>
        <v>0</v>
      </c>
      <c r="H62">
        <f t="shared" si="7"/>
        <v>0</v>
      </c>
      <c r="I62">
        <f t="shared" si="7"/>
        <v>0</v>
      </c>
      <c r="J62">
        <f t="shared" si="7"/>
        <v>0</v>
      </c>
      <c r="K62">
        <f t="shared" si="7"/>
        <v>0</v>
      </c>
      <c r="L62">
        <f t="shared" si="8"/>
        <v>0</v>
      </c>
      <c r="M62">
        <f t="shared" si="15"/>
        <v>0</v>
      </c>
      <c r="N62" t="e">
        <f t="shared" si="16"/>
        <v>#REF!</v>
      </c>
    </row>
    <row r="63" spans="1:14">
      <c r="A63">
        <f t="shared" si="14"/>
        <v>27000</v>
      </c>
      <c r="B63">
        <f t="shared" si="11"/>
        <v>0</v>
      </c>
      <c r="C63">
        <f t="shared" si="17"/>
        <v>0</v>
      </c>
      <c r="D63">
        <f t="shared" si="3"/>
        <v>0</v>
      </c>
      <c r="E63">
        <f t="shared" si="4"/>
        <v>0</v>
      </c>
      <c r="F63">
        <f t="shared" si="5"/>
        <v>0</v>
      </c>
      <c r="G63">
        <f t="shared" si="6"/>
        <v>0</v>
      </c>
      <c r="H63">
        <f t="shared" si="7"/>
        <v>0</v>
      </c>
      <c r="I63">
        <f t="shared" si="7"/>
        <v>0</v>
      </c>
      <c r="J63">
        <f t="shared" si="7"/>
        <v>0</v>
      </c>
      <c r="K63">
        <f t="shared" si="7"/>
        <v>0</v>
      </c>
      <c r="L63">
        <f t="shared" si="8"/>
        <v>0</v>
      </c>
      <c r="M63">
        <f t="shared" si="15"/>
        <v>0</v>
      </c>
      <c r="N63" t="e">
        <f t="shared" si="16"/>
        <v>#REF!</v>
      </c>
    </row>
    <row r="64" spans="1:14">
      <c r="A64">
        <f t="shared" si="14"/>
        <v>33000</v>
      </c>
      <c r="B64">
        <f t="shared" si="11"/>
        <v>0</v>
      </c>
      <c r="C64">
        <f t="shared" si="17"/>
        <v>0</v>
      </c>
      <c r="D64">
        <f t="shared" si="3"/>
        <v>0</v>
      </c>
      <c r="E64">
        <f t="shared" si="4"/>
        <v>0</v>
      </c>
      <c r="F64">
        <f t="shared" si="5"/>
        <v>0</v>
      </c>
      <c r="G64">
        <f t="shared" si="6"/>
        <v>0</v>
      </c>
      <c r="H64">
        <f t="shared" si="7"/>
        <v>0</v>
      </c>
      <c r="I64">
        <f t="shared" si="7"/>
        <v>0</v>
      </c>
      <c r="J64">
        <f t="shared" si="7"/>
        <v>0</v>
      </c>
      <c r="K64">
        <f t="shared" si="7"/>
        <v>0</v>
      </c>
      <c r="L64">
        <f t="shared" si="8"/>
        <v>0</v>
      </c>
      <c r="M64">
        <f t="shared" si="15"/>
        <v>0</v>
      </c>
      <c r="N64" t="e">
        <f t="shared" si="16"/>
        <v>#REF!</v>
      </c>
    </row>
    <row r="65" spans="1:14">
      <c r="A65">
        <f t="shared" si="14"/>
        <v>39000</v>
      </c>
      <c r="B65">
        <f t="shared" si="11"/>
        <v>0</v>
      </c>
      <c r="C65">
        <f t="shared" si="17"/>
        <v>0</v>
      </c>
      <c r="D65">
        <f t="shared" si="3"/>
        <v>0</v>
      </c>
      <c r="E65">
        <f t="shared" si="4"/>
        <v>0</v>
      </c>
      <c r="F65">
        <f t="shared" si="5"/>
        <v>0</v>
      </c>
      <c r="G65">
        <f t="shared" si="6"/>
        <v>0</v>
      </c>
      <c r="H65">
        <f t="shared" si="7"/>
        <v>0</v>
      </c>
      <c r="I65">
        <f t="shared" si="7"/>
        <v>0</v>
      </c>
      <c r="J65">
        <f t="shared" si="7"/>
        <v>0</v>
      </c>
      <c r="K65">
        <f t="shared" si="7"/>
        <v>0</v>
      </c>
      <c r="L65">
        <f t="shared" si="8"/>
        <v>0</v>
      </c>
      <c r="M65">
        <f t="shared" si="15"/>
        <v>0</v>
      </c>
      <c r="N65" t="e">
        <f t="shared" si="16"/>
        <v>#REF!</v>
      </c>
    </row>
    <row r="66" spans="1:14">
      <c r="A66">
        <f t="shared" si="14"/>
        <v>47000</v>
      </c>
      <c r="B66">
        <f t="shared" si="11"/>
        <v>0</v>
      </c>
      <c r="C66">
        <f t="shared" si="17"/>
        <v>0</v>
      </c>
      <c r="D66">
        <f t="shared" si="3"/>
        <v>0</v>
      </c>
      <c r="E66">
        <f t="shared" si="4"/>
        <v>0</v>
      </c>
      <c r="F66">
        <f t="shared" si="5"/>
        <v>0</v>
      </c>
      <c r="G66">
        <f t="shared" si="6"/>
        <v>0</v>
      </c>
      <c r="H66">
        <f t="shared" si="7"/>
        <v>0</v>
      </c>
      <c r="I66">
        <f t="shared" si="7"/>
        <v>0</v>
      </c>
      <c r="J66">
        <f t="shared" si="7"/>
        <v>0</v>
      </c>
      <c r="K66">
        <f t="shared" si="7"/>
        <v>0</v>
      </c>
      <c r="L66">
        <f t="shared" si="8"/>
        <v>0</v>
      </c>
      <c r="M66">
        <f t="shared" si="15"/>
        <v>0</v>
      </c>
      <c r="N66" t="e">
        <f t="shared" si="16"/>
        <v>#REF!</v>
      </c>
    </row>
    <row r="67" spans="1:14">
      <c r="A67">
        <f t="shared" si="14"/>
        <v>56000</v>
      </c>
      <c r="B67">
        <f t="shared" si="11"/>
        <v>0</v>
      </c>
      <c r="C67">
        <f t="shared" si="17"/>
        <v>0</v>
      </c>
      <c r="D67">
        <f t="shared" si="3"/>
        <v>0</v>
      </c>
      <c r="E67">
        <f t="shared" si="4"/>
        <v>0</v>
      </c>
      <c r="F67">
        <f t="shared" si="5"/>
        <v>0</v>
      </c>
      <c r="G67">
        <f t="shared" si="6"/>
        <v>0</v>
      </c>
      <c r="H67">
        <f t="shared" si="7"/>
        <v>0</v>
      </c>
      <c r="I67">
        <f t="shared" si="7"/>
        <v>0</v>
      </c>
      <c r="J67">
        <f t="shared" si="7"/>
        <v>0</v>
      </c>
      <c r="K67">
        <f t="shared" si="7"/>
        <v>0</v>
      </c>
      <c r="L67">
        <f t="shared" si="8"/>
        <v>0</v>
      </c>
      <c r="M67">
        <f t="shared" si="15"/>
        <v>0</v>
      </c>
      <c r="N67" t="e">
        <f t="shared" si="16"/>
        <v>#REF!</v>
      </c>
    </row>
    <row r="68" spans="1:14">
      <c r="A68">
        <f t="shared" si="14"/>
        <v>68000</v>
      </c>
      <c r="B68">
        <f t="shared" si="11"/>
        <v>0</v>
      </c>
      <c r="C68">
        <f t="shared" si="17"/>
        <v>0</v>
      </c>
      <c r="D68">
        <f t="shared" si="3"/>
        <v>0</v>
      </c>
      <c r="E68">
        <f t="shared" si="4"/>
        <v>0</v>
      </c>
      <c r="F68">
        <f t="shared" si="5"/>
        <v>0</v>
      </c>
      <c r="G68">
        <f t="shared" si="6"/>
        <v>0</v>
      </c>
      <c r="H68">
        <f t="shared" si="7"/>
        <v>0</v>
      </c>
      <c r="I68">
        <f t="shared" si="7"/>
        <v>0</v>
      </c>
      <c r="J68">
        <f t="shared" si="7"/>
        <v>0</v>
      </c>
      <c r="K68">
        <f t="shared" si="7"/>
        <v>0</v>
      </c>
      <c r="L68">
        <f t="shared" si="8"/>
        <v>0</v>
      </c>
      <c r="M68">
        <f t="shared" si="15"/>
        <v>0</v>
      </c>
      <c r="N68" t="e">
        <f t="shared" si="16"/>
        <v>#REF!</v>
      </c>
    </row>
    <row r="69" spans="1:14">
      <c r="A69">
        <f t="shared" si="14"/>
        <v>82000</v>
      </c>
      <c r="B69">
        <f t="shared" si="11"/>
        <v>0</v>
      </c>
      <c r="C69">
        <f t="shared" si="17"/>
        <v>0</v>
      </c>
      <c r="D69">
        <f t="shared" si="3"/>
        <v>0</v>
      </c>
      <c r="E69">
        <f t="shared" si="4"/>
        <v>0</v>
      </c>
      <c r="F69">
        <f t="shared" si="5"/>
        <v>0</v>
      </c>
      <c r="G69">
        <f t="shared" si="6"/>
        <v>0</v>
      </c>
      <c r="H69">
        <f t="shared" si="7"/>
        <v>0</v>
      </c>
      <c r="I69">
        <f t="shared" si="7"/>
        <v>0</v>
      </c>
      <c r="J69">
        <f t="shared" si="7"/>
        <v>0</v>
      </c>
      <c r="K69">
        <f t="shared" ref="K69:L132" si="18">IF(IF((K$3*10^12-$A70)*(K$3*10^12-$A69)*-1&lt;0,0,1)*IF(ABS(K$3*10^12-$A70)&gt;(K$3*10^12-$A69),$A69,$A70)=K70,0,IF((K$3*10^12-$A70)*(K$3*10^12-$A69)*-1&lt;0,0,1)*IF(ABS(K$3*10^12-$A70)&gt;(K$3*10^12-$A69),$A69,$A70))</f>
        <v>0</v>
      </c>
      <c r="L69">
        <f t="shared" si="8"/>
        <v>0</v>
      </c>
      <c r="M69">
        <f t="shared" si="15"/>
        <v>0</v>
      </c>
      <c r="N69" t="e">
        <f t="shared" si="16"/>
        <v>#REF!</v>
      </c>
    </row>
    <row r="70" spans="1:14">
      <c r="A70">
        <f t="shared" si="14"/>
        <v>100000</v>
      </c>
      <c r="B70">
        <f t="shared" si="11"/>
        <v>0</v>
      </c>
      <c r="C70">
        <f t="shared" si="17"/>
        <v>0</v>
      </c>
      <c r="D70">
        <f t="shared" ref="D70:J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9"/>
        <v>0</v>
      </c>
      <c r="K70">
        <f t="shared" si="18"/>
        <v>0</v>
      </c>
      <c r="L70">
        <f t="shared" si="18"/>
        <v>0</v>
      </c>
      <c r="M70">
        <f t="shared" ref="M70:M101" si="20">IF(IF((M$3*10^12-$A71)*(M$3*10^12-$A70)*-1&lt;0,0,1)*IF(ABS(M$3*10^12-$A71)&gt;(M$3*10^12-$A70),$A70,$A71)=M71,0,IF((M$3*10^12-$A71)*(M$3*10^12-$A70)*-1&lt;0,0,1)*IF(ABS(M$3*10^12-$A71)&gt;(M$3*10^12-$A70),$A70,$A71))</f>
        <v>0</v>
      </c>
      <c r="N70" t="e">
        <f t="shared" ref="N70:N101" si="21">IF(IF((N$3*10^12-$A71)*(N$3*10^12-$A70)*-1&lt;0,0,1)*IF(ABS(N$3*10^12-$A71)&gt;(N$3*10^12-$A70),$A70,$A71)=N71,0,IF((N$3*10^12-$A71)*(N$3*10^12-$A70)*-1&lt;0,0,1)*IF(ABS(N$3*10^12-$A71)&gt;(N$3*10^12-$A70),$A70,$A71))</f>
        <v>#REF!</v>
      </c>
    </row>
    <row r="71" spans="1:14">
      <c r="A71">
        <f t="shared" si="14"/>
        <v>120000</v>
      </c>
      <c r="B71">
        <f t="shared" ref="B71:B134" si="22">IF(IF((B$3*10^12-$A72)*(B$3*10^12-$A71)*-1&lt;0,0,1)*IF(ABS(B$3*10^12-$A72)&gt;(B$3*10^12-$A71),$A71,$A72)=B72,0,IF((B$3*10^12-$A72)*(B$3*10^12-$A71)*-1&lt;0,0,1)*IF(ABS(B$3*10^12-$A72)&gt;(B$3*10^12-$A71),$A71,$A72))</f>
        <v>0</v>
      </c>
      <c r="C71">
        <f t="shared" ref="C71:F134" si="23">IF(IF((C$3*10^12-$A72)*(C$3*10^12-$A71)*-1&lt;0,0,1)*IF(ABS(C$3*10^12-$A72)&gt;(C$3*10^12-$A71),$A71,$A72)=C72,0,IF((C$3*10^12-$A72)*(C$3*10^12-$A71)*-1&lt;0,0,1)*IF(ABS(C$3*10^12-$A72)&gt;(C$3*10^12-$A71),$A71,$A72))</f>
        <v>0</v>
      </c>
      <c r="D71">
        <f t="shared" si="23"/>
        <v>0</v>
      </c>
      <c r="E71">
        <f t="shared" si="23"/>
        <v>0</v>
      </c>
      <c r="F71">
        <f t="shared" si="23"/>
        <v>0</v>
      </c>
      <c r="G71">
        <f t="shared" ref="G71:G102" si="24">IF(IF((G$3*10^12-$A72)*(G$3*10^12-$A71)*-1&lt;0,0,1)*IF(ABS(G$3*10^12-$A72)&gt;(G$3*10^12-$A71),$A71,$A72)=G72,0,IF((G$3*10^12-$A72)*(G$3*10^12-$A71)*-1&lt;0,0,1)*IF(ABS(G$3*10^12-$A72)&gt;(G$3*10^12-$A71),$A71,$A72))</f>
        <v>0</v>
      </c>
      <c r="H71">
        <f t="shared" ref="H71:H102" si="25">IF(IF((H$3*10^12-$A72)*(H$3*10^12-$A71)*-1&lt;0,0,1)*IF(ABS(H$3*10^12-$A72)&gt;(H$3*10^12-$A71),$A71,$A72)=H72,0,IF((H$3*10^12-$A72)*(H$3*10^12-$A71)*-1&lt;0,0,1)*IF(ABS(H$3*10^12-$A72)&gt;(H$3*10^12-$A71),$A71,$A72))</f>
        <v>0</v>
      </c>
      <c r="I71">
        <f t="shared" ref="I71:I102" si="26">IF(IF((I$3*10^12-$A72)*(I$3*10^12-$A71)*-1&lt;0,0,1)*IF(ABS(I$3*10^12-$A72)&gt;(I$3*10^12-$A71),$A71,$A72)=I72,0,IF((I$3*10^12-$A72)*(I$3*10^12-$A71)*-1&lt;0,0,1)*IF(ABS(I$3*10^12-$A72)&gt;(I$3*10^12-$A71),$A71,$A72))</f>
        <v>0</v>
      </c>
      <c r="J71">
        <f t="shared" ref="J71:J102" si="27">IF(IF((J$3*10^12-$A72)*(J$3*10^12-$A71)*-1&lt;0,0,1)*IF(ABS(J$3*10^12-$A72)&gt;(J$3*10^12-$A71),$A71,$A72)=J72,0,IF((J$3*10^12-$A72)*(J$3*10^12-$A71)*-1&lt;0,0,1)*IF(ABS(J$3*10^12-$A72)&gt;(J$3*10^12-$A71),$A71,$A72))</f>
        <v>0</v>
      </c>
      <c r="K71">
        <f t="shared" si="18"/>
        <v>0</v>
      </c>
      <c r="L71">
        <f t="shared" si="18"/>
        <v>0</v>
      </c>
      <c r="M71">
        <f t="shared" si="20"/>
        <v>0</v>
      </c>
      <c r="N71" t="e">
        <f t="shared" si="21"/>
        <v>#REF!</v>
      </c>
    </row>
    <row r="72" spans="1:14">
      <c r="A72">
        <f t="shared" si="14"/>
        <v>150000</v>
      </c>
      <c r="B72">
        <f t="shared" si="22"/>
        <v>0</v>
      </c>
      <c r="C72">
        <f t="shared" si="23"/>
        <v>0</v>
      </c>
      <c r="D72">
        <f t="shared" si="23"/>
        <v>0</v>
      </c>
      <c r="E72">
        <f t="shared" si="23"/>
        <v>0</v>
      </c>
      <c r="F72">
        <f t="shared" si="23"/>
        <v>0</v>
      </c>
      <c r="G72">
        <f t="shared" si="24"/>
        <v>0</v>
      </c>
      <c r="H72">
        <f t="shared" si="25"/>
        <v>0</v>
      </c>
      <c r="I72">
        <f t="shared" si="26"/>
        <v>0</v>
      </c>
      <c r="J72">
        <f t="shared" si="27"/>
        <v>0</v>
      </c>
      <c r="K72">
        <f t="shared" si="18"/>
        <v>0</v>
      </c>
      <c r="L72">
        <f t="shared" si="18"/>
        <v>0</v>
      </c>
      <c r="M72">
        <f t="shared" si="20"/>
        <v>0</v>
      </c>
      <c r="N72" t="e">
        <f t="shared" si="21"/>
        <v>#REF!</v>
      </c>
    </row>
    <row r="73" spans="1:14">
      <c r="A73">
        <f t="shared" si="14"/>
        <v>180000</v>
      </c>
      <c r="B73">
        <f t="shared" si="22"/>
        <v>0</v>
      </c>
      <c r="C73">
        <f t="shared" si="23"/>
        <v>0</v>
      </c>
      <c r="D73">
        <f t="shared" si="23"/>
        <v>0</v>
      </c>
      <c r="E73">
        <f t="shared" si="23"/>
        <v>0</v>
      </c>
      <c r="F73">
        <f t="shared" si="23"/>
        <v>0</v>
      </c>
      <c r="G73">
        <f t="shared" si="24"/>
        <v>0</v>
      </c>
      <c r="H73">
        <f t="shared" si="25"/>
        <v>0</v>
      </c>
      <c r="I73">
        <f t="shared" si="26"/>
        <v>0</v>
      </c>
      <c r="J73">
        <f t="shared" si="27"/>
        <v>0</v>
      </c>
      <c r="K73">
        <f t="shared" si="18"/>
        <v>0</v>
      </c>
      <c r="L73">
        <f t="shared" si="18"/>
        <v>0</v>
      </c>
      <c r="M73">
        <f t="shared" si="20"/>
        <v>0</v>
      </c>
      <c r="N73" t="e">
        <f t="shared" si="21"/>
        <v>#REF!</v>
      </c>
    </row>
    <row r="74" spans="1:14">
      <c r="A74">
        <f t="shared" si="14"/>
        <v>220000</v>
      </c>
      <c r="B74">
        <f t="shared" si="22"/>
        <v>0</v>
      </c>
      <c r="C74">
        <f t="shared" si="23"/>
        <v>0</v>
      </c>
      <c r="D74">
        <f t="shared" si="23"/>
        <v>0</v>
      </c>
      <c r="E74">
        <f t="shared" si="23"/>
        <v>0</v>
      </c>
      <c r="F74">
        <f t="shared" si="23"/>
        <v>0</v>
      </c>
      <c r="G74">
        <f t="shared" si="24"/>
        <v>0</v>
      </c>
      <c r="H74">
        <f t="shared" si="25"/>
        <v>0</v>
      </c>
      <c r="I74">
        <f t="shared" si="26"/>
        <v>0</v>
      </c>
      <c r="J74">
        <f t="shared" si="27"/>
        <v>0</v>
      </c>
      <c r="K74">
        <f t="shared" si="18"/>
        <v>0</v>
      </c>
      <c r="L74">
        <f t="shared" si="18"/>
        <v>0</v>
      </c>
      <c r="M74">
        <f t="shared" si="20"/>
        <v>0</v>
      </c>
      <c r="N74" t="e">
        <f t="shared" si="21"/>
        <v>#REF!</v>
      </c>
    </row>
    <row r="75" spans="1:14">
      <c r="A75">
        <f t="shared" si="14"/>
        <v>270000</v>
      </c>
      <c r="B75">
        <f t="shared" si="22"/>
        <v>0</v>
      </c>
      <c r="C75">
        <f t="shared" si="23"/>
        <v>0</v>
      </c>
      <c r="D75">
        <f t="shared" si="23"/>
        <v>0</v>
      </c>
      <c r="E75">
        <f t="shared" si="23"/>
        <v>0</v>
      </c>
      <c r="F75">
        <f t="shared" si="23"/>
        <v>0</v>
      </c>
      <c r="G75">
        <f t="shared" si="24"/>
        <v>0</v>
      </c>
      <c r="H75">
        <f t="shared" si="25"/>
        <v>0</v>
      </c>
      <c r="I75">
        <f t="shared" si="26"/>
        <v>0</v>
      </c>
      <c r="J75">
        <f t="shared" si="27"/>
        <v>0</v>
      </c>
      <c r="K75">
        <f t="shared" si="18"/>
        <v>0</v>
      </c>
      <c r="L75">
        <f t="shared" si="18"/>
        <v>0</v>
      </c>
      <c r="M75">
        <f t="shared" si="20"/>
        <v>0</v>
      </c>
      <c r="N75" t="e">
        <f t="shared" si="21"/>
        <v>#REF!</v>
      </c>
    </row>
    <row r="76" spans="1:14">
      <c r="A76">
        <f t="shared" si="14"/>
        <v>330000</v>
      </c>
      <c r="B76">
        <f t="shared" si="22"/>
        <v>0</v>
      </c>
      <c r="C76">
        <f t="shared" si="23"/>
        <v>0</v>
      </c>
      <c r="D76">
        <f t="shared" si="23"/>
        <v>0</v>
      </c>
      <c r="E76">
        <f t="shared" si="23"/>
        <v>0</v>
      </c>
      <c r="F76">
        <f t="shared" si="23"/>
        <v>0</v>
      </c>
      <c r="G76">
        <f t="shared" si="24"/>
        <v>0</v>
      </c>
      <c r="H76">
        <f t="shared" si="25"/>
        <v>0</v>
      </c>
      <c r="I76">
        <f t="shared" si="26"/>
        <v>0</v>
      </c>
      <c r="J76">
        <f t="shared" si="27"/>
        <v>0</v>
      </c>
      <c r="K76">
        <f t="shared" si="18"/>
        <v>0</v>
      </c>
      <c r="L76">
        <f t="shared" si="18"/>
        <v>0</v>
      </c>
      <c r="M76">
        <f t="shared" si="20"/>
        <v>0</v>
      </c>
      <c r="N76" t="e">
        <f t="shared" si="21"/>
        <v>#REF!</v>
      </c>
    </row>
    <row r="77" spans="1:14">
      <c r="A77">
        <f t="shared" si="14"/>
        <v>390000</v>
      </c>
      <c r="B77">
        <f t="shared" si="22"/>
        <v>0</v>
      </c>
      <c r="C77">
        <f t="shared" si="23"/>
        <v>0</v>
      </c>
      <c r="D77">
        <f t="shared" si="23"/>
        <v>0</v>
      </c>
      <c r="E77">
        <f t="shared" si="23"/>
        <v>0</v>
      </c>
      <c r="F77">
        <f t="shared" si="23"/>
        <v>0</v>
      </c>
      <c r="G77">
        <f t="shared" si="24"/>
        <v>0</v>
      </c>
      <c r="H77">
        <f t="shared" si="25"/>
        <v>0</v>
      </c>
      <c r="I77">
        <f t="shared" si="26"/>
        <v>0</v>
      </c>
      <c r="J77">
        <f t="shared" si="27"/>
        <v>0</v>
      </c>
      <c r="K77">
        <f t="shared" si="18"/>
        <v>0</v>
      </c>
      <c r="L77">
        <f t="shared" si="18"/>
        <v>0</v>
      </c>
      <c r="M77">
        <f t="shared" si="20"/>
        <v>0</v>
      </c>
      <c r="N77" t="e">
        <f t="shared" si="21"/>
        <v>#REF!</v>
      </c>
    </row>
    <row r="78" spans="1:14">
      <c r="A78">
        <f t="shared" si="14"/>
        <v>470000</v>
      </c>
      <c r="B78">
        <f t="shared" si="22"/>
        <v>0</v>
      </c>
      <c r="C78">
        <f t="shared" si="23"/>
        <v>0</v>
      </c>
      <c r="D78">
        <f t="shared" si="23"/>
        <v>0</v>
      </c>
      <c r="E78">
        <f t="shared" si="23"/>
        <v>0</v>
      </c>
      <c r="F78">
        <f t="shared" si="23"/>
        <v>0</v>
      </c>
      <c r="G78">
        <f t="shared" si="24"/>
        <v>0</v>
      </c>
      <c r="H78">
        <f t="shared" si="25"/>
        <v>0</v>
      </c>
      <c r="I78">
        <f t="shared" si="26"/>
        <v>0</v>
      </c>
      <c r="J78">
        <f t="shared" si="27"/>
        <v>0</v>
      </c>
      <c r="K78">
        <f t="shared" si="18"/>
        <v>0</v>
      </c>
      <c r="L78">
        <f t="shared" si="18"/>
        <v>0</v>
      </c>
      <c r="M78">
        <f t="shared" si="20"/>
        <v>0</v>
      </c>
      <c r="N78" t="e">
        <f t="shared" si="21"/>
        <v>#REF!</v>
      </c>
    </row>
    <row r="79" spans="1:14">
      <c r="A79">
        <f t="shared" si="14"/>
        <v>560000</v>
      </c>
      <c r="B79">
        <f t="shared" si="22"/>
        <v>0</v>
      </c>
      <c r="C79">
        <f t="shared" si="23"/>
        <v>0</v>
      </c>
      <c r="D79">
        <f t="shared" si="23"/>
        <v>0</v>
      </c>
      <c r="E79">
        <f t="shared" si="23"/>
        <v>0</v>
      </c>
      <c r="F79">
        <f t="shared" si="23"/>
        <v>0</v>
      </c>
      <c r="G79">
        <f t="shared" si="24"/>
        <v>0</v>
      </c>
      <c r="H79">
        <f t="shared" si="25"/>
        <v>0</v>
      </c>
      <c r="I79">
        <f t="shared" si="26"/>
        <v>0</v>
      </c>
      <c r="J79">
        <f t="shared" si="27"/>
        <v>0</v>
      </c>
      <c r="K79">
        <f t="shared" si="18"/>
        <v>0</v>
      </c>
      <c r="L79">
        <f t="shared" si="18"/>
        <v>0</v>
      </c>
      <c r="M79">
        <f t="shared" si="20"/>
        <v>0</v>
      </c>
      <c r="N79" t="e">
        <f t="shared" si="21"/>
        <v>#REF!</v>
      </c>
    </row>
    <row r="80" spans="1:14">
      <c r="A80">
        <f t="shared" si="14"/>
        <v>680000</v>
      </c>
      <c r="B80">
        <f t="shared" si="22"/>
        <v>0</v>
      </c>
      <c r="C80">
        <f t="shared" si="23"/>
        <v>0</v>
      </c>
      <c r="D80">
        <f t="shared" si="23"/>
        <v>0</v>
      </c>
      <c r="E80">
        <f t="shared" si="23"/>
        <v>0</v>
      </c>
      <c r="F80">
        <f t="shared" si="23"/>
        <v>0</v>
      </c>
      <c r="G80">
        <f t="shared" si="24"/>
        <v>0</v>
      </c>
      <c r="H80">
        <f t="shared" si="25"/>
        <v>0</v>
      </c>
      <c r="I80">
        <f t="shared" si="26"/>
        <v>0</v>
      </c>
      <c r="J80">
        <f t="shared" si="27"/>
        <v>0</v>
      </c>
      <c r="K80">
        <f t="shared" si="18"/>
        <v>0</v>
      </c>
      <c r="L80">
        <f t="shared" si="18"/>
        <v>0</v>
      </c>
      <c r="M80">
        <f t="shared" si="20"/>
        <v>0</v>
      </c>
      <c r="N80" t="e">
        <f t="shared" si="21"/>
        <v>#REF!</v>
      </c>
    </row>
    <row r="81" spans="1:14">
      <c r="A81">
        <f t="shared" si="14"/>
        <v>820000</v>
      </c>
      <c r="B81">
        <f t="shared" si="22"/>
        <v>0</v>
      </c>
      <c r="C81">
        <f t="shared" si="23"/>
        <v>0</v>
      </c>
      <c r="D81">
        <f t="shared" si="23"/>
        <v>0</v>
      </c>
      <c r="E81">
        <f t="shared" si="23"/>
        <v>0</v>
      </c>
      <c r="F81">
        <f t="shared" si="23"/>
        <v>0</v>
      </c>
      <c r="G81">
        <f t="shared" si="24"/>
        <v>0</v>
      </c>
      <c r="H81">
        <f t="shared" si="25"/>
        <v>0</v>
      </c>
      <c r="I81">
        <f t="shared" si="26"/>
        <v>0</v>
      </c>
      <c r="J81">
        <f t="shared" si="27"/>
        <v>0</v>
      </c>
      <c r="K81">
        <f t="shared" si="18"/>
        <v>0</v>
      </c>
      <c r="L81">
        <f t="shared" si="18"/>
        <v>0</v>
      </c>
      <c r="M81">
        <f t="shared" si="20"/>
        <v>0</v>
      </c>
      <c r="N81" t="e">
        <f t="shared" si="21"/>
        <v>#REF!</v>
      </c>
    </row>
    <row r="82" spans="1:14">
      <c r="A82">
        <f t="shared" si="14"/>
        <v>1000000</v>
      </c>
      <c r="B82">
        <f t="shared" si="22"/>
        <v>0</v>
      </c>
      <c r="C82">
        <f t="shared" si="23"/>
        <v>0</v>
      </c>
      <c r="D82">
        <f t="shared" si="23"/>
        <v>0</v>
      </c>
      <c r="E82">
        <f t="shared" si="23"/>
        <v>0</v>
      </c>
      <c r="F82">
        <f t="shared" si="23"/>
        <v>0</v>
      </c>
      <c r="G82">
        <f t="shared" si="24"/>
        <v>0</v>
      </c>
      <c r="H82">
        <f t="shared" si="25"/>
        <v>0</v>
      </c>
      <c r="I82">
        <f t="shared" si="26"/>
        <v>0</v>
      </c>
      <c r="J82">
        <f t="shared" si="27"/>
        <v>0</v>
      </c>
      <c r="K82">
        <f t="shared" si="18"/>
        <v>0</v>
      </c>
      <c r="L82">
        <f t="shared" si="18"/>
        <v>0</v>
      </c>
      <c r="M82">
        <f t="shared" si="20"/>
        <v>0</v>
      </c>
      <c r="N82" t="e">
        <f t="shared" si="21"/>
        <v>#REF!</v>
      </c>
    </row>
    <row r="83" spans="1:14">
      <c r="A83">
        <f t="shared" si="14"/>
        <v>1200000</v>
      </c>
      <c r="B83">
        <f t="shared" si="22"/>
        <v>1200000</v>
      </c>
      <c r="C83">
        <f t="shared" si="23"/>
        <v>0</v>
      </c>
      <c r="D83">
        <f t="shared" si="23"/>
        <v>0</v>
      </c>
      <c r="E83">
        <f t="shared" si="23"/>
        <v>0</v>
      </c>
      <c r="F83">
        <f t="shared" si="23"/>
        <v>0</v>
      </c>
      <c r="G83">
        <f t="shared" si="24"/>
        <v>0</v>
      </c>
      <c r="H83">
        <f t="shared" si="25"/>
        <v>0</v>
      </c>
      <c r="I83">
        <f t="shared" si="26"/>
        <v>0</v>
      </c>
      <c r="J83">
        <f t="shared" si="27"/>
        <v>0</v>
      </c>
      <c r="K83">
        <f t="shared" si="18"/>
        <v>0</v>
      </c>
      <c r="L83">
        <f t="shared" si="18"/>
        <v>0</v>
      </c>
      <c r="M83">
        <f t="shared" si="20"/>
        <v>0</v>
      </c>
      <c r="N83" t="e">
        <f t="shared" si="21"/>
        <v>#REF!</v>
      </c>
    </row>
    <row r="84" spans="1:14">
      <c r="A84">
        <f t="shared" si="14"/>
        <v>1500000</v>
      </c>
      <c r="B84">
        <f t="shared" si="22"/>
        <v>0</v>
      </c>
      <c r="C84">
        <f t="shared" si="23"/>
        <v>0</v>
      </c>
      <c r="D84">
        <f t="shared" si="23"/>
        <v>0</v>
      </c>
      <c r="E84">
        <f t="shared" si="23"/>
        <v>0</v>
      </c>
      <c r="F84">
        <f t="shared" si="23"/>
        <v>0</v>
      </c>
      <c r="G84">
        <f t="shared" si="24"/>
        <v>0</v>
      </c>
      <c r="H84">
        <f t="shared" si="25"/>
        <v>0</v>
      </c>
      <c r="I84">
        <f t="shared" si="26"/>
        <v>0</v>
      </c>
      <c r="J84">
        <f t="shared" si="27"/>
        <v>0</v>
      </c>
      <c r="K84">
        <f t="shared" si="18"/>
        <v>0</v>
      </c>
      <c r="L84">
        <f t="shared" si="18"/>
        <v>0</v>
      </c>
      <c r="M84">
        <f t="shared" si="20"/>
        <v>0</v>
      </c>
      <c r="N84" t="e">
        <f t="shared" si="21"/>
        <v>#REF!</v>
      </c>
    </row>
    <row r="85" spans="1:14">
      <c r="A85">
        <f t="shared" si="14"/>
        <v>1800000</v>
      </c>
      <c r="B85">
        <f t="shared" si="22"/>
        <v>0</v>
      </c>
      <c r="C85">
        <f t="shared" si="23"/>
        <v>0</v>
      </c>
      <c r="D85">
        <f t="shared" si="23"/>
        <v>0</v>
      </c>
      <c r="E85">
        <f t="shared" si="23"/>
        <v>0</v>
      </c>
      <c r="F85">
        <f t="shared" si="23"/>
        <v>0</v>
      </c>
      <c r="G85">
        <f t="shared" si="24"/>
        <v>0</v>
      </c>
      <c r="H85">
        <f t="shared" si="25"/>
        <v>0</v>
      </c>
      <c r="I85">
        <f t="shared" si="26"/>
        <v>0</v>
      </c>
      <c r="J85">
        <f t="shared" si="27"/>
        <v>0</v>
      </c>
      <c r="K85">
        <f t="shared" si="18"/>
        <v>0</v>
      </c>
      <c r="L85">
        <f t="shared" si="18"/>
        <v>0</v>
      </c>
      <c r="M85">
        <f t="shared" si="20"/>
        <v>0</v>
      </c>
      <c r="N85" t="e">
        <f t="shared" si="21"/>
        <v>#REF!</v>
      </c>
    </row>
    <row r="86" spans="1:14">
      <c r="A86">
        <f t="shared" si="14"/>
        <v>2200000</v>
      </c>
      <c r="B86">
        <f t="shared" si="22"/>
        <v>0</v>
      </c>
      <c r="C86">
        <f t="shared" si="23"/>
        <v>0</v>
      </c>
      <c r="D86">
        <f t="shared" si="23"/>
        <v>0</v>
      </c>
      <c r="E86">
        <f t="shared" si="23"/>
        <v>0</v>
      </c>
      <c r="F86">
        <f t="shared" si="23"/>
        <v>0</v>
      </c>
      <c r="G86">
        <f t="shared" si="24"/>
        <v>0</v>
      </c>
      <c r="H86">
        <f t="shared" si="25"/>
        <v>0</v>
      </c>
      <c r="I86">
        <f t="shared" si="26"/>
        <v>0</v>
      </c>
      <c r="J86">
        <f t="shared" si="27"/>
        <v>0</v>
      </c>
      <c r="K86">
        <f t="shared" si="18"/>
        <v>0</v>
      </c>
      <c r="L86">
        <f t="shared" si="18"/>
        <v>0</v>
      </c>
      <c r="M86">
        <f t="shared" si="20"/>
        <v>0</v>
      </c>
      <c r="N86" t="e">
        <f t="shared" si="21"/>
        <v>#REF!</v>
      </c>
    </row>
    <row r="87" spans="1:14">
      <c r="A87">
        <f t="shared" si="14"/>
        <v>2700000</v>
      </c>
      <c r="B87">
        <f t="shared" si="22"/>
        <v>0</v>
      </c>
      <c r="C87">
        <f t="shared" si="23"/>
        <v>0</v>
      </c>
      <c r="D87">
        <f t="shared" si="23"/>
        <v>0</v>
      </c>
      <c r="E87">
        <f t="shared" si="23"/>
        <v>0</v>
      </c>
      <c r="F87">
        <f t="shared" si="23"/>
        <v>0</v>
      </c>
      <c r="G87">
        <f t="shared" si="24"/>
        <v>0</v>
      </c>
      <c r="H87">
        <f t="shared" si="25"/>
        <v>0</v>
      </c>
      <c r="I87">
        <f t="shared" si="26"/>
        <v>0</v>
      </c>
      <c r="J87">
        <f t="shared" si="27"/>
        <v>0</v>
      </c>
      <c r="K87">
        <f t="shared" si="18"/>
        <v>0</v>
      </c>
      <c r="L87">
        <f t="shared" si="18"/>
        <v>0</v>
      </c>
      <c r="M87">
        <f t="shared" si="20"/>
        <v>0</v>
      </c>
      <c r="N87" t="e">
        <f t="shared" si="21"/>
        <v>#REF!</v>
      </c>
    </row>
    <row r="88" spans="1:14">
      <c r="A88">
        <f t="shared" si="14"/>
        <v>3300000</v>
      </c>
      <c r="B88">
        <f t="shared" si="22"/>
        <v>0</v>
      </c>
      <c r="C88">
        <f t="shared" si="23"/>
        <v>0</v>
      </c>
      <c r="D88">
        <f t="shared" si="23"/>
        <v>0</v>
      </c>
      <c r="E88">
        <f t="shared" si="23"/>
        <v>0</v>
      </c>
      <c r="F88">
        <f t="shared" si="23"/>
        <v>0</v>
      </c>
      <c r="G88">
        <f t="shared" si="24"/>
        <v>0</v>
      </c>
      <c r="H88">
        <f t="shared" si="25"/>
        <v>0</v>
      </c>
      <c r="I88">
        <f t="shared" si="26"/>
        <v>0</v>
      </c>
      <c r="J88">
        <f t="shared" si="27"/>
        <v>0</v>
      </c>
      <c r="K88">
        <f t="shared" si="18"/>
        <v>0</v>
      </c>
      <c r="L88">
        <f t="shared" si="18"/>
        <v>0</v>
      </c>
      <c r="M88">
        <f t="shared" si="20"/>
        <v>0</v>
      </c>
      <c r="N88" t="e">
        <f t="shared" si="21"/>
        <v>#REF!</v>
      </c>
    </row>
    <row r="89" spans="1:14">
      <c r="A89">
        <f t="shared" si="14"/>
        <v>3900000</v>
      </c>
      <c r="B89">
        <f t="shared" si="22"/>
        <v>0</v>
      </c>
      <c r="C89">
        <f t="shared" si="23"/>
        <v>0</v>
      </c>
      <c r="D89">
        <f t="shared" si="23"/>
        <v>0</v>
      </c>
      <c r="E89">
        <f t="shared" si="23"/>
        <v>0</v>
      </c>
      <c r="F89">
        <f t="shared" si="23"/>
        <v>0</v>
      </c>
      <c r="G89">
        <f t="shared" si="24"/>
        <v>0</v>
      </c>
      <c r="H89">
        <f t="shared" si="25"/>
        <v>0</v>
      </c>
      <c r="I89">
        <f t="shared" si="26"/>
        <v>0</v>
      </c>
      <c r="J89">
        <f t="shared" si="27"/>
        <v>0</v>
      </c>
      <c r="K89">
        <f t="shared" si="18"/>
        <v>0</v>
      </c>
      <c r="L89">
        <f t="shared" si="18"/>
        <v>0</v>
      </c>
      <c r="M89">
        <f t="shared" si="20"/>
        <v>0</v>
      </c>
      <c r="N89" t="e">
        <f t="shared" si="21"/>
        <v>#REF!</v>
      </c>
    </row>
    <row r="90" spans="1:14">
      <c r="A90">
        <f t="shared" si="14"/>
        <v>4700000</v>
      </c>
      <c r="B90">
        <f t="shared" si="22"/>
        <v>0</v>
      </c>
      <c r="C90">
        <f t="shared" si="23"/>
        <v>0</v>
      </c>
      <c r="D90">
        <f t="shared" si="23"/>
        <v>0</v>
      </c>
      <c r="E90">
        <f t="shared" si="23"/>
        <v>0</v>
      </c>
      <c r="F90">
        <f t="shared" si="23"/>
        <v>0</v>
      </c>
      <c r="G90">
        <f t="shared" si="24"/>
        <v>0</v>
      </c>
      <c r="H90">
        <f t="shared" si="25"/>
        <v>0</v>
      </c>
      <c r="I90">
        <f t="shared" si="26"/>
        <v>0</v>
      </c>
      <c r="J90">
        <f t="shared" si="27"/>
        <v>0</v>
      </c>
      <c r="K90">
        <f t="shared" si="18"/>
        <v>0</v>
      </c>
      <c r="L90">
        <f t="shared" si="18"/>
        <v>0</v>
      </c>
      <c r="M90">
        <f t="shared" si="20"/>
        <v>0</v>
      </c>
      <c r="N90" t="e">
        <f t="shared" si="21"/>
        <v>#REF!</v>
      </c>
    </row>
    <row r="91" spans="1:14">
      <c r="A91">
        <f t="shared" si="14"/>
        <v>5600000</v>
      </c>
      <c r="B91">
        <f t="shared" si="22"/>
        <v>0</v>
      </c>
      <c r="C91">
        <f t="shared" si="23"/>
        <v>0</v>
      </c>
      <c r="D91">
        <f t="shared" si="23"/>
        <v>0</v>
      </c>
      <c r="E91">
        <f t="shared" si="23"/>
        <v>0</v>
      </c>
      <c r="F91">
        <f t="shared" si="23"/>
        <v>0</v>
      </c>
      <c r="G91">
        <f t="shared" si="24"/>
        <v>0</v>
      </c>
      <c r="H91">
        <f t="shared" si="25"/>
        <v>0</v>
      </c>
      <c r="I91">
        <f t="shared" si="26"/>
        <v>0</v>
      </c>
      <c r="J91">
        <f t="shared" si="27"/>
        <v>0</v>
      </c>
      <c r="K91">
        <f t="shared" si="18"/>
        <v>0</v>
      </c>
      <c r="L91">
        <f t="shared" si="18"/>
        <v>0</v>
      </c>
      <c r="M91">
        <f t="shared" si="20"/>
        <v>0</v>
      </c>
      <c r="N91" t="e">
        <f t="shared" si="21"/>
        <v>#REF!</v>
      </c>
    </row>
    <row r="92" spans="1:14">
      <c r="A92">
        <f t="shared" si="14"/>
        <v>6800000</v>
      </c>
      <c r="B92">
        <f t="shared" si="22"/>
        <v>0</v>
      </c>
      <c r="C92">
        <f t="shared" si="23"/>
        <v>0</v>
      </c>
      <c r="D92">
        <f t="shared" si="23"/>
        <v>0</v>
      </c>
      <c r="E92">
        <f t="shared" si="23"/>
        <v>0</v>
      </c>
      <c r="F92">
        <f t="shared" si="23"/>
        <v>0</v>
      </c>
      <c r="G92">
        <f t="shared" si="24"/>
        <v>0</v>
      </c>
      <c r="H92">
        <f t="shared" si="25"/>
        <v>0</v>
      </c>
      <c r="I92">
        <f t="shared" si="26"/>
        <v>0</v>
      </c>
      <c r="J92">
        <f t="shared" si="27"/>
        <v>0</v>
      </c>
      <c r="K92">
        <f t="shared" si="18"/>
        <v>0</v>
      </c>
      <c r="L92">
        <f t="shared" si="18"/>
        <v>0</v>
      </c>
      <c r="M92">
        <f t="shared" si="20"/>
        <v>0</v>
      </c>
      <c r="N92" t="e">
        <f t="shared" si="21"/>
        <v>#REF!</v>
      </c>
    </row>
    <row r="93" spans="1:14">
      <c r="A93">
        <f t="shared" si="14"/>
        <v>8200000</v>
      </c>
      <c r="B93">
        <f t="shared" si="22"/>
        <v>0</v>
      </c>
      <c r="C93">
        <f t="shared" si="23"/>
        <v>0</v>
      </c>
      <c r="D93">
        <f t="shared" si="23"/>
        <v>0</v>
      </c>
      <c r="E93">
        <f t="shared" si="23"/>
        <v>0</v>
      </c>
      <c r="F93">
        <f t="shared" si="23"/>
        <v>0</v>
      </c>
      <c r="G93">
        <f t="shared" si="24"/>
        <v>0</v>
      </c>
      <c r="H93">
        <f t="shared" si="25"/>
        <v>0</v>
      </c>
      <c r="I93">
        <f t="shared" si="26"/>
        <v>0</v>
      </c>
      <c r="J93">
        <f t="shared" si="27"/>
        <v>0</v>
      </c>
      <c r="K93">
        <f t="shared" si="18"/>
        <v>0</v>
      </c>
      <c r="L93">
        <f t="shared" si="18"/>
        <v>0</v>
      </c>
      <c r="M93">
        <f t="shared" si="20"/>
        <v>0</v>
      </c>
      <c r="N93" t="e">
        <f t="shared" si="21"/>
        <v>#REF!</v>
      </c>
    </row>
    <row r="94" spans="1:14">
      <c r="A94">
        <f t="shared" si="14"/>
        <v>10000000</v>
      </c>
      <c r="B94">
        <f t="shared" si="22"/>
        <v>0</v>
      </c>
      <c r="C94">
        <f t="shared" si="23"/>
        <v>0</v>
      </c>
      <c r="D94">
        <f t="shared" si="23"/>
        <v>0</v>
      </c>
      <c r="E94">
        <f t="shared" si="23"/>
        <v>0</v>
      </c>
      <c r="F94">
        <f t="shared" si="23"/>
        <v>0</v>
      </c>
      <c r="G94">
        <f t="shared" si="24"/>
        <v>0</v>
      </c>
      <c r="H94">
        <f t="shared" si="25"/>
        <v>0</v>
      </c>
      <c r="I94">
        <f t="shared" si="26"/>
        <v>0</v>
      </c>
      <c r="J94">
        <f t="shared" si="27"/>
        <v>0</v>
      </c>
      <c r="K94">
        <f t="shared" si="18"/>
        <v>0</v>
      </c>
      <c r="L94">
        <f t="shared" si="18"/>
        <v>0</v>
      </c>
      <c r="M94">
        <f t="shared" si="20"/>
        <v>0</v>
      </c>
      <c r="N94" t="e">
        <f t="shared" si="21"/>
        <v>#REF!</v>
      </c>
    </row>
    <row r="95" spans="1:14">
      <c r="A95">
        <f t="shared" si="14"/>
        <v>12000000</v>
      </c>
      <c r="B95">
        <f t="shared" si="22"/>
        <v>0</v>
      </c>
      <c r="C95">
        <f t="shared" si="23"/>
        <v>0</v>
      </c>
      <c r="D95">
        <f t="shared" si="23"/>
        <v>0</v>
      </c>
      <c r="E95">
        <f t="shared" si="23"/>
        <v>0</v>
      </c>
      <c r="F95">
        <f t="shared" si="23"/>
        <v>0</v>
      </c>
      <c r="G95">
        <f t="shared" si="24"/>
        <v>0</v>
      </c>
      <c r="H95">
        <f t="shared" si="25"/>
        <v>0</v>
      </c>
      <c r="I95">
        <f t="shared" si="26"/>
        <v>0</v>
      </c>
      <c r="J95">
        <f t="shared" si="27"/>
        <v>0</v>
      </c>
      <c r="K95">
        <f t="shared" si="18"/>
        <v>0</v>
      </c>
      <c r="L95">
        <f t="shared" si="18"/>
        <v>0</v>
      </c>
      <c r="M95">
        <f t="shared" si="20"/>
        <v>0</v>
      </c>
      <c r="N95" t="e">
        <f t="shared" si="21"/>
        <v>#REF!</v>
      </c>
    </row>
    <row r="96" spans="1:14">
      <c r="A96">
        <f t="shared" si="14"/>
        <v>15000000</v>
      </c>
      <c r="B96">
        <f t="shared" si="22"/>
        <v>0</v>
      </c>
      <c r="C96">
        <f t="shared" si="23"/>
        <v>0</v>
      </c>
      <c r="D96">
        <f t="shared" si="23"/>
        <v>0</v>
      </c>
      <c r="E96">
        <f t="shared" si="23"/>
        <v>0</v>
      </c>
      <c r="F96">
        <f t="shared" si="23"/>
        <v>0</v>
      </c>
      <c r="G96">
        <f t="shared" si="24"/>
        <v>0</v>
      </c>
      <c r="H96">
        <f t="shared" si="25"/>
        <v>0</v>
      </c>
      <c r="I96">
        <f t="shared" si="26"/>
        <v>0</v>
      </c>
      <c r="J96">
        <f t="shared" si="27"/>
        <v>0</v>
      </c>
      <c r="K96">
        <f t="shared" si="18"/>
        <v>0</v>
      </c>
      <c r="L96">
        <f t="shared" si="18"/>
        <v>0</v>
      </c>
      <c r="M96">
        <f t="shared" si="20"/>
        <v>0</v>
      </c>
      <c r="N96" t="e">
        <f t="shared" si="21"/>
        <v>#REF!</v>
      </c>
    </row>
    <row r="97" spans="1:14">
      <c r="A97">
        <f t="shared" si="14"/>
        <v>18000000</v>
      </c>
      <c r="B97">
        <f t="shared" si="22"/>
        <v>0</v>
      </c>
      <c r="C97">
        <f t="shared" si="23"/>
        <v>0</v>
      </c>
      <c r="D97">
        <f t="shared" si="23"/>
        <v>0</v>
      </c>
      <c r="E97">
        <f t="shared" si="23"/>
        <v>0</v>
      </c>
      <c r="F97">
        <f t="shared" si="23"/>
        <v>0</v>
      </c>
      <c r="G97">
        <f t="shared" si="24"/>
        <v>0</v>
      </c>
      <c r="H97">
        <f t="shared" si="25"/>
        <v>0</v>
      </c>
      <c r="I97">
        <f t="shared" si="26"/>
        <v>0</v>
      </c>
      <c r="J97">
        <f t="shared" si="27"/>
        <v>0</v>
      </c>
      <c r="K97">
        <f t="shared" si="18"/>
        <v>0</v>
      </c>
      <c r="L97">
        <f t="shared" si="18"/>
        <v>0</v>
      </c>
      <c r="M97">
        <f t="shared" si="20"/>
        <v>0</v>
      </c>
      <c r="N97" t="e">
        <f t="shared" si="21"/>
        <v>#REF!</v>
      </c>
    </row>
    <row r="98" spans="1:14">
      <c r="A98">
        <f t="shared" si="14"/>
        <v>22000000</v>
      </c>
      <c r="B98">
        <f t="shared" si="22"/>
        <v>0</v>
      </c>
      <c r="C98">
        <f t="shared" si="23"/>
        <v>0</v>
      </c>
      <c r="D98">
        <f t="shared" si="23"/>
        <v>0</v>
      </c>
      <c r="E98">
        <f t="shared" si="23"/>
        <v>0</v>
      </c>
      <c r="F98">
        <f t="shared" si="23"/>
        <v>0</v>
      </c>
      <c r="G98">
        <f t="shared" si="24"/>
        <v>0</v>
      </c>
      <c r="H98">
        <f t="shared" si="25"/>
        <v>0</v>
      </c>
      <c r="I98">
        <f t="shared" si="26"/>
        <v>0</v>
      </c>
      <c r="J98">
        <f t="shared" si="27"/>
        <v>0</v>
      </c>
      <c r="K98">
        <f t="shared" si="18"/>
        <v>0</v>
      </c>
      <c r="L98">
        <f t="shared" si="18"/>
        <v>0</v>
      </c>
      <c r="M98">
        <f t="shared" si="20"/>
        <v>0</v>
      </c>
      <c r="N98" t="e">
        <f t="shared" si="21"/>
        <v>#REF!</v>
      </c>
    </row>
    <row r="99" spans="1:14">
      <c r="A99">
        <f t="shared" ref="A99:A159" si="28">A87*10</f>
        <v>27000000</v>
      </c>
      <c r="B99">
        <f t="shared" si="22"/>
        <v>0</v>
      </c>
      <c r="C99">
        <f t="shared" si="23"/>
        <v>0</v>
      </c>
      <c r="D99">
        <f t="shared" si="23"/>
        <v>0</v>
      </c>
      <c r="E99">
        <f t="shared" si="23"/>
        <v>0</v>
      </c>
      <c r="F99">
        <f t="shared" si="23"/>
        <v>0</v>
      </c>
      <c r="G99">
        <f t="shared" si="24"/>
        <v>0</v>
      </c>
      <c r="H99">
        <f t="shared" si="25"/>
        <v>0</v>
      </c>
      <c r="I99">
        <f t="shared" si="26"/>
        <v>0</v>
      </c>
      <c r="J99">
        <f t="shared" si="27"/>
        <v>0</v>
      </c>
      <c r="K99">
        <f t="shared" si="18"/>
        <v>0</v>
      </c>
      <c r="L99">
        <f t="shared" si="18"/>
        <v>0</v>
      </c>
      <c r="M99">
        <f t="shared" si="20"/>
        <v>0</v>
      </c>
      <c r="N99" t="e">
        <f t="shared" si="21"/>
        <v>#REF!</v>
      </c>
    </row>
    <row r="100" spans="1:14">
      <c r="A100">
        <f t="shared" si="28"/>
        <v>33000000</v>
      </c>
      <c r="B100">
        <f t="shared" si="22"/>
        <v>0</v>
      </c>
      <c r="C100">
        <f t="shared" si="23"/>
        <v>0</v>
      </c>
      <c r="D100">
        <f t="shared" si="23"/>
        <v>0</v>
      </c>
      <c r="E100">
        <f t="shared" si="23"/>
        <v>0</v>
      </c>
      <c r="F100">
        <f t="shared" si="23"/>
        <v>0</v>
      </c>
      <c r="G100">
        <f t="shared" si="24"/>
        <v>0</v>
      </c>
      <c r="H100">
        <f t="shared" si="25"/>
        <v>0</v>
      </c>
      <c r="I100">
        <f t="shared" si="26"/>
        <v>0</v>
      </c>
      <c r="J100">
        <f t="shared" si="27"/>
        <v>0</v>
      </c>
      <c r="K100">
        <f t="shared" si="18"/>
        <v>0</v>
      </c>
      <c r="L100">
        <f t="shared" si="18"/>
        <v>0</v>
      </c>
      <c r="M100">
        <f t="shared" si="20"/>
        <v>0</v>
      </c>
      <c r="N100" t="e">
        <f t="shared" si="21"/>
        <v>#REF!</v>
      </c>
    </row>
    <row r="101" spans="1:14">
      <c r="A101">
        <f t="shared" si="28"/>
        <v>39000000</v>
      </c>
      <c r="B101">
        <f t="shared" si="22"/>
        <v>0</v>
      </c>
      <c r="C101">
        <f t="shared" si="23"/>
        <v>0</v>
      </c>
      <c r="D101">
        <f t="shared" si="23"/>
        <v>0</v>
      </c>
      <c r="E101">
        <f t="shared" si="23"/>
        <v>0</v>
      </c>
      <c r="F101">
        <f t="shared" si="23"/>
        <v>0</v>
      </c>
      <c r="G101">
        <f t="shared" si="24"/>
        <v>0</v>
      </c>
      <c r="H101">
        <f t="shared" si="25"/>
        <v>0</v>
      </c>
      <c r="I101">
        <f t="shared" si="26"/>
        <v>0</v>
      </c>
      <c r="J101">
        <f t="shared" si="27"/>
        <v>0</v>
      </c>
      <c r="K101">
        <f t="shared" si="18"/>
        <v>0</v>
      </c>
      <c r="L101">
        <f t="shared" si="18"/>
        <v>0</v>
      </c>
      <c r="M101">
        <f t="shared" si="20"/>
        <v>0</v>
      </c>
      <c r="N101" t="e">
        <f t="shared" si="21"/>
        <v>#REF!</v>
      </c>
    </row>
    <row r="102" spans="1:14">
      <c r="A102">
        <f t="shared" si="28"/>
        <v>47000000</v>
      </c>
      <c r="B102">
        <f t="shared" si="22"/>
        <v>0</v>
      </c>
      <c r="C102">
        <f t="shared" si="23"/>
        <v>0</v>
      </c>
      <c r="D102">
        <f t="shared" si="23"/>
        <v>0</v>
      </c>
      <c r="E102">
        <f t="shared" si="23"/>
        <v>0</v>
      </c>
      <c r="F102">
        <f t="shared" si="23"/>
        <v>0</v>
      </c>
      <c r="G102">
        <f t="shared" si="24"/>
        <v>0</v>
      </c>
      <c r="H102">
        <f t="shared" si="25"/>
        <v>0</v>
      </c>
      <c r="I102">
        <f t="shared" si="26"/>
        <v>0</v>
      </c>
      <c r="J102">
        <f t="shared" si="27"/>
        <v>0</v>
      </c>
      <c r="K102">
        <f t="shared" si="18"/>
        <v>0</v>
      </c>
      <c r="L102">
        <f t="shared" si="18"/>
        <v>0</v>
      </c>
      <c r="M102">
        <f t="shared" ref="M102:M133" si="29">IF(IF((M$3*10^12-$A103)*(M$3*10^12-$A102)*-1&lt;0,0,1)*IF(ABS(M$3*10^12-$A103)&gt;(M$3*10^12-$A102),$A102,$A103)=M103,0,IF((M$3*10^12-$A103)*(M$3*10^12-$A102)*-1&lt;0,0,1)*IF(ABS(M$3*10^12-$A103)&gt;(M$3*10^12-$A102),$A102,$A103))</f>
        <v>0</v>
      </c>
      <c r="N102" t="e">
        <f t="shared" ref="N102:N133" si="30">IF(IF((N$3*10^12-$A103)*(N$3*10^12-$A102)*-1&lt;0,0,1)*IF(ABS(N$3*10^12-$A103)&gt;(N$3*10^12-$A102),$A102,$A103)=N103,0,IF((N$3*10^12-$A103)*(N$3*10^12-$A102)*-1&lt;0,0,1)*IF(ABS(N$3*10^12-$A103)&gt;(N$3*10^12-$A102),$A102,$A103))</f>
        <v>#REF!</v>
      </c>
    </row>
    <row r="103" spans="1:14">
      <c r="A103">
        <f t="shared" si="28"/>
        <v>56000000</v>
      </c>
      <c r="B103">
        <f t="shared" si="22"/>
        <v>0</v>
      </c>
      <c r="C103">
        <f t="shared" si="23"/>
        <v>0</v>
      </c>
      <c r="D103">
        <f t="shared" si="23"/>
        <v>0</v>
      </c>
      <c r="E103">
        <f t="shared" si="23"/>
        <v>0</v>
      </c>
      <c r="F103">
        <f t="shared" si="23"/>
        <v>0</v>
      </c>
      <c r="G103">
        <f t="shared" ref="G103:G134" si="31">IF(IF((G$3*10^12-$A104)*(G$3*10^12-$A103)*-1&lt;0,0,1)*IF(ABS(G$3*10^12-$A104)&gt;(G$3*10^12-$A103),$A103,$A104)=G104,0,IF((G$3*10^12-$A104)*(G$3*10^12-$A103)*-1&lt;0,0,1)*IF(ABS(G$3*10^12-$A104)&gt;(G$3*10^12-$A103),$A103,$A104))</f>
        <v>0</v>
      </c>
      <c r="H103">
        <f t="shared" ref="H103:H134" si="32">IF(IF((H$3*10^12-$A104)*(H$3*10^12-$A103)*-1&lt;0,0,1)*IF(ABS(H$3*10^12-$A104)&gt;(H$3*10^12-$A103),$A103,$A104)=H104,0,IF((H$3*10^12-$A104)*(H$3*10^12-$A103)*-1&lt;0,0,1)*IF(ABS(H$3*10^12-$A104)&gt;(H$3*10^12-$A103),$A103,$A104))</f>
        <v>0</v>
      </c>
      <c r="I103">
        <f t="shared" ref="I103:I134" si="33">IF(IF((I$3*10^12-$A104)*(I$3*10^12-$A103)*-1&lt;0,0,1)*IF(ABS(I$3*10^12-$A104)&gt;(I$3*10^12-$A103),$A103,$A104)=I104,0,IF((I$3*10^12-$A104)*(I$3*10^12-$A103)*-1&lt;0,0,1)*IF(ABS(I$3*10^12-$A104)&gt;(I$3*10^12-$A103),$A103,$A104))</f>
        <v>0</v>
      </c>
      <c r="J103">
        <f t="shared" ref="J103:J134" si="34">IF(IF((J$3*10^12-$A104)*(J$3*10^12-$A103)*-1&lt;0,0,1)*IF(ABS(J$3*10^12-$A104)&gt;(J$3*10^12-$A103),$A103,$A104)=J104,0,IF((J$3*10^12-$A104)*(J$3*10^12-$A103)*-1&lt;0,0,1)*IF(ABS(J$3*10^12-$A104)&gt;(J$3*10^12-$A103),$A103,$A104))</f>
        <v>0</v>
      </c>
      <c r="K103">
        <f t="shared" si="18"/>
        <v>0</v>
      </c>
      <c r="L103">
        <f t="shared" si="18"/>
        <v>0</v>
      </c>
      <c r="M103">
        <f t="shared" si="29"/>
        <v>0</v>
      </c>
      <c r="N103" t="e">
        <f t="shared" si="30"/>
        <v>#REF!</v>
      </c>
    </row>
    <row r="104" spans="1:14">
      <c r="A104">
        <f t="shared" si="28"/>
        <v>68000000</v>
      </c>
      <c r="B104">
        <f t="shared" si="22"/>
        <v>0</v>
      </c>
      <c r="C104">
        <f t="shared" si="23"/>
        <v>0</v>
      </c>
      <c r="D104">
        <f t="shared" si="23"/>
        <v>0</v>
      </c>
      <c r="E104">
        <f t="shared" si="23"/>
        <v>0</v>
      </c>
      <c r="F104">
        <f t="shared" si="23"/>
        <v>0</v>
      </c>
      <c r="G104">
        <f t="shared" si="31"/>
        <v>0</v>
      </c>
      <c r="H104">
        <f t="shared" si="32"/>
        <v>0</v>
      </c>
      <c r="I104">
        <f t="shared" si="33"/>
        <v>0</v>
      </c>
      <c r="J104">
        <f t="shared" si="34"/>
        <v>0</v>
      </c>
      <c r="K104">
        <f t="shared" si="18"/>
        <v>0</v>
      </c>
      <c r="L104">
        <f t="shared" si="18"/>
        <v>0</v>
      </c>
      <c r="M104">
        <f t="shared" si="29"/>
        <v>0</v>
      </c>
      <c r="N104" t="e">
        <f t="shared" si="30"/>
        <v>#REF!</v>
      </c>
    </row>
    <row r="105" spans="1:14">
      <c r="A105">
        <f t="shared" si="28"/>
        <v>82000000</v>
      </c>
      <c r="B105">
        <f t="shared" si="22"/>
        <v>0</v>
      </c>
      <c r="C105">
        <f t="shared" si="23"/>
        <v>0</v>
      </c>
      <c r="D105">
        <f t="shared" si="23"/>
        <v>0</v>
      </c>
      <c r="E105">
        <f t="shared" si="23"/>
        <v>0</v>
      </c>
      <c r="F105">
        <f t="shared" si="23"/>
        <v>0</v>
      </c>
      <c r="G105">
        <f t="shared" si="31"/>
        <v>0</v>
      </c>
      <c r="H105">
        <f t="shared" si="32"/>
        <v>0</v>
      </c>
      <c r="I105">
        <f t="shared" si="33"/>
        <v>0</v>
      </c>
      <c r="J105">
        <f t="shared" si="34"/>
        <v>0</v>
      </c>
      <c r="K105">
        <f t="shared" si="18"/>
        <v>0</v>
      </c>
      <c r="L105">
        <f t="shared" si="18"/>
        <v>0</v>
      </c>
      <c r="M105">
        <f t="shared" si="29"/>
        <v>0</v>
      </c>
      <c r="N105" t="e">
        <f t="shared" si="30"/>
        <v>#REF!</v>
      </c>
    </row>
    <row r="106" spans="1:14">
      <c r="A106">
        <f t="shared" si="28"/>
        <v>100000000</v>
      </c>
      <c r="B106">
        <f t="shared" si="22"/>
        <v>0</v>
      </c>
      <c r="C106">
        <f t="shared" si="23"/>
        <v>0</v>
      </c>
      <c r="D106">
        <f t="shared" si="23"/>
        <v>0</v>
      </c>
      <c r="E106">
        <f t="shared" si="23"/>
        <v>0</v>
      </c>
      <c r="F106">
        <f t="shared" si="23"/>
        <v>0</v>
      </c>
      <c r="G106">
        <f t="shared" si="31"/>
        <v>0</v>
      </c>
      <c r="H106">
        <f t="shared" si="32"/>
        <v>0</v>
      </c>
      <c r="I106">
        <f t="shared" si="33"/>
        <v>0</v>
      </c>
      <c r="J106">
        <f t="shared" si="34"/>
        <v>0</v>
      </c>
      <c r="K106">
        <f t="shared" si="18"/>
        <v>0</v>
      </c>
      <c r="L106">
        <f t="shared" si="18"/>
        <v>0</v>
      </c>
      <c r="M106">
        <f t="shared" si="29"/>
        <v>0</v>
      </c>
      <c r="N106" t="e">
        <f t="shared" si="30"/>
        <v>#REF!</v>
      </c>
    </row>
    <row r="107" spans="1:14">
      <c r="A107">
        <f t="shared" si="28"/>
        <v>120000000</v>
      </c>
      <c r="B107">
        <f t="shared" si="22"/>
        <v>0</v>
      </c>
      <c r="C107">
        <f t="shared" si="23"/>
        <v>0</v>
      </c>
      <c r="D107">
        <f t="shared" si="23"/>
        <v>0</v>
      </c>
      <c r="E107">
        <f t="shared" si="23"/>
        <v>0</v>
      </c>
      <c r="F107">
        <f t="shared" si="23"/>
        <v>0</v>
      </c>
      <c r="G107">
        <f t="shared" si="31"/>
        <v>0</v>
      </c>
      <c r="H107">
        <f t="shared" si="32"/>
        <v>0</v>
      </c>
      <c r="I107">
        <f t="shared" si="33"/>
        <v>0</v>
      </c>
      <c r="J107">
        <f t="shared" si="34"/>
        <v>0</v>
      </c>
      <c r="K107">
        <f t="shared" si="18"/>
        <v>0</v>
      </c>
      <c r="L107">
        <f t="shared" si="18"/>
        <v>0</v>
      </c>
      <c r="M107">
        <f t="shared" si="29"/>
        <v>0</v>
      </c>
      <c r="N107" t="e">
        <f t="shared" si="30"/>
        <v>#REF!</v>
      </c>
    </row>
    <row r="108" spans="1:14">
      <c r="A108">
        <f t="shared" si="28"/>
        <v>150000000</v>
      </c>
      <c r="B108">
        <f t="shared" si="22"/>
        <v>0</v>
      </c>
      <c r="C108">
        <f t="shared" si="23"/>
        <v>0</v>
      </c>
      <c r="D108">
        <f t="shared" si="23"/>
        <v>0</v>
      </c>
      <c r="E108">
        <f t="shared" si="23"/>
        <v>0</v>
      </c>
      <c r="F108">
        <f t="shared" si="23"/>
        <v>0</v>
      </c>
      <c r="G108">
        <f t="shared" si="31"/>
        <v>0</v>
      </c>
      <c r="H108">
        <f t="shared" si="32"/>
        <v>0</v>
      </c>
      <c r="I108">
        <f t="shared" si="33"/>
        <v>0</v>
      </c>
      <c r="J108">
        <f t="shared" si="34"/>
        <v>0</v>
      </c>
      <c r="K108">
        <f t="shared" si="18"/>
        <v>0</v>
      </c>
      <c r="L108">
        <f t="shared" si="18"/>
        <v>0</v>
      </c>
      <c r="M108">
        <f t="shared" si="29"/>
        <v>0</v>
      </c>
      <c r="N108" t="e">
        <f t="shared" si="30"/>
        <v>#REF!</v>
      </c>
    </row>
    <row r="109" spans="1:14">
      <c r="A109">
        <f t="shared" si="28"/>
        <v>180000000</v>
      </c>
      <c r="B109">
        <f t="shared" si="22"/>
        <v>0</v>
      </c>
      <c r="C109">
        <f t="shared" si="23"/>
        <v>0</v>
      </c>
      <c r="D109">
        <f t="shared" si="23"/>
        <v>0</v>
      </c>
      <c r="E109">
        <f t="shared" si="23"/>
        <v>0</v>
      </c>
      <c r="F109">
        <f t="shared" si="23"/>
        <v>0</v>
      </c>
      <c r="G109">
        <f t="shared" si="31"/>
        <v>0</v>
      </c>
      <c r="H109">
        <f t="shared" si="32"/>
        <v>0</v>
      </c>
      <c r="I109">
        <f t="shared" si="33"/>
        <v>0</v>
      </c>
      <c r="J109">
        <f t="shared" si="34"/>
        <v>0</v>
      </c>
      <c r="K109">
        <f t="shared" si="18"/>
        <v>0</v>
      </c>
      <c r="L109">
        <f t="shared" si="18"/>
        <v>0</v>
      </c>
      <c r="M109">
        <f t="shared" si="29"/>
        <v>0</v>
      </c>
      <c r="N109" t="e">
        <f t="shared" si="30"/>
        <v>#REF!</v>
      </c>
    </row>
    <row r="110" spans="1:14">
      <c r="A110">
        <f t="shared" si="28"/>
        <v>220000000</v>
      </c>
      <c r="B110">
        <f t="shared" si="22"/>
        <v>0</v>
      </c>
      <c r="C110">
        <f t="shared" si="23"/>
        <v>0</v>
      </c>
      <c r="D110">
        <f t="shared" si="23"/>
        <v>0</v>
      </c>
      <c r="E110">
        <f t="shared" si="23"/>
        <v>0</v>
      </c>
      <c r="F110">
        <f t="shared" si="23"/>
        <v>0</v>
      </c>
      <c r="G110">
        <f t="shared" si="31"/>
        <v>270000000</v>
      </c>
      <c r="H110">
        <f t="shared" si="32"/>
        <v>0</v>
      </c>
      <c r="I110">
        <f t="shared" si="33"/>
        <v>0</v>
      </c>
      <c r="J110">
        <f t="shared" si="34"/>
        <v>0</v>
      </c>
      <c r="K110">
        <f t="shared" si="18"/>
        <v>0</v>
      </c>
      <c r="L110">
        <f t="shared" si="18"/>
        <v>0</v>
      </c>
      <c r="M110">
        <f t="shared" si="29"/>
        <v>0</v>
      </c>
      <c r="N110" t="e">
        <f t="shared" si="30"/>
        <v>#REF!</v>
      </c>
    </row>
    <row r="111" spans="1:14">
      <c r="A111">
        <f t="shared" si="28"/>
        <v>270000000</v>
      </c>
      <c r="B111">
        <f t="shared" si="22"/>
        <v>0</v>
      </c>
      <c r="C111">
        <f t="shared" si="23"/>
        <v>0</v>
      </c>
      <c r="D111">
        <f t="shared" si="23"/>
        <v>0</v>
      </c>
      <c r="E111">
        <f t="shared" si="23"/>
        <v>0</v>
      </c>
      <c r="F111">
        <f t="shared" si="23"/>
        <v>0</v>
      </c>
      <c r="G111">
        <f t="shared" si="31"/>
        <v>0</v>
      </c>
      <c r="H111">
        <f t="shared" si="32"/>
        <v>0</v>
      </c>
      <c r="I111">
        <f t="shared" si="33"/>
        <v>0</v>
      </c>
      <c r="J111">
        <f t="shared" si="34"/>
        <v>0</v>
      </c>
      <c r="K111">
        <f t="shared" si="18"/>
        <v>0</v>
      </c>
      <c r="L111">
        <f t="shared" si="18"/>
        <v>0</v>
      </c>
      <c r="M111">
        <f t="shared" si="29"/>
        <v>0</v>
      </c>
      <c r="N111" t="e">
        <f t="shared" si="30"/>
        <v>#REF!</v>
      </c>
    </row>
    <row r="112" spans="1:14">
      <c r="A112">
        <f t="shared" si="28"/>
        <v>330000000</v>
      </c>
      <c r="B112">
        <f t="shared" si="22"/>
        <v>0</v>
      </c>
      <c r="C112">
        <f t="shared" si="23"/>
        <v>0</v>
      </c>
      <c r="D112">
        <f t="shared" si="23"/>
        <v>0</v>
      </c>
      <c r="E112">
        <f t="shared" si="23"/>
        <v>0</v>
      </c>
      <c r="F112">
        <f t="shared" si="23"/>
        <v>0</v>
      </c>
      <c r="G112">
        <f t="shared" si="31"/>
        <v>0</v>
      </c>
      <c r="H112">
        <f t="shared" si="32"/>
        <v>0</v>
      </c>
      <c r="I112">
        <f t="shared" si="33"/>
        <v>0</v>
      </c>
      <c r="J112">
        <f t="shared" si="34"/>
        <v>0</v>
      </c>
      <c r="K112">
        <f t="shared" si="18"/>
        <v>0</v>
      </c>
      <c r="L112">
        <f t="shared" si="18"/>
        <v>0</v>
      </c>
      <c r="M112">
        <f t="shared" si="29"/>
        <v>0</v>
      </c>
      <c r="N112" t="e">
        <f t="shared" si="30"/>
        <v>#REF!</v>
      </c>
    </row>
    <row r="113" spans="1:14">
      <c r="A113">
        <f t="shared" si="28"/>
        <v>390000000</v>
      </c>
      <c r="B113">
        <f t="shared" si="22"/>
        <v>0</v>
      </c>
      <c r="C113">
        <f t="shared" si="23"/>
        <v>0</v>
      </c>
      <c r="D113">
        <f t="shared" si="23"/>
        <v>0</v>
      </c>
      <c r="E113">
        <f t="shared" si="23"/>
        <v>0</v>
      </c>
      <c r="F113">
        <f t="shared" si="23"/>
        <v>0</v>
      </c>
      <c r="G113">
        <f t="shared" si="31"/>
        <v>0</v>
      </c>
      <c r="H113">
        <f t="shared" si="32"/>
        <v>0</v>
      </c>
      <c r="I113">
        <f t="shared" si="33"/>
        <v>0</v>
      </c>
      <c r="J113">
        <f t="shared" si="34"/>
        <v>0</v>
      </c>
      <c r="K113">
        <f t="shared" si="18"/>
        <v>0</v>
      </c>
      <c r="L113">
        <f t="shared" si="18"/>
        <v>0</v>
      </c>
      <c r="M113">
        <f t="shared" si="29"/>
        <v>0</v>
      </c>
      <c r="N113" t="e">
        <f t="shared" si="30"/>
        <v>#REF!</v>
      </c>
    </row>
    <row r="114" spans="1:14">
      <c r="A114">
        <f t="shared" si="28"/>
        <v>470000000</v>
      </c>
      <c r="B114">
        <f t="shared" si="22"/>
        <v>0</v>
      </c>
      <c r="C114">
        <f t="shared" si="23"/>
        <v>0</v>
      </c>
      <c r="D114">
        <f t="shared" si="23"/>
        <v>0</v>
      </c>
      <c r="E114">
        <f t="shared" si="23"/>
        <v>0</v>
      </c>
      <c r="F114">
        <f t="shared" si="23"/>
        <v>0</v>
      </c>
      <c r="G114">
        <f t="shared" si="31"/>
        <v>0</v>
      </c>
      <c r="H114">
        <f t="shared" si="32"/>
        <v>0</v>
      </c>
      <c r="I114">
        <f t="shared" si="33"/>
        <v>0</v>
      </c>
      <c r="J114">
        <f t="shared" si="34"/>
        <v>0</v>
      </c>
      <c r="K114">
        <f t="shared" si="18"/>
        <v>0</v>
      </c>
      <c r="L114">
        <f t="shared" si="18"/>
        <v>0</v>
      </c>
      <c r="M114">
        <f t="shared" si="29"/>
        <v>0</v>
      </c>
      <c r="N114" t="e">
        <f t="shared" si="30"/>
        <v>#REF!</v>
      </c>
    </row>
    <row r="115" spans="1:14">
      <c r="A115">
        <f t="shared" si="28"/>
        <v>560000000</v>
      </c>
      <c r="B115">
        <f t="shared" si="22"/>
        <v>0</v>
      </c>
      <c r="C115">
        <f t="shared" si="23"/>
        <v>0</v>
      </c>
      <c r="D115">
        <f t="shared" si="23"/>
        <v>0</v>
      </c>
      <c r="E115">
        <f t="shared" si="23"/>
        <v>0</v>
      </c>
      <c r="F115">
        <f t="shared" si="23"/>
        <v>0</v>
      </c>
      <c r="G115">
        <f t="shared" si="31"/>
        <v>0</v>
      </c>
      <c r="H115">
        <f t="shared" si="32"/>
        <v>0</v>
      </c>
      <c r="I115">
        <f t="shared" si="33"/>
        <v>0</v>
      </c>
      <c r="J115">
        <f t="shared" si="34"/>
        <v>0</v>
      </c>
      <c r="K115">
        <f t="shared" si="18"/>
        <v>0</v>
      </c>
      <c r="L115">
        <f t="shared" si="18"/>
        <v>0</v>
      </c>
      <c r="M115">
        <f t="shared" si="29"/>
        <v>0</v>
      </c>
      <c r="N115" t="e">
        <f t="shared" si="30"/>
        <v>#REF!</v>
      </c>
    </row>
    <row r="116" spans="1:14">
      <c r="A116">
        <f t="shared" si="28"/>
        <v>680000000</v>
      </c>
      <c r="B116">
        <f t="shared" si="22"/>
        <v>0</v>
      </c>
      <c r="C116">
        <f t="shared" si="23"/>
        <v>0</v>
      </c>
      <c r="D116">
        <f t="shared" si="23"/>
        <v>0</v>
      </c>
      <c r="E116">
        <f t="shared" si="23"/>
        <v>0</v>
      </c>
      <c r="F116">
        <f t="shared" si="23"/>
        <v>820000000</v>
      </c>
      <c r="G116">
        <f t="shared" si="31"/>
        <v>0</v>
      </c>
      <c r="H116">
        <f t="shared" si="32"/>
        <v>0</v>
      </c>
      <c r="I116">
        <f t="shared" si="33"/>
        <v>0</v>
      </c>
      <c r="J116">
        <f t="shared" si="34"/>
        <v>0</v>
      </c>
      <c r="K116">
        <f t="shared" si="18"/>
        <v>0</v>
      </c>
      <c r="L116">
        <f t="shared" si="18"/>
        <v>0</v>
      </c>
      <c r="M116">
        <f t="shared" si="29"/>
        <v>0</v>
      </c>
      <c r="N116" t="e">
        <f t="shared" si="30"/>
        <v>#REF!</v>
      </c>
    </row>
    <row r="117" spans="1:14">
      <c r="A117">
        <f t="shared" si="28"/>
        <v>820000000</v>
      </c>
      <c r="B117">
        <f t="shared" si="22"/>
        <v>0</v>
      </c>
      <c r="C117">
        <f t="shared" si="23"/>
        <v>0</v>
      </c>
      <c r="D117">
        <f t="shared" si="23"/>
        <v>0</v>
      </c>
      <c r="E117">
        <f t="shared" si="23"/>
        <v>0</v>
      </c>
      <c r="F117">
        <f t="shared" si="23"/>
        <v>0</v>
      </c>
      <c r="G117">
        <f t="shared" si="31"/>
        <v>0</v>
      </c>
      <c r="H117">
        <f t="shared" si="32"/>
        <v>0</v>
      </c>
      <c r="I117">
        <f t="shared" si="33"/>
        <v>0</v>
      </c>
      <c r="J117">
        <f t="shared" si="34"/>
        <v>0</v>
      </c>
      <c r="K117">
        <f t="shared" si="18"/>
        <v>0</v>
      </c>
      <c r="L117">
        <f t="shared" si="18"/>
        <v>0</v>
      </c>
      <c r="M117">
        <f t="shared" si="29"/>
        <v>0</v>
      </c>
      <c r="N117" t="e">
        <f t="shared" si="30"/>
        <v>#REF!</v>
      </c>
    </row>
    <row r="118" spans="1:14">
      <c r="A118">
        <f t="shared" si="28"/>
        <v>1000000000</v>
      </c>
      <c r="B118">
        <f t="shared" si="22"/>
        <v>0</v>
      </c>
      <c r="C118">
        <f t="shared" si="23"/>
        <v>0</v>
      </c>
      <c r="D118">
        <f t="shared" si="23"/>
        <v>0</v>
      </c>
      <c r="E118">
        <f t="shared" si="23"/>
        <v>0</v>
      </c>
      <c r="F118">
        <f t="shared" si="23"/>
        <v>0</v>
      </c>
      <c r="G118">
        <f t="shared" si="31"/>
        <v>0</v>
      </c>
      <c r="H118">
        <f t="shared" si="32"/>
        <v>0</v>
      </c>
      <c r="I118">
        <f t="shared" si="33"/>
        <v>0</v>
      </c>
      <c r="J118">
        <f t="shared" si="34"/>
        <v>0</v>
      </c>
      <c r="K118">
        <f t="shared" si="18"/>
        <v>0</v>
      </c>
      <c r="L118">
        <f t="shared" si="18"/>
        <v>0</v>
      </c>
      <c r="M118">
        <f t="shared" si="29"/>
        <v>0</v>
      </c>
      <c r="N118" t="e">
        <f t="shared" si="30"/>
        <v>#REF!</v>
      </c>
    </row>
    <row r="119" spans="1:14">
      <c r="A119">
        <f t="shared" si="28"/>
        <v>1200000000</v>
      </c>
      <c r="B119">
        <f t="shared" si="22"/>
        <v>0</v>
      </c>
      <c r="C119">
        <f t="shared" si="23"/>
        <v>0</v>
      </c>
      <c r="D119">
        <f t="shared" si="23"/>
        <v>0</v>
      </c>
      <c r="E119">
        <f t="shared" si="23"/>
        <v>0</v>
      </c>
      <c r="F119">
        <f t="shared" si="23"/>
        <v>0</v>
      </c>
      <c r="G119">
        <f t="shared" si="31"/>
        <v>0</v>
      </c>
      <c r="H119">
        <f t="shared" si="32"/>
        <v>0</v>
      </c>
      <c r="I119">
        <f t="shared" si="33"/>
        <v>0</v>
      </c>
      <c r="J119">
        <f t="shared" si="34"/>
        <v>0</v>
      </c>
      <c r="K119">
        <f t="shared" si="18"/>
        <v>0</v>
      </c>
      <c r="L119">
        <f t="shared" si="18"/>
        <v>0</v>
      </c>
      <c r="M119">
        <f t="shared" si="29"/>
        <v>0</v>
      </c>
      <c r="N119" t="e">
        <f t="shared" si="30"/>
        <v>#REF!</v>
      </c>
    </row>
    <row r="120" spans="1:14">
      <c r="A120">
        <f t="shared" si="28"/>
        <v>1500000000</v>
      </c>
      <c r="B120">
        <f t="shared" si="22"/>
        <v>0</v>
      </c>
      <c r="C120">
        <f t="shared" si="23"/>
        <v>0</v>
      </c>
      <c r="D120">
        <f t="shared" si="23"/>
        <v>0</v>
      </c>
      <c r="E120">
        <f t="shared" si="23"/>
        <v>0</v>
      </c>
      <c r="F120">
        <f t="shared" si="23"/>
        <v>0</v>
      </c>
      <c r="G120">
        <f t="shared" si="31"/>
        <v>0</v>
      </c>
      <c r="H120">
        <f t="shared" si="32"/>
        <v>0</v>
      </c>
      <c r="I120">
        <f t="shared" si="33"/>
        <v>0</v>
      </c>
      <c r="J120">
        <f t="shared" si="34"/>
        <v>0</v>
      </c>
      <c r="K120">
        <f t="shared" si="18"/>
        <v>0</v>
      </c>
      <c r="L120">
        <f t="shared" si="18"/>
        <v>0</v>
      </c>
      <c r="M120">
        <f t="shared" si="29"/>
        <v>0</v>
      </c>
      <c r="N120" t="e">
        <f t="shared" si="30"/>
        <v>#REF!</v>
      </c>
    </row>
    <row r="121" spans="1:14">
      <c r="A121">
        <f t="shared" si="28"/>
        <v>1800000000</v>
      </c>
      <c r="B121">
        <f t="shared" si="22"/>
        <v>0</v>
      </c>
      <c r="C121">
        <f t="shared" si="23"/>
        <v>0</v>
      </c>
      <c r="D121">
        <f t="shared" si="23"/>
        <v>0</v>
      </c>
      <c r="E121">
        <f t="shared" si="23"/>
        <v>0</v>
      </c>
      <c r="F121">
        <f t="shared" si="23"/>
        <v>0</v>
      </c>
      <c r="G121">
        <f t="shared" si="31"/>
        <v>0</v>
      </c>
      <c r="H121">
        <f t="shared" si="32"/>
        <v>0</v>
      </c>
      <c r="I121">
        <f t="shared" si="33"/>
        <v>0</v>
      </c>
      <c r="J121">
        <f t="shared" si="34"/>
        <v>0</v>
      </c>
      <c r="K121">
        <f t="shared" si="18"/>
        <v>0</v>
      </c>
      <c r="L121">
        <f t="shared" si="18"/>
        <v>0</v>
      </c>
      <c r="M121">
        <f t="shared" si="29"/>
        <v>0</v>
      </c>
      <c r="N121" t="e">
        <f t="shared" si="30"/>
        <v>#REF!</v>
      </c>
    </row>
    <row r="122" spans="1:14">
      <c r="A122">
        <f t="shared" si="28"/>
        <v>2200000000</v>
      </c>
      <c r="B122">
        <f t="shared" si="22"/>
        <v>0</v>
      </c>
      <c r="C122">
        <f t="shared" si="23"/>
        <v>0</v>
      </c>
      <c r="D122">
        <f t="shared" si="23"/>
        <v>0</v>
      </c>
      <c r="E122">
        <f t="shared" si="23"/>
        <v>0</v>
      </c>
      <c r="F122">
        <f t="shared" si="23"/>
        <v>0</v>
      </c>
      <c r="G122">
        <f t="shared" si="31"/>
        <v>0</v>
      </c>
      <c r="H122">
        <f t="shared" si="32"/>
        <v>0</v>
      </c>
      <c r="I122">
        <f t="shared" si="33"/>
        <v>0</v>
      </c>
      <c r="J122">
        <f t="shared" si="34"/>
        <v>0</v>
      </c>
      <c r="K122">
        <f t="shared" si="18"/>
        <v>0</v>
      </c>
      <c r="L122">
        <f t="shared" si="18"/>
        <v>0</v>
      </c>
      <c r="M122">
        <f t="shared" si="29"/>
        <v>0</v>
      </c>
      <c r="N122" t="e">
        <f t="shared" si="30"/>
        <v>#REF!</v>
      </c>
    </row>
    <row r="123" spans="1:14">
      <c r="A123">
        <f t="shared" si="28"/>
        <v>2700000000</v>
      </c>
      <c r="B123">
        <f t="shared" si="22"/>
        <v>0</v>
      </c>
      <c r="C123">
        <f t="shared" si="23"/>
        <v>0</v>
      </c>
      <c r="D123">
        <f t="shared" si="23"/>
        <v>0</v>
      </c>
      <c r="E123">
        <f t="shared" si="23"/>
        <v>0</v>
      </c>
      <c r="F123">
        <f t="shared" si="23"/>
        <v>0</v>
      </c>
      <c r="G123">
        <f t="shared" si="31"/>
        <v>0</v>
      </c>
      <c r="H123">
        <f t="shared" si="32"/>
        <v>0</v>
      </c>
      <c r="I123">
        <f t="shared" si="33"/>
        <v>0</v>
      </c>
      <c r="J123">
        <f t="shared" si="34"/>
        <v>0</v>
      </c>
      <c r="K123">
        <f t="shared" si="18"/>
        <v>0</v>
      </c>
      <c r="L123">
        <f t="shared" si="18"/>
        <v>0</v>
      </c>
      <c r="M123">
        <f t="shared" si="29"/>
        <v>0</v>
      </c>
      <c r="N123" t="e">
        <f t="shared" si="30"/>
        <v>#REF!</v>
      </c>
    </row>
    <row r="124" spans="1:14">
      <c r="A124">
        <f t="shared" si="28"/>
        <v>3300000000</v>
      </c>
      <c r="B124">
        <f t="shared" si="22"/>
        <v>0</v>
      </c>
      <c r="C124">
        <f t="shared" si="23"/>
        <v>0</v>
      </c>
      <c r="D124">
        <f t="shared" si="23"/>
        <v>0</v>
      </c>
      <c r="E124">
        <f t="shared" si="23"/>
        <v>0</v>
      </c>
      <c r="F124">
        <f t="shared" si="23"/>
        <v>0</v>
      </c>
      <c r="G124">
        <f t="shared" si="31"/>
        <v>0</v>
      </c>
      <c r="H124">
        <f t="shared" si="32"/>
        <v>0</v>
      </c>
      <c r="I124">
        <f t="shared" si="33"/>
        <v>0</v>
      </c>
      <c r="J124">
        <f t="shared" si="34"/>
        <v>0</v>
      </c>
      <c r="K124">
        <f t="shared" si="18"/>
        <v>0</v>
      </c>
      <c r="L124">
        <f t="shared" si="18"/>
        <v>0</v>
      </c>
      <c r="M124">
        <f t="shared" si="29"/>
        <v>0</v>
      </c>
      <c r="N124" t="e">
        <f t="shared" si="30"/>
        <v>#REF!</v>
      </c>
    </row>
    <row r="125" spans="1:14">
      <c r="A125">
        <f t="shared" si="28"/>
        <v>3900000000</v>
      </c>
      <c r="B125">
        <f t="shared" si="22"/>
        <v>0</v>
      </c>
      <c r="C125">
        <f t="shared" si="23"/>
        <v>0</v>
      </c>
      <c r="D125">
        <f t="shared" si="23"/>
        <v>0</v>
      </c>
      <c r="E125">
        <f t="shared" si="23"/>
        <v>0</v>
      </c>
      <c r="F125">
        <f t="shared" si="23"/>
        <v>0</v>
      </c>
      <c r="G125">
        <f t="shared" si="31"/>
        <v>0</v>
      </c>
      <c r="H125">
        <f t="shared" si="32"/>
        <v>0</v>
      </c>
      <c r="I125">
        <f t="shared" si="33"/>
        <v>0</v>
      </c>
      <c r="J125">
        <f t="shared" si="34"/>
        <v>0</v>
      </c>
      <c r="K125">
        <f t="shared" si="18"/>
        <v>0</v>
      </c>
      <c r="L125">
        <f t="shared" si="18"/>
        <v>0</v>
      </c>
      <c r="M125">
        <f t="shared" si="29"/>
        <v>0</v>
      </c>
      <c r="N125" t="e">
        <f t="shared" si="30"/>
        <v>#REF!</v>
      </c>
    </row>
    <row r="126" spans="1:14">
      <c r="A126">
        <f t="shared" si="28"/>
        <v>4700000000</v>
      </c>
      <c r="B126">
        <f t="shared" si="22"/>
        <v>0</v>
      </c>
      <c r="C126">
        <f t="shared" si="23"/>
        <v>0</v>
      </c>
      <c r="D126">
        <f t="shared" si="23"/>
        <v>0</v>
      </c>
      <c r="E126">
        <f t="shared" si="23"/>
        <v>0</v>
      </c>
      <c r="F126">
        <f t="shared" si="23"/>
        <v>0</v>
      </c>
      <c r="G126">
        <f t="shared" si="31"/>
        <v>0</v>
      </c>
      <c r="H126">
        <f t="shared" si="32"/>
        <v>0</v>
      </c>
      <c r="I126">
        <f t="shared" si="33"/>
        <v>0</v>
      </c>
      <c r="J126">
        <f t="shared" si="34"/>
        <v>0</v>
      </c>
      <c r="K126">
        <f t="shared" si="18"/>
        <v>0</v>
      </c>
      <c r="L126">
        <f t="shared" si="18"/>
        <v>0</v>
      </c>
      <c r="M126">
        <f t="shared" si="29"/>
        <v>0</v>
      </c>
      <c r="N126" t="e">
        <f t="shared" si="30"/>
        <v>#REF!</v>
      </c>
    </row>
    <row r="127" spans="1:14">
      <c r="A127">
        <f t="shared" si="28"/>
        <v>5600000000</v>
      </c>
      <c r="B127">
        <f t="shared" si="22"/>
        <v>0</v>
      </c>
      <c r="C127">
        <f t="shared" si="23"/>
        <v>0</v>
      </c>
      <c r="D127">
        <f t="shared" si="23"/>
        <v>0</v>
      </c>
      <c r="E127">
        <f t="shared" si="23"/>
        <v>0</v>
      </c>
      <c r="F127">
        <f t="shared" si="23"/>
        <v>0</v>
      </c>
      <c r="G127">
        <f t="shared" si="31"/>
        <v>0</v>
      </c>
      <c r="H127">
        <f t="shared" si="32"/>
        <v>0</v>
      </c>
      <c r="I127">
        <f t="shared" si="33"/>
        <v>0</v>
      </c>
      <c r="J127">
        <f t="shared" si="34"/>
        <v>0</v>
      </c>
      <c r="K127">
        <f t="shared" si="18"/>
        <v>0</v>
      </c>
      <c r="L127">
        <f t="shared" si="18"/>
        <v>0</v>
      </c>
      <c r="M127">
        <f t="shared" si="29"/>
        <v>0</v>
      </c>
      <c r="N127" t="e">
        <f t="shared" si="30"/>
        <v>#REF!</v>
      </c>
    </row>
    <row r="128" spans="1:14">
      <c r="A128">
        <f t="shared" si="28"/>
        <v>6800000000</v>
      </c>
      <c r="B128">
        <f t="shared" si="22"/>
        <v>0</v>
      </c>
      <c r="C128">
        <f t="shared" si="23"/>
        <v>0</v>
      </c>
      <c r="D128">
        <f t="shared" si="23"/>
        <v>0</v>
      </c>
      <c r="E128">
        <f t="shared" si="23"/>
        <v>0</v>
      </c>
      <c r="F128">
        <f t="shared" si="23"/>
        <v>0</v>
      </c>
      <c r="G128">
        <f t="shared" si="31"/>
        <v>0</v>
      </c>
      <c r="H128">
        <f t="shared" si="32"/>
        <v>0</v>
      </c>
      <c r="I128">
        <f t="shared" si="33"/>
        <v>0</v>
      </c>
      <c r="J128">
        <f t="shared" si="34"/>
        <v>0</v>
      </c>
      <c r="K128">
        <f t="shared" si="18"/>
        <v>0</v>
      </c>
      <c r="L128">
        <f t="shared" si="18"/>
        <v>0</v>
      </c>
      <c r="M128">
        <f t="shared" si="29"/>
        <v>0</v>
      </c>
      <c r="N128" t="e">
        <f t="shared" si="30"/>
        <v>#REF!</v>
      </c>
    </row>
    <row r="129" spans="1:14">
      <c r="A129">
        <f t="shared" si="28"/>
        <v>8200000000</v>
      </c>
      <c r="B129">
        <f t="shared" si="22"/>
        <v>0</v>
      </c>
      <c r="C129">
        <f t="shared" si="23"/>
        <v>0</v>
      </c>
      <c r="D129">
        <f t="shared" si="23"/>
        <v>0</v>
      </c>
      <c r="E129">
        <f t="shared" si="23"/>
        <v>0</v>
      </c>
      <c r="F129">
        <f t="shared" si="23"/>
        <v>0</v>
      </c>
      <c r="G129">
        <f t="shared" si="31"/>
        <v>0</v>
      </c>
      <c r="H129">
        <f t="shared" si="32"/>
        <v>0</v>
      </c>
      <c r="I129">
        <f t="shared" si="33"/>
        <v>0</v>
      </c>
      <c r="J129">
        <f t="shared" si="34"/>
        <v>0</v>
      </c>
      <c r="K129">
        <f t="shared" si="18"/>
        <v>0</v>
      </c>
      <c r="L129">
        <f t="shared" si="18"/>
        <v>0</v>
      </c>
      <c r="M129">
        <f t="shared" si="29"/>
        <v>0</v>
      </c>
      <c r="N129" t="e">
        <f t="shared" si="30"/>
        <v>#REF!</v>
      </c>
    </row>
    <row r="130" spans="1:14">
      <c r="A130">
        <f t="shared" si="28"/>
        <v>10000000000</v>
      </c>
      <c r="B130">
        <f t="shared" si="22"/>
        <v>0</v>
      </c>
      <c r="C130">
        <f t="shared" si="23"/>
        <v>0</v>
      </c>
      <c r="D130">
        <f t="shared" si="23"/>
        <v>0</v>
      </c>
      <c r="E130">
        <f t="shared" si="23"/>
        <v>0</v>
      </c>
      <c r="F130">
        <f t="shared" si="23"/>
        <v>0</v>
      </c>
      <c r="G130">
        <f t="shared" si="31"/>
        <v>0</v>
      </c>
      <c r="H130">
        <f t="shared" si="32"/>
        <v>0</v>
      </c>
      <c r="I130">
        <f t="shared" si="33"/>
        <v>0</v>
      </c>
      <c r="J130">
        <f t="shared" si="34"/>
        <v>0</v>
      </c>
      <c r="K130">
        <f t="shared" si="18"/>
        <v>0</v>
      </c>
      <c r="L130">
        <f t="shared" si="18"/>
        <v>0</v>
      </c>
      <c r="M130">
        <f t="shared" si="29"/>
        <v>0</v>
      </c>
      <c r="N130" t="e">
        <f t="shared" si="30"/>
        <v>#REF!</v>
      </c>
    </row>
    <row r="131" spans="1:14">
      <c r="A131">
        <f t="shared" si="28"/>
        <v>12000000000</v>
      </c>
      <c r="B131">
        <f t="shared" si="22"/>
        <v>0</v>
      </c>
      <c r="C131">
        <f t="shared" si="23"/>
        <v>0</v>
      </c>
      <c r="D131">
        <f t="shared" si="23"/>
        <v>0</v>
      </c>
      <c r="E131">
        <f t="shared" si="23"/>
        <v>0</v>
      </c>
      <c r="F131">
        <f t="shared" si="23"/>
        <v>0</v>
      </c>
      <c r="G131">
        <f t="shared" si="31"/>
        <v>0</v>
      </c>
      <c r="H131">
        <f t="shared" si="32"/>
        <v>0</v>
      </c>
      <c r="I131">
        <f t="shared" si="33"/>
        <v>0</v>
      </c>
      <c r="J131">
        <f t="shared" si="34"/>
        <v>0</v>
      </c>
      <c r="K131">
        <f t="shared" si="18"/>
        <v>0</v>
      </c>
      <c r="L131">
        <f t="shared" si="18"/>
        <v>0</v>
      </c>
      <c r="M131">
        <f t="shared" si="29"/>
        <v>0</v>
      </c>
      <c r="N131" t="e">
        <f t="shared" si="30"/>
        <v>#REF!</v>
      </c>
    </row>
    <row r="132" spans="1:14">
      <c r="A132">
        <f t="shared" si="28"/>
        <v>15000000000</v>
      </c>
      <c r="B132">
        <f t="shared" si="22"/>
        <v>0</v>
      </c>
      <c r="C132">
        <f t="shared" si="23"/>
        <v>0</v>
      </c>
      <c r="D132">
        <f t="shared" si="23"/>
        <v>0</v>
      </c>
      <c r="E132">
        <f t="shared" si="23"/>
        <v>0</v>
      </c>
      <c r="F132">
        <f t="shared" si="23"/>
        <v>0</v>
      </c>
      <c r="G132">
        <f t="shared" si="31"/>
        <v>0</v>
      </c>
      <c r="H132">
        <f t="shared" si="32"/>
        <v>0</v>
      </c>
      <c r="I132">
        <f t="shared" si="33"/>
        <v>0</v>
      </c>
      <c r="J132">
        <f t="shared" si="34"/>
        <v>0</v>
      </c>
      <c r="K132">
        <f t="shared" si="18"/>
        <v>0</v>
      </c>
      <c r="L132">
        <f t="shared" si="18"/>
        <v>0</v>
      </c>
      <c r="M132">
        <f t="shared" si="29"/>
        <v>0</v>
      </c>
      <c r="N132" t="e">
        <f t="shared" si="30"/>
        <v>#REF!</v>
      </c>
    </row>
    <row r="133" spans="1:14">
      <c r="A133">
        <f t="shared" si="28"/>
        <v>18000000000</v>
      </c>
      <c r="B133">
        <f t="shared" si="22"/>
        <v>0</v>
      </c>
      <c r="C133">
        <f t="shared" si="23"/>
        <v>0</v>
      </c>
      <c r="D133">
        <f t="shared" si="23"/>
        <v>0</v>
      </c>
      <c r="E133">
        <f t="shared" si="23"/>
        <v>0</v>
      </c>
      <c r="F133">
        <f t="shared" si="23"/>
        <v>0</v>
      </c>
      <c r="G133">
        <f t="shared" si="31"/>
        <v>0</v>
      </c>
      <c r="H133">
        <f t="shared" si="32"/>
        <v>0</v>
      </c>
      <c r="I133">
        <f t="shared" si="33"/>
        <v>0</v>
      </c>
      <c r="J133">
        <f t="shared" si="34"/>
        <v>0</v>
      </c>
      <c r="K133">
        <f>IF(IF((K$3*10^12-$A134)*(K$3*10^12-$A133)*-1&lt;0,0,1)*IF(ABS(K$3*10^12-$A134)&gt;(K$3*10^12-$A133),$A133,$A134)=K134,0,IF((K$3*10^12-$A134)*(K$3*10^12-$A133)*-1&lt;0,0,1)*IF(ABS(K$3*10^12-$A134)&gt;(K$3*10^12-$A133),$A133,$A134))</f>
        <v>0</v>
      </c>
      <c r="L133">
        <f>IF(IF((L$3*10^12-$A134)*(L$3*10^12-$A133)*-1&lt;0,0,1)*IF(ABS(L$3*10^12-$A134)&gt;(L$3*10^12-$A133),$A133,$A134)=L134,0,IF((L$3*10^12-$A134)*(L$3*10^12-$A133)*-1&lt;0,0,1)*IF(ABS(L$3*10^12-$A134)&gt;(L$3*10^12-$A133),$A133,$A134))</f>
        <v>0</v>
      </c>
      <c r="M133">
        <f t="shared" si="29"/>
        <v>0</v>
      </c>
      <c r="N133" t="e">
        <f t="shared" si="30"/>
        <v>#REF!</v>
      </c>
    </row>
    <row r="134" spans="1:14">
      <c r="A134">
        <f t="shared" si="28"/>
        <v>22000000000</v>
      </c>
      <c r="B134">
        <f t="shared" si="22"/>
        <v>0</v>
      </c>
      <c r="C134">
        <f t="shared" si="23"/>
        <v>0</v>
      </c>
      <c r="D134">
        <f t="shared" si="23"/>
        <v>0</v>
      </c>
      <c r="E134">
        <f t="shared" si="23"/>
        <v>0</v>
      </c>
      <c r="F134">
        <f t="shared" ref="F134:L159" si="35">IF(IF((F$3*10^12-$A135)*(F$3*10^12-$A134)*-1&lt;0,0,1)*IF(ABS(F$3*10^12-$A135)&gt;(F$3*10^12-$A134),$A134,$A135)=F135,0,IF((F$3*10^12-$A135)*(F$3*10^12-$A134)*-1&lt;0,0,1)*IF(ABS(F$3*10^12-$A135)&gt;(F$3*10^12-$A134),$A134,$A135))</f>
        <v>0</v>
      </c>
      <c r="G134">
        <f t="shared" si="31"/>
        <v>0</v>
      </c>
      <c r="H134">
        <f t="shared" si="32"/>
        <v>0</v>
      </c>
      <c r="I134">
        <f t="shared" si="33"/>
        <v>0</v>
      </c>
      <c r="J134">
        <f t="shared" si="34"/>
        <v>0</v>
      </c>
      <c r="K134">
        <f>IF(IF((K$3*10^12-$A135)*(K$3*10^12-$A134)*-1&lt;0,0,1)*IF(ABS(K$3*10^12-$A135)&gt;(K$3*10^12-$A134),$A134,$A135)=K135,0,IF((K$3*10^12-$A135)*(K$3*10^12-$A134)*-1&lt;0,0,1)*IF(ABS(K$3*10^12-$A135)&gt;(K$3*10^12-$A134),$A134,$A135))</f>
        <v>0</v>
      </c>
      <c r="L134">
        <f>IF(IF((L$3*10^12-$A135)*(L$3*10^12-$A134)*-1&lt;0,0,1)*IF(ABS(L$3*10^12-$A135)&gt;(L$3*10^12-$A134),$A134,$A135)=L135,0,IF((L$3*10^12-$A135)*(L$3*10^12-$A134)*-1&lt;0,0,1)*IF(ABS(L$3*10^12-$A135)&gt;(L$3*10^12-$A134),$A134,$A135))</f>
        <v>0</v>
      </c>
      <c r="M134">
        <f t="shared" ref="M134:M159" si="36">IF(IF((M$3*10^12-$A135)*(M$3*10^12-$A134)*-1&lt;0,0,1)*IF(ABS(M$3*10^12-$A135)&gt;(M$3*10^12-$A134),$A134,$A135)=M135,0,IF((M$3*10^12-$A135)*(M$3*10^12-$A134)*-1&lt;0,0,1)*IF(ABS(M$3*10^12-$A135)&gt;(M$3*10^12-$A134),$A134,$A135))</f>
        <v>0</v>
      </c>
      <c r="N134" t="e">
        <f t="shared" ref="N134:N159" si="37">IF(IF((N$3*10^12-$A135)*(N$3*10^12-$A134)*-1&lt;0,0,1)*IF(ABS(N$3*10^12-$A135)&gt;(N$3*10^12-$A134),$A134,$A135)=N135,0,IF((N$3*10^12-$A135)*(N$3*10^12-$A134)*-1&lt;0,0,1)*IF(ABS(N$3*10^12-$A135)&gt;(N$3*10^12-$A134),$A134,$A135))</f>
        <v>#REF!</v>
      </c>
    </row>
    <row r="135" spans="1:14">
      <c r="A135">
        <f t="shared" si="28"/>
        <v>27000000000</v>
      </c>
      <c r="B135">
        <f t="shared" ref="B135:B159" si="38">IF(IF((B$3*10^12-$A136)*(B$3*10^12-$A135)*-1&lt;0,0,1)*IF(ABS(B$3*10^12-$A136)&gt;(B$3*10^12-$A135),$A135,$A136)=B136,0,IF((B$3*10^12-$A136)*(B$3*10^12-$A135)*-1&lt;0,0,1)*IF(ABS(B$3*10^12-$A136)&gt;(B$3*10^12-$A135),$A135,$A136))</f>
        <v>0</v>
      </c>
      <c r="C135">
        <f t="shared" ref="C135:E159" si="39">IF(IF((C$3*10^12-$A136)*(C$3*10^12-$A135)*-1&lt;0,0,1)*IF(ABS(C$3*10^12-$A136)&gt;(C$3*10^12-$A135),$A135,$A136)=C136,0,IF((C$3*10^12-$A136)*(C$3*10^12-$A135)*-1&lt;0,0,1)*IF(ABS(C$3*10^12-$A136)&gt;(C$3*10^12-$A135),$A135,$A136))</f>
        <v>0</v>
      </c>
      <c r="D135">
        <f t="shared" si="39"/>
        <v>0</v>
      </c>
      <c r="E135">
        <f t="shared" si="39"/>
        <v>0</v>
      </c>
      <c r="F135">
        <f t="shared" si="35"/>
        <v>0</v>
      </c>
      <c r="G135">
        <f t="shared" si="35"/>
        <v>0</v>
      </c>
      <c r="H135">
        <f t="shared" si="35"/>
        <v>0</v>
      </c>
      <c r="I135">
        <f t="shared" si="35"/>
        <v>0</v>
      </c>
      <c r="J135">
        <f t="shared" si="35"/>
        <v>0</v>
      </c>
      <c r="K135">
        <f t="shared" si="35"/>
        <v>0</v>
      </c>
      <c r="L135">
        <f t="shared" si="35"/>
        <v>0</v>
      </c>
      <c r="M135">
        <f t="shared" si="36"/>
        <v>0</v>
      </c>
      <c r="N135" t="e">
        <f t="shared" si="37"/>
        <v>#REF!</v>
      </c>
    </row>
    <row r="136" spans="1:14">
      <c r="A136">
        <f t="shared" si="28"/>
        <v>33000000000</v>
      </c>
      <c r="B136">
        <f t="shared" si="38"/>
        <v>0</v>
      </c>
      <c r="C136">
        <f t="shared" si="39"/>
        <v>0</v>
      </c>
      <c r="D136">
        <f t="shared" si="39"/>
        <v>0</v>
      </c>
      <c r="E136">
        <f t="shared" si="39"/>
        <v>0</v>
      </c>
      <c r="F136">
        <f t="shared" si="35"/>
        <v>0</v>
      </c>
      <c r="G136">
        <f t="shared" si="35"/>
        <v>0</v>
      </c>
      <c r="H136">
        <f t="shared" si="35"/>
        <v>0</v>
      </c>
      <c r="I136">
        <f t="shared" si="35"/>
        <v>0</v>
      </c>
      <c r="J136">
        <f t="shared" si="35"/>
        <v>0</v>
      </c>
      <c r="K136">
        <f t="shared" si="35"/>
        <v>0</v>
      </c>
      <c r="L136">
        <f t="shared" si="35"/>
        <v>0</v>
      </c>
      <c r="M136">
        <f t="shared" si="36"/>
        <v>0</v>
      </c>
      <c r="N136" t="e">
        <f t="shared" si="37"/>
        <v>#REF!</v>
      </c>
    </row>
    <row r="137" spans="1:14">
      <c r="A137">
        <f t="shared" si="28"/>
        <v>39000000000</v>
      </c>
      <c r="B137">
        <f t="shared" si="38"/>
        <v>0</v>
      </c>
      <c r="C137">
        <f t="shared" si="39"/>
        <v>0</v>
      </c>
      <c r="D137">
        <f t="shared" si="39"/>
        <v>0</v>
      </c>
      <c r="E137">
        <f t="shared" si="39"/>
        <v>0</v>
      </c>
      <c r="F137">
        <f t="shared" si="35"/>
        <v>0</v>
      </c>
      <c r="G137">
        <f t="shared" si="35"/>
        <v>0</v>
      </c>
      <c r="H137">
        <f t="shared" si="35"/>
        <v>0</v>
      </c>
      <c r="I137">
        <f t="shared" si="35"/>
        <v>0</v>
      </c>
      <c r="J137">
        <f t="shared" si="35"/>
        <v>0</v>
      </c>
      <c r="K137">
        <f t="shared" si="35"/>
        <v>0</v>
      </c>
      <c r="L137">
        <f t="shared" si="35"/>
        <v>0</v>
      </c>
      <c r="M137">
        <f t="shared" si="36"/>
        <v>0</v>
      </c>
      <c r="N137" t="e">
        <f t="shared" si="37"/>
        <v>#REF!</v>
      </c>
    </row>
    <row r="138" spans="1:14">
      <c r="A138">
        <f t="shared" si="28"/>
        <v>47000000000</v>
      </c>
      <c r="B138">
        <f t="shared" si="38"/>
        <v>0</v>
      </c>
      <c r="C138">
        <f t="shared" si="39"/>
        <v>0</v>
      </c>
      <c r="D138">
        <f t="shared" si="39"/>
        <v>0</v>
      </c>
      <c r="E138">
        <f t="shared" si="39"/>
        <v>0</v>
      </c>
      <c r="F138">
        <f t="shared" si="35"/>
        <v>0</v>
      </c>
      <c r="G138">
        <f t="shared" si="35"/>
        <v>0</v>
      </c>
      <c r="H138">
        <f t="shared" si="35"/>
        <v>0</v>
      </c>
      <c r="I138">
        <f t="shared" si="35"/>
        <v>0</v>
      </c>
      <c r="J138">
        <f t="shared" si="35"/>
        <v>0</v>
      </c>
      <c r="K138">
        <f t="shared" si="35"/>
        <v>0</v>
      </c>
      <c r="L138">
        <f t="shared" si="35"/>
        <v>0</v>
      </c>
      <c r="M138">
        <f t="shared" si="36"/>
        <v>0</v>
      </c>
      <c r="N138" t="e">
        <f t="shared" si="37"/>
        <v>#REF!</v>
      </c>
    </row>
    <row r="139" spans="1:14">
      <c r="A139">
        <f t="shared" si="28"/>
        <v>56000000000</v>
      </c>
      <c r="B139">
        <f t="shared" si="38"/>
        <v>0</v>
      </c>
      <c r="C139">
        <f t="shared" si="39"/>
        <v>0</v>
      </c>
      <c r="D139">
        <f t="shared" si="39"/>
        <v>0</v>
      </c>
      <c r="E139">
        <f t="shared" si="39"/>
        <v>0</v>
      </c>
      <c r="F139">
        <f t="shared" si="35"/>
        <v>0</v>
      </c>
      <c r="G139">
        <f t="shared" si="35"/>
        <v>0</v>
      </c>
      <c r="H139">
        <f t="shared" si="35"/>
        <v>0</v>
      </c>
      <c r="I139">
        <f t="shared" si="35"/>
        <v>0</v>
      </c>
      <c r="J139">
        <f t="shared" si="35"/>
        <v>0</v>
      </c>
      <c r="K139">
        <f t="shared" si="35"/>
        <v>0</v>
      </c>
      <c r="L139">
        <f t="shared" si="35"/>
        <v>0</v>
      </c>
      <c r="M139">
        <f t="shared" si="36"/>
        <v>0</v>
      </c>
      <c r="N139" t="e">
        <f t="shared" si="37"/>
        <v>#REF!</v>
      </c>
    </row>
    <row r="140" spans="1:14">
      <c r="A140">
        <f t="shared" si="28"/>
        <v>68000000000</v>
      </c>
      <c r="B140">
        <f t="shared" si="38"/>
        <v>0</v>
      </c>
      <c r="C140">
        <f t="shared" si="39"/>
        <v>0</v>
      </c>
      <c r="D140">
        <f t="shared" si="39"/>
        <v>0</v>
      </c>
      <c r="E140">
        <f t="shared" si="39"/>
        <v>0</v>
      </c>
      <c r="F140">
        <f t="shared" si="35"/>
        <v>0</v>
      </c>
      <c r="G140">
        <f t="shared" si="35"/>
        <v>0</v>
      </c>
      <c r="H140">
        <f t="shared" si="35"/>
        <v>0</v>
      </c>
      <c r="I140">
        <f t="shared" si="35"/>
        <v>0</v>
      </c>
      <c r="J140">
        <f t="shared" si="35"/>
        <v>0</v>
      </c>
      <c r="K140">
        <f t="shared" si="35"/>
        <v>0</v>
      </c>
      <c r="L140">
        <f t="shared" si="35"/>
        <v>0</v>
      </c>
      <c r="M140">
        <f t="shared" si="36"/>
        <v>0</v>
      </c>
      <c r="N140" t="e">
        <f t="shared" si="37"/>
        <v>#REF!</v>
      </c>
    </row>
    <row r="141" spans="1:14">
      <c r="A141">
        <f t="shared" si="28"/>
        <v>82000000000</v>
      </c>
      <c r="B141">
        <f t="shared" si="38"/>
        <v>0</v>
      </c>
      <c r="C141">
        <f t="shared" si="39"/>
        <v>0</v>
      </c>
      <c r="D141">
        <f t="shared" si="39"/>
        <v>0</v>
      </c>
      <c r="E141">
        <f t="shared" si="39"/>
        <v>0</v>
      </c>
      <c r="F141">
        <f t="shared" si="35"/>
        <v>0</v>
      </c>
      <c r="G141">
        <f t="shared" si="35"/>
        <v>0</v>
      </c>
      <c r="H141">
        <f t="shared" si="35"/>
        <v>0</v>
      </c>
      <c r="I141">
        <f t="shared" si="35"/>
        <v>0</v>
      </c>
      <c r="J141">
        <f t="shared" si="35"/>
        <v>0</v>
      </c>
      <c r="K141">
        <f t="shared" si="35"/>
        <v>0</v>
      </c>
      <c r="L141">
        <f t="shared" si="35"/>
        <v>0</v>
      </c>
      <c r="M141">
        <f t="shared" si="36"/>
        <v>0</v>
      </c>
      <c r="N141" t="e">
        <f t="shared" si="37"/>
        <v>#REF!</v>
      </c>
    </row>
    <row r="142" spans="1:14">
      <c r="A142">
        <f t="shared" si="28"/>
        <v>100000000000</v>
      </c>
      <c r="B142">
        <f t="shared" si="38"/>
        <v>0</v>
      </c>
      <c r="C142">
        <f t="shared" si="39"/>
        <v>0</v>
      </c>
      <c r="D142">
        <f t="shared" si="39"/>
        <v>0</v>
      </c>
      <c r="E142">
        <f t="shared" si="39"/>
        <v>0</v>
      </c>
      <c r="F142">
        <f t="shared" si="35"/>
        <v>0</v>
      </c>
      <c r="G142">
        <f t="shared" si="35"/>
        <v>0</v>
      </c>
      <c r="H142">
        <f t="shared" si="35"/>
        <v>0</v>
      </c>
      <c r="I142">
        <f t="shared" si="35"/>
        <v>0</v>
      </c>
      <c r="J142">
        <f t="shared" si="35"/>
        <v>0</v>
      </c>
      <c r="K142">
        <f t="shared" si="35"/>
        <v>0</v>
      </c>
      <c r="L142">
        <f t="shared" si="35"/>
        <v>0</v>
      </c>
      <c r="M142">
        <f t="shared" si="36"/>
        <v>0</v>
      </c>
      <c r="N142" t="e">
        <f t="shared" si="37"/>
        <v>#REF!</v>
      </c>
    </row>
    <row r="143" spans="1:14">
      <c r="A143">
        <f t="shared" si="28"/>
        <v>120000000000</v>
      </c>
      <c r="B143">
        <f t="shared" si="38"/>
        <v>0</v>
      </c>
      <c r="C143">
        <f t="shared" si="39"/>
        <v>0</v>
      </c>
      <c r="D143">
        <f t="shared" si="39"/>
        <v>0</v>
      </c>
      <c r="E143">
        <f t="shared" si="39"/>
        <v>0</v>
      </c>
      <c r="F143">
        <f t="shared" si="35"/>
        <v>0</v>
      </c>
      <c r="G143">
        <f t="shared" si="35"/>
        <v>0</v>
      </c>
      <c r="H143">
        <f t="shared" si="35"/>
        <v>0</v>
      </c>
      <c r="I143">
        <f t="shared" si="35"/>
        <v>0</v>
      </c>
      <c r="J143">
        <f t="shared" si="35"/>
        <v>0</v>
      </c>
      <c r="K143">
        <f t="shared" si="35"/>
        <v>0</v>
      </c>
      <c r="L143">
        <f t="shared" si="35"/>
        <v>0</v>
      </c>
      <c r="M143">
        <f t="shared" si="36"/>
        <v>0</v>
      </c>
      <c r="N143" t="e">
        <f t="shared" si="37"/>
        <v>#REF!</v>
      </c>
    </row>
    <row r="144" spans="1:14">
      <c r="A144">
        <f t="shared" si="28"/>
        <v>150000000000</v>
      </c>
      <c r="B144">
        <f t="shared" si="38"/>
        <v>0</v>
      </c>
      <c r="C144">
        <f t="shared" si="39"/>
        <v>0</v>
      </c>
      <c r="D144">
        <f t="shared" si="39"/>
        <v>0</v>
      </c>
      <c r="E144">
        <f t="shared" si="39"/>
        <v>0</v>
      </c>
      <c r="F144">
        <f t="shared" si="35"/>
        <v>0</v>
      </c>
      <c r="G144">
        <f t="shared" si="35"/>
        <v>0</v>
      </c>
      <c r="H144">
        <f t="shared" si="35"/>
        <v>0</v>
      </c>
      <c r="I144">
        <f t="shared" si="35"/>
        <v>0</v>
      </c>
      <c r="J144">
        <f t="shared" si="35"/>
        <v>0</v>
      </c>
      <c r="K144">
        <f t="shared" si="35"/>
        <v>0</v>
      </c>
      <c r="L144">
        <f t="shared" si="35"/>
        <v>0</v>
      </c>
      <c r="M144">
        <f t="shared" si="36"/>
        <v>0</v>
      </c>
      <c r="N144" t="e">
        <f t="shared" si="37"/>
        <v>#REF!</v>
      </c>
    </row>
    <row r="145" spans="1:14">
      <c r="A145">
        <f t="shared" si="28"/>
        <v>180000000000</v>
      </c>
      <c r="B145">
        <f t="shared" si="38"/>
        <v>0</v>
      </c>
      <c r="C145">
        <f t="shared" si="39"/>
        <v>0</v>
      </c>
      <c r="D145">
        <f t="shared" si="39"/>
        <v>0</v>
      </c>
      <c r="E145">
        <f t="shared" si="39"/>
        <v>0</v>
      </c>
      <c r="F145">
        <f t="shared" si="35"/>
        <v>0</v>
      </c>
      <c r="G145">
        <f t="shared" si="35"/>
        <v>0</v>
      </c>
      <c r="H145">
        <f t="shared" si="35"/>
        <v>0</v>
      </c>
      <c r="I145">
        <f t="shared" si="35"/>
        <v>0</v>
      </c>
      <c r="J145">
        <f t="shared" si="35"/>
        <v>0</v>
      </c>
      <c r="K145">
        <f t="shared" si="35"/>
        <v>0</v>
      </c>
      <c r="L145">
        <f t="shared" si="35"/>
        <v>0</v>
      </c>
      <c r="M145">
        <f t="shared" si="36"/>
        <v>0</v>
      </c>
      <c r="N145" t="e">
        <f t="shared" si="37"/>
        <v>#REF!</v>
      </c>
    </row>
    <row r="146" spans="1:14">
      <c r="A146">
        <f t="shared" si="28"/>
        <v>220000000000</v>
      </c>
      <c r="B146">
        <f t="shared" si="38"/>
        <v>0</v>
      </c>
      <c r="C146">
        <f t="shared" si="39"/>
        <v>0</v>
      </c>
      <c r="D146">
        <f t="shared" si="39"/>
        <v>0</v>
      </c>
      <c r="E146">
        <f t="shared" si="39"/>
        <v>0</v>
      </c>
      <c r="F146">
        <f t="shared" si="35"/>
        <v>0</v>
      </c>
      <c r="G146">
        <f t="shared" si="35"/>
        <v>0</v>
      </c>
      <c r="H146">
        <f t="shared" si="35"/>
        <v>0</v>
      </c>
      <c r="I146">
        <f t="shared" si="35"/>
        <v>0</v>
      </c>
      <c r="J146">
        <f t="shared" si="35"/>
        <v>0</v>
      </c>
      <c r="K146">
        <f t="shared" si="35"/>
        <v>0</v>
      </c>
      <c r="L146">
        <f t="shared" si="35"/>
        <v>0</v>
      </c>
      <c r="M146">
        <f t="shared" si="36"/>
        <v>0</v>
      </c>
      <c r="N146" t="e">
        <f t="shared" si="37"/>
        <v>#REF!</v>
      </c>
    </row>
    <row r="147" spans="1:14">
      <c r="A147">
        <f t="shared" si="28"/>
        <v>270000000000</v>
      </c>
      <c r="B147">
        <f t="shared" si="38"/>
        <v>0</v>
      </c>
      <c r="C147">
        <f t="shared" si="39"/>
        <v>0</v>
      </c>
      <c r="D147">
        <f t="shared" si="39"/>
        <v>0</v>
      </c>
      <c r="E147">
        <f t="shared" si="39"/>
        <v>0</v>
      </c>
      <c r="F147">
        <f t="shared" si="35"/>
        <v>0</v>
      </c>
      <c r="G147">
        <f t="shared" si="35"/>
        <v>0</v>
      </c>
      <c r="H147">
        <f t="shared" si="35"/>
        <v>0</v>
      </c>
      <c r="I147">
        <f t="shared" si="35"/>
        <v>0</v>
      </c>
      <c r="J147">
        <f t="shared" si="35"/>
        <v>0</v>
      </c>
      <c r="K147">
        <f t="shared" si="35"/>
        <v>0</v>
      </c>
      <c r="L147">
        <f t="shared" si="35"/>
        <v>0</v>
      </c>
      <c r="M147">
        <f t="shared" si="36"/>
        <v>0</v>
      </c>
      <c r="N147" t="e">
        <f t="shared" si="37"/>
        <v>#REF!</v>
      </c>
    </row>
    <row r="148" spans="1:14">
      <c r="A148">
        <f t="shared" si="28"/>
        <v>330000000000</v>
      </c>
      <c r="B148">
        <f t="shared" si="38"/>
        <v>0</v>
      </c>
      <c r="C148">
        <f t="shared" si="39"/>
        <v>0</v>
      </c>
      <c r="D148">
        <f t="shared" si="39"/>
        <v>0</v>
      </c>
      <c r="E148">
        <f t="shared" si="39"/>
        <v>0</v>
      </c>
      <c r="F148">
        <f t="shared" si="35"/>
        <v>0</v>
      </c>
      <c r="G148">
        <f t="shared" si="35"/>
        <v>0</v>
      </c>
      <c r="H148">
        <f t="shared" si="35"/>
        <v>0</v>
      </c>
      <c r="I148">
        <f t="shared" si="35"/>
        <v>0</v>
      </c>
      <c r="J148">
        <f t="shared" si="35"/>
        <v>0</v>
      </c>
      <c r="K148">
        <f t="shared" si="35"/>
        <v>0</v>
      </c>
      <c r="L148">
        <f t="shared" si="35"/>
        <v>0</v>
      </c>
      <c r="M148">
        <f t="shared" si="36"/>
        <v>0</v>
      </c>
      <c r="N148" t="e">
        <f t="shared" si="37"/>
        <v>#REF!</v>
      </c>
    </row>
    <row r="149" spans="1:14">
      <c r="A149">
        <f t="shared" si="28"/>
        <v>390000000000</v>
      </c>
      <c r="B149">
        <f t="shared" si="38"/>
        <v>0</v>
      </c>
      <c r="C149">
        <f t="shared" si="39"/>
        <v>0</v>
      </c>
      <c r="D149">
        <f t="shared" si="39"/>
        <v>0</v>
      </c>
      <c r="E149">
        <f t="shared" si="39"/>
        <v>0</v>
      </c>
      <c r="F149">
        <f t="shared" si="35"/>
        <v>0</v>
      </c>
      <c r="G149">
        <f t="shared" si="35"/>
        <v>0</v>
      </c>
      <c r="H149">
        <f t="shared" si="35"/>
        <v>0</v>
      </c>
      <c r="I149">
        <f t="shared" si="35"/>
        <v>0</v>
      </c>
      <c r="J149">
        <f t="shared" si="35"/>
        <v>0</v>
      </c>
      <c r="K149">
        <f t="shared" si="35"/>
        <v>0</v>
      </c>
      <c r="L149">
        <f t="shared" si="35"/>
        <v>0</v>
      </c>
      <c r="M149">
        <f t="shared" si="36"/>
        <v>0</v>
      </c>
      <c r="N149" t="e">
        <f t="shared" si="37"/>
        <v>#REF!</v>
      </c>
    </row>
    <row r="150" spans="1:14">
      <c r="A150">
        <f t="shared" si="28"/>
        <v>470000000000</v>
      </c>
      <c r="B150">
        <f t="shared" si="38"/>
        <v>0</v>
      </c>
      <c r="C150">
        <f t="shared" si="39"/>
        <v>0</v>
      </c>
      <c r="D150">
        <f t="shared" si="39"/>
        <v>0</v>
      </c>
      <c r="E150">
        <f t="shared" si="39"/>
        <v>0</v>
      </c>
      <c r="F150">
        <f t="shared" si="35"/>
        <v>0</v>
      </c>
      <c r="G150">
        <f t="shared" si="35"/>
        <v>0</v>
      </c>
      <c r="H150">
        <f t="shared" si="35"/>
        <v>0</v>
      </c>
      <c r="I150">
        <f t="shared" si="35"/>
        <v>0</v>
      </c>
      <c r="J150">
        <f t="shared" si="35"/>
        <v>0</v>
      </c>
      <c r="K150">
        <f t="shared" si="35"/>
        <v>0</v>
      </c>
      <c r="L150">
        <f t="shared" si="35"/>
        <v>0</v>
      </c>
      <c r="M150">
        <f t="shared" si="36"/>
        <v>0</v>
      </c>
      <c r="N150" t="e">
        <f t="shared" si="37"/>
        <v>#REF!</v>
      </c>
    </row>
    <row r="151" spans="1:14">
      <c r="A151">
        <f t="shared" si="28"/>
        <v>560000000000</v>
      </c>
      <c r="B151">
        <f t="shared" si="38"/>
        <v>0</v>
      </c>
      <c r="C151">
        <f t="shared" si="39"/>
        <v>0</v>
      </c>
      <c r="D151">
        <f t="shared" si="39"/>
        <v>0</v>
      </c>
      <c r="E151">
        <f t="shared" si="39"/>
        <v>0</v>
      </c>
      <c r="F151">
        <f t="shared" si="35"/>
        <v>0</v>
      </c>
      <c r="G151">
        <f t="shared" si="35"/>
        <v>0</v>
      </c>
      <c r="H151">
        <f t="shared" si="35"/>
        <v>0</v>
      </c>
      <c r="I151">
        <f t="shared" si="35"/>
        <v>0</v>
      </c>
      <c r="J151">
        <f t="shared" si="35"/>
        <v>0</v>
      </c>
      <c r="K151">
        <f t="shared" si="35"/>
        <v>0</v>
      </c>
      <c r="L151">
        <f t="shared" si="35"/>
        <v>0</v>
      </c>
      <c r="M151">
        <f t="shared" si="36"/>
        <v>0</v>
      </c>
      <c r="N151" t="e">
        <f t="shared" si="37"/>
        <v>#REF!</v>
      </c>
    </row>
    <row r="152" spans="1:14">
      <c r="A152">
        <f t="shared" si="28"/>
        <v>680000000000</v>
      </c>
      <c r="B152">
        <f t="shared" si="38"/>
        <v>0</v>
      </c>
      <c r="C152">
        <f t="shared" si="39"/>
        <v>0</v>
      </c>
      <c r="D152">
        <f t="shared" si="39"/>
        <v>0</v>
      </c>
      <c r="E152">
        <f t="shared" si="39"/>
        <v>0</v>
      </c>
      <c r="F152">
        <f t="shared" si="35"/>
        <v>0</v>
      </c>
      <c r="G152">
        <f t="shared" si="35"/>
        <v>0</v>
      </c>
      <c r="H152">
        <f t="shared" si="35"/>
        <v>0</v>
      </c>
      <c r="I152">
        <f t="shared" si="35"/>
        <v>0</v>
      </c>
      <c r="J152">
        <f t="shared" si="35"/>
        <v>0</v>
      </c>
      <c r="K152">
        <f t="shared" si="35"/>
        <v>0</v>
      </c>
      <c r="L152">
        <f t="shared" si="35"/>
        <v>0</v>
      </c>
      <c r="M152">
        <f t="shared" si="36"/>
        <v>0</v>
      </c>
      <c r="N152" t="e">
        <f t="shared" si="37"/>
        <v>#REF!</v>
      </c>
    </row>
    <row r="153" spans="1:14">
      <c r="A153">
        <f t="shared" si="28"/>
        <v>820000000000</v>
      </c>
      <c r="B153">
        <f t="shared" si="38"/>
        <v>0</v>
      </c>
      <c r="C153">
        <f t="shared" si="39"/>
        <v>0</v>
      </c>
      <c r="D153">
        <f t="shared" si="39"/>
        <v>0</v>
      </c>
      <c r="E153">
        <f t="shared" si="39"/>
        <v>0</v>
      </c>
      <c r="F153">
        <f t="shared" si="35"/>
        <v>0</v>
      </c>
      <c r="G153">
        <f t="shared" si="35"/>
        <v>0</v>
      </c>
      <c r="H153">
        <f t="shared" si="35"/>
        <v>0</v>
      </c>
      <c r="I153">
        <f t="shared" si="35"/>
        <v>0</v>
      </c>
      <c r="J153">
        <f t="shared" si="35"/>
        <v>0</v>
      </c>
      <c r="K153">
        <f t="shared" si="35"/>
        <v>0</v>
      </c>
      <c r="L153">
        <f t="shared" si="35"/>
        <v>0</v>
      </c>
      <c r="M153">
        <f t="shared" si="36"/>
        <v>0</v>
      </c>
      <c r="N153" t="e">
        <f t="shared" si="37"/>
        <v>#REF!</v>
      </c>
    </row>
    <row r="154" spans="1:14">
      <c r="A154">
        <f t="shared" si="28"/>
        <v>1000000000000</v>
      </c>
      <c r="B154">
        <f t="shared" si="38"/>
        <v>0</v>
      </c>
      <c r="C154">
        <f t="shared" si="39"/>
        <v>0</v>
      </c>
      <c r="D154">
        <f t="shared" si="39"/>
        <v>0</v>
      </c>
      <c r="E154">
        <f t="shared" si="39"/>
        <v>0</v>
      </c>
      <c r="F154">
        <f t="shared" si="35"/>
        <v>0</v>
      </c>
      <c r="G154">
        <f t="shared" si="35"/>
        <v>0</v>
      </c>
      <c r="H154">
        <f t="shared" si="35"/>
        <v>0</v>
      </c>
      <c r="I154">
        <f t="shared" si="35"/>
        <v>0</v>
      </c>
      <c r="J154">
        <f t="shared" si="35"/>
        <v>0</v>
      </c>
      <c r="K154">
        <f t="shared" si="35"/>
        <v>0</v>
      </c>
      <c r="L154">
        <f t="shared" si="35"/>
        <v>0</v>
      </c>
      <c r="M154">
        <f t="shared" si="36"/>
        <v>0</v>
      </c>
      <c r="N154" t="e">
        <f t="shared" si="37"/>
        <v>#REF!</v>
      </c>
    </row>
    <row r="155" spans="1:14">
      <c r="A155">
        <f t="shared" si="28"/>
        <v>1200000000000</v>
      </c>
      <c r="B155">
        <f t="shared" si="38"/>
        <v>0</v>
      </c>
      <c r="C155">
        <f t="shared" si="39"/>
        <v>0</v>
      </c>
      <c r="D155">
        <f t="shared" si="39"/>
        <v>0</v>
      </c>
      <c r="E155">
        <f t="shared" si="39"/>
        <v>0</v>
      </c>
      <c r="F155">
        <f t="shared" si="35"/>
        <v>0</v>
      </c>
      <c r="G155">
        <f t="shared" si="35"/>
        <v>0</v>
      </c>
      <c r="H155">
        <f t="shared" si="35"/>
        <v>0</v>
      </c>
      <c r="I155">
        <f t="shared" si="35"/>
        <v>0</v>
      </c>
      <c r="J155">
        <f t="shared" si="35"/>
        <v>0</v>
      </c>
      <c r="K155">
        <f t="shared" si="35"/>
        <v>0</v>
      </c>
      <c r="L155">
        <f t="shared" si="35"/>
        <v>0</v>
      </c>
      <c r="M155">
        <f t="shared" si="36"/>
        <v>0</v>
      </c>
      <c r="N155" t="e">
        <f t="shared" si="37"/>
        <v>#REF!</v>
      </c>
    </row>
    <row r="156" spans="1:14">
      <c r="A156">
        <f t="shared" si="28"/>
        <v>1500000000000</v>
      </c>
      <c r="B156">
        <f t="shared" si="38"/>
        <v>0</v>
      </c>
      <c r="C156">
        <f t="shared" si="39"/>
        <v>0</v>
      </c>
      <c r="D156">
        <f t="shared" si="39"/>
        <v>0</v>
      </c>
      <c r="E156">
        <f t="shared" si="39"/>
        <v>0</v>
      </c>
      <c r="F156">
        <f t="shared" si="35"/>
        <v>0</v>
      </c>
      <c r="G156">
        <f t="shared" si="35"/>
        <v>0</v>
      </c>
      <c r="H156">
        <f t="shared" si="35"/>
        <v>0</v>
      </c>
      <c r="I156">
        <f t="shared" si="35"/>
        <v>0</v>
      </c>
      <c r="J156">
        <f t="shared" si="35"/>
        <v>0</v>
      </c>
      <c r="K156">
        <f t="shared" si="35"/>
        <v>0</v>
      </c>
      <c r="L156">
        <f t="shared" si="35"/>
        <v>0</v>
      </c>
      <c r="M156">
        <f t="shared" si="36"/>
        <v>0</v>
      </c>
      <c r="N156" t="e">
        <f t="shared" si="37"/>
        <v>#REF!</v>
      </c>
    </row>
    <row r="157" spans="1:14">
      <c r="A157">
        <f t="shared" si="28"/>
        <v>1800000000000</v>
      </c>
      <c r="B157">
        <f t="shared" si="38"/>
        <v>0</v>
      </c>
      <c r="C157">
        <f t="shared" si="39"/>
        <v>0</v>
      </c>
      <c r="D157">
        <f t="shared" si="39"/>
        <v>0</v>
      </c>
      <c r="E157">
        <f t="shared" si="39"/>
        <v>0</v>
      </c>
      <c r="F157">
        <f t="shared" si="35"/>
        <v>0</v>
      </c>
      <c r="G157">
        <f t="shared" si="35"/>
        <v>0</v>
      </c>
      <c r="H157">
        <f t="shared" si="35"/>
        <v>0</v>
      </c>
      <c r="I157">
        <f t="shared" si="35"/>
        <v>0</v>
      </c>
      <c r="J157">
        <f t="shared" si="35"/>
        <v>0</v>
      </c>
      <c r="K157">
        <f t="shared" si="35"/>
        <v>0</v>
      </c>
      <c r="L157">
        <f t="shared" si="35"/>
        <v>0</v>
      </c>
      <c r="M157">
        <f t="shared" si="36"/>
        <v>0</v>
      </c>
      <c r="N157" t="e">
        <f t="shared" si="37"/>
        <v>#REF!</v>
      </c>
    </row>
    <row r="158" spans="1:14">
      <c r="A158">
        <f t="shared" si="28"/>
        <v>2200000000000</v>
      </c>
      <c r="B158">
        <f t="shared" si="38"/>
        <v>0</v>
      </c>
      <c r="C158">
        <f t="shared" si="39"/>
        <v>0</v>
      </c>
      <c r="D158">
        <f t="shared" si="39"/>
        <v>0</v>
      </c>
      <c r="E158">
        <f t="shared" si="39"/>
        <v>0</v>
      </c>
      <c r="F158">
        <f t="shared" si="35"/>
        <v>0</v>
      </c>
      <c r="G158">
        <f t="shared" si="35"/>
        <v>0</v>
      </c>
      <c r="H158">
        <f t="shared" si="35"/>
        <v>0</v>
      </c>
      <c r="I158">
        <f t="shared" si="35"/>
        <v>0</v>
      </c>
      <c r="J158">
        <f t="shared" si="35"/>
        <v>0</v>
      </c>
      <c r="K158">
        <f t="shared" si="35"/>
        <v>0</v>
      </c>
      <c r="L158">
        <f t="shared" si="35"/>
        <v>0</v>
      </c>
      <c r="M158">
        <f t="shared" si="36"/>
        <v>0</v>
      </c>
      <c r="N158" t="e">
        <f t="shared" si="37"/>
        <v>#REF!</v>
      </c>
    </row>
    <row r="159" spans="1:14">
      <c r="A159" s="44">
        <f t="shared" si="28"/>
        <v>2700000000000</v>
      </c>
      <c r="B159">
        <f t="shared" si="38"/>
        <v>2700000000000</v>
      </c>
      <c r="C159">
        <f t="shared" si="39"/>
        <v>2700000000000</v>
      </c>
      <c r="D159">
        <f t="shared" si="39"/>
        <v>2700000000000</v>
      </c>
      <c r="E159">
        <f t="shared" si="39"/>
        <v>2700000000000</v>
      </c>
      <c r="F159">
        <f t="shared" si="35"/>
        <v>2700000000000</v>
      </c>
      <c r="G159">
        <f t="shared" si="35"/>
        <v>2700000000000</v>
      </c>
      <c r="H159">
        <f t="shared" si="35"/>
        <v>2700000000000</v>
      </c>
      <c r="I159">
        <f t="shared" si="35"/>
        <v>2700000000000</v>
      </c>
      <c r="J159">
        <f t="shared" si="35"/>
        <v>2700000000000</v>
      </c>
      <c r="K159">
        <f t="shared" si="35"/>
        <v>0</v>
      </c>
      <c r="L159">
        <f t="shared" si="35"/>
        <v>2700000000000</v>
      </c>
      <c r="M159">
        <f t="shared" si="36"/>
        <v>2700000000000</v>
      </c>
      <c r="N159" t="e">
        <f t="shared" si="37"/>
        <v>#REF!</v>
      </c>
    </row>
  </sheetData>
  <phoneticPr fontId="5"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C692"/>
  <sheetViews>
    <sheetView topLeftCell="A663" workbookViewId="0">
      <selection activeCell="B691" sqref="B691:B692"/>
    </sheetView>
  </sheetViews>
  <sheetFormatPr defaultColWidth="8.85546875" defaultRowHeight="12.95"/>
  <cols>
    <col min="1" max="1" width="10.42578125" customWidth="1"/>
    <col min="2" max="2" width="10" bestFit="1" customWidth="1"/>
    <col min="4" max="4" width="12.42578125" bestFit="1" customWidth="1"/>
    <col min="7" max="7" width="11.140625" customWidth="1"/>
    <col min="8" max="8" width="13.140625" bestFit="1" customWidth="1"/>
    <col min="13" max="14" width="12.42578125" bestFit="1" customWidth="1"/>
    <col min="16" max="16" width="12.42578125" bestFit="1" customWidth="1"/>
    <col min="18" max="18" width="13.140625" bestFit="1" customWidth="1"/>
    <col min="20" max="20" width="13.140625" bestFit="1" customWidth="1"/>
    <col min="22" max="22" width="13.140625" bestFit="1" customWidth="1"/>
    <col min="24" max="24" width="13.85546875" bestFit="1" customWidth="1"/>
    <col min="25" max="26" width="12.42578125" bestFit="1" customWidth="1"/>
    <col min="28" max="28" width="3.140625" style="5" customWidth="1"/>
    <col min="29" max="32" width="8.42578125" customWidth="1"/>
    <col min="33" max="33" width="13.140625" bestFit="1" customWidth="1"/>
    <col min="34" max="34" width="9.42578125" bestFit="1" customWidth="1"/>
    <col min="35" max="35" width="10" bestFit="1" customWidth="1"/>
    <col min="36" max="39" width="8.85546875" customWidth="1"/>
    <col min="43" max="43" width="12.42578125" bestFit="1" customWidth="1"/>
    <col min="45" max="46" width="12.42578125" bestFit="1" customWidth="1"/>
    <col min="47" max="47" width="13.140625" bestFit="1" customWidth="1"/>
    <col min="49" max="49" width="13.140625" bestFit="1" customWidth="1"/>
    <col min="50" max="50" width="11" bestFit="1" customWidth="1"/>
    <col min="54" max="54" width="12.42578125" customWidth="1"/>
    <col min="55" max="55" width="10.140625" customWidth="1"/>
    <col min="58" max="58" width="11" customWidth="1"/>
    <col min="59" max="59" width="13" customWidth="1"/>
    <col min="60" max="60" width="16.85546875" customWidth="1"/>
    <col min="62" max="62" width="12.28515625" customWidth="1"/>
    <col min="66" max="66" width="13.140625" bestFit="1" customWidth="1"/>
    <col min="72" max="72" width="10.42578125" customWidth="1"/>
  </cols>
  <sheetData>
    <row r="1" spans="1:81" ht="38.25" customHeight="1">
      <c r="A1" s="456" t="s">
        <v>608</v>
      </c>
      <c r="B1" s="456"/>
      <c r="C1" s="456"/>
      <c r="D1" s="456"/>
      <c r="E1" s="456"/>
      <c r="F1" s="456"/>
      <c r="G1" s="456"/>
      <c r="AC1" s="7" t="s">
        <v>609</v>
      </c>
      <c r="AD1" s="4"/>
      <c r="AE1" s="4"/>
      <c r="AF1" s="4"/>
      <c r="AG1" s="4"/>
    </row>
    <row r="3" spans="1:81">
      <c r="AT3">
        <f>AT9/10000000000000</f>
        <v>-5.0624993458559729E-5</v>
      </c>
      <c r="AU3">
        <f>AU9/10000000000000</f>
        <v>-3.3281986560679072E-2</v>
      </c>
    </row>
    <row r="4" spans="1:81">
      <c r="AT4">
        <f>AT3*1000</f>
        <v>-5.0624993458559732E-2</v>
      </c>
      <c r="AU4">
        <f>AU3*1000</f>
        <v>-33.281986560679073</v>
      </c>
      <c r="BJ4" s="4" t="s">
        <v>610</v>
      </c>
      <c r="BK4" s="4"/>
    </row>
    <row r="5" spans="1:81">
      <c r="AC5" t="s">
        <v>611</v>
      </c>
      <c r="AD5" t="s">
        <v>612</v>
      </c>
      <c r="AE5" t="s">
        <v>613</v>
      </c>
      <c r="AF5" t="s">
        <v>614</v>
      </c>
      <c r="AJ5" t="s">
        <v>611</v>
      </c>
      <c r="AK5" t="s">
        <v>612</v>
      </c>
      <c r="AL5" t="s">
        <v>613</v>
      </c>
      <c r="AM5" t="s">
        <v>614</v>
      </c>
      <c r="BJ5" t="s">
        <v>615</v>
      </c>
      <c r="BK5">
        <f>SUM(BJ9:BJ626)/1000</f>
        <v>40</v>
      </c>
    </row>
    <row r="6" spans="1:81">
      <c r="C6" s="457" t="s">
        <v>616</v>
      </c>
      <c r="D6" s="457"/>
      <c r="E6" s="457"/>
      <c r="F6" s="457"/>
      <c r="G6" s="457"/>
      <c r="H6" s="457"/>
      <c r="J6" s="6" t="s">
        <v>617</v>
      </c>
      <c r="M6" s="6" t="s">
        <v>618</v>
      </c>
      <c r="N6" s="4"/>
      <c r="O6" s="4"/>
      <c r="P6" s="4"/>
      <c r="Q6" s="4"/>
      <c r="R6" s="4"/>
      <c r="S6" s="4"/>
      <c r="T6" s="4"/>
      <c r="U6" s="4"/>
      <c r="V6" s="4"/>
      <c r="X6" s="6" t="s">
        <v>619</v>
      </c>
      <c r="Y6" s="4"/>
      <c r="Z6" s="4"/>
      <c r="AC6" s="4" t="s">
        <v>620</v>
      </c>
      <c r="AD6" s="4"/>
      <c r="AE6" s="4"/>
      <c r="AF6" s="4"/>
      <c r="AG6" s="4"/>
      <c r="AH6" s="4"/>
      <c r="AJ6" s="4" t="s">
        <v>621</v>
      </c>
      <c r="AK6" s="4"/>
      <c r="AL6" s="4"/>
      <c r="AM6" s="4"/>
      <c r="AN6" s="4"/>
      <c r="AO6" s="4"/>
      <c r="AQ6" s="4" t="s">
        <v>622</v>
      </c>
      <c r="AR6" s="4"/>
      <c r="AT6" s="4" t="s">
        <v>623</v>
      </c>
      <c r="AU6" s="4"/>
      <c r="AV6" s="4"/>
      <c r="AW6" s="4"/>
      <c r="AX6" s="4"/>
      <c r="AY6" s="4"/>
      <c r="BA6" s="4" t="s">
        <v>624</v>
      </c>
      <c r="BB6" s="4"/>
      <c r="BC6" s="4"/>
      <c r="BF6" s="4" t="s">
        <v>625</v>
      </c>
      <c r="BG6" s="4"/>
      <c r="BH6" s="4"/>
      <c r="BJ6" t="s">
        <v>626</v>
      </c>
      <c r="BK6" s="3">
        <f>SUM(BK10:BK627)</f>
        <v>60.217567225114365</v>
      </c>
      <c r="BM6" s="4" t="s">
        <v>627</v>
      </c>
      <c r="BN6" s="4"/>
      <c r="BU6" s="2"/>
    </row>
    <row r="7" spans="1:81">
      <c r="A7" s="2"/>
      <c r="B7" s="2"/>
      <c r="C7" s="2" t="s">
        <v>628</v>
      </c>
      <c r="D7" s="2"/>
      <c r="E7" s="2"/>
      <c r="F7" s="2" t="s">
        <v>629</v>
      </c>
      <c r="G7" s="2"/>
      <c r="H7" s="2"/>
      <c r="I7" s="2"/>
      <c r="J7" s="2"/>
      <c r="M7" s="454" t="s">
        <v>630</v>
      </c>
      <c r="N7" s="454"/>
      <c r="O7" s="454" t="s">
        <v>429</v>
      </c>
      <c r="P7" s="454"/>
      <c r="Q7" s="454" t="s">
        <v>431</v>
      </c>
      <c r="R7" s="454"/>
      <c r="S7" s="454" t="s">
        <v>432</v>
      </c>
      <c r="T7" s="454"/>
      <c r="U7" s="454" t="s">
        <v>434</v>
      </c>
      <c r="V7" s="454"/>
      <c r="AC7" t="s">
        <v>631</v>
      </c>
      <c r="AE7" t="s">
        <v>632</v>
      </c>
      <c r="AG7" t="s">
        <v>633</v>
      </c>
      <c r="AJ7" t="s">
        <v>631</v>
      </c>
      <c r="AL7" t="s">
        <v>632</v>
      </c>
      <c r="AN7" t="s">
        <v>633</v>
      </c>
      <c r="AQ7" t="s">
        <v>634</v>
      </c>
      <c r="AT7" t="s">
        <v>631</v>
      </c>
      <c r="AW7" t="s">
        <v>632</v>
      </c>
      <c r="BU7" s="2"/>
    </row>
    <row r="8" spans="1:81">
      <c r="A8" s="2" t="s">
        <v>635</v>
      </c>
      <c r="B8" s="2"/>
      <c r="C8" s="2" t="s">
        <v>636</v>
      </c>
      <c r="D8" s="2" t="s">
        <v>637</v>
      </c>
      <c r="E8" s="2"/>
      <c r="F8" s="2" t="s">
        <v>636</v>
      </c>
      <c r="G8" s="2"/>
      <c r="H8" s="2" t="s">
        <v>637</v>
      </c>
      <c r="I8" s="2"/>
      <c r="J8" s="2" t="s">
        <v>636</v>
      </c>
      <c r="M8" s="2" t="s">
        <v>636</v>
      </c>
      <c r="N8" s="2" t="s">
        <v>637</v>
      </c>
      <c r="O8" s="2" t="s">
        <v>636</v>
      </c>
      <c r="P8" s="2" t="s">
        <v>637</v>
      </c>
      <c r="Q8" s="2" t="s">
        <v>636</v>
      </c>
      <c r="R8" s="2" t="s">
        <v>637</v>
      </c>
      <c r="S8" s="2" t="s">
        <v>636</v>
      </c>
      <c r="T8" s="2" t="s">
        <v>637</v>
      </c>
      <c r="U8" s="2" t="s">
        <v>636</v>
      </c>
      <c r="V8" s="2" t="s">
        <v>637</v>
      </c>
      <c r="X8" s="2" t="s">
        <v>638</v>
      </c>
      <c r="Y8" s="2" t="s">
        <v>639</v>
      </c>
      <c r="Z8" s="2" t="s">
        <v>640</v>
      </c>
      <c r="AC8" t="s">
        <v>641</v>
      </c>
      <c r="AD8" t="s">
        <v>642</v>
      </c>
      <c r="AE8" t="s">
        <v>641</v>
      </c>
      <c r="AF8" t="s">
        <v>642</v>
      </c>
      <c r="AG8" t="s">
        <v>643</v>
      </c>
      <c r="AH8" t="s">
        <v>644</v>
      </c>
      <c r="AJ8" t="s">
        <v>641</v>
      </c>
      <c r="AK8" t="s">
        <v>642</v>
      </c>
      <c r="AL8" t="s">
        <v>641</v>
      </c>
      <c r="AM8" t="s">
        <v>642</v>
      </c>
      <c r="AN8" t="s">
        <v>645</v>
      </c>
      <c r="AO8" t="s">
        <v>646</v>
      </c>
      <c r="AQ8" t="s">
        <v>641</v>
      </c>
      <c r="AR8" t="s">
        <v>642</v>
      </c>
      <c r="AT8" t="s">
        <v>641</v>
      </c>
      <c r="AU8" t="s">
        <v>642</v>
      </c>
      <c r="AV8" t="s">
        <v>637</v>
      </c>
      <c r="AW8" t="s">
        <v>641</v>
      </c>
      <c r="AX8" t="s">
        <v>642</v>
      </c>
      <c r="AY8" t="s">
        <v>637</v>
      </c>
      <c r="BA8" t="s">
        <v>647</v>
      </c>
      <c r="BB8" t="s">
        <v>648</v>
      </c>
      <c r="BC8" t="s">
        <v>649</v>
      </c>
      <c r="BF8" t="s">
        <v>638</v>
      </c>
      <c r="BG8" t="s">
        <v>639</v>
      </c>
      <c r="BH8" t="s">
        <v>650</v>
      </c>
      <c r="BM8" t="s">
        <v>638</v>
      </c>
      <c r="BN8" t="s">
        <v>651</v>
      </c>
      <c r="BQ8" s="2"/>
      <c r="BR8" s="2"/>
      <c r="BS8" s="2"/>
      <c r="BT8" t="s">
        <v>652</v>
      </c>
      <c r="BY8" s="2"/>
      <c r="BZ8" s="2"/>
      <c r="CA8" s="2"/>
      <c r="CB8" s="2"/>
    </row>
    <row r="9" spans="1:81">
      <c r="A9">
        <v>1</v>
      </c>
      <c r="B9">
        <f>A9/1000</f>
        <v>1E-3</v>
      </c>
      <c r="C9">
        <f t="shared" ref="C9:C72" si="0">SQRT((A9/Fesr)^2+1)</f>
        <v>1.000000000012633</v>
      </c>
      <c r="D9">
        <f t="shared" ref="D9:D72" si="1">ATAN(A9/Fesr)</f>
        <v>5.0265482399576667E-6</v>
      </c>
      <c r="F9">
        <f t="shared" ref="F9:F72" si="2">(Ro/(Ro+Rdcr))/SQRT((A9/(Q*Fo))^2+(1-(A9^2/Fo^2))^2)</f>
        <v>0.98231814742704593</v>
      </c>
      <c r="G9">
        <f t="shared" ref="G9:G72" si="3">-ATAN(A9*Fo/(Q*(Fo^2-A9^2)))</f>
        <v>-9.5757001117885798E-5</v>
      </c>
      <c r="H9">
        <f t="shared" ref="H9:H72" si="4">IF(G9&gt;0,G9-Pi,G9)</f>
        <v>-9.5757001117885798E-5</v>
      </c>
      <c r="J9">
        <f t="shared" ref="J9:J72" si="5">Vin/Vramp</f>
        <v>15</v>
      </c>
      <c r="M9">
        <f t="shared" ref="M9:M72" si="6">1/(2*Pi*_Rfb1*(Cc1ea_u+Cc2ea_u)*A9)</f>
        <v>1505.976817985965</v>
      </c>
      <c r="N9">
        <f t="shared" ref="N9:N72" si="7">-Pi/2</f>
        <v>-1.5707963250000001</v>
      </c>
      <c r="O9">
        <f t="shared" ref="O9:O72" si="8">SQRT(1+(A9/Fz1_u)^2)</f>
        <v>1.0000001187116438</v>
      </c>
      <c r="P9">
        <f t="shared" ref="P9:P72" si="9">ATAN2(Fz1_u,A9)</f>
        <v>4.8726098145263221E-4</v>
      </c>
      <c r="Q9">
        <f t="shared" ref="Q9:Q72" si="10">SQRT(1+(A9/Fz2_u)^2)</f>
        <v>1.0000000723058589</v>
      </c>
      <c r="R9">
        <f t="shared" ref="R9:R72" si="11">ATAN2(Fz2_u,A9)</f>
        <v>3.8027846221805279E-4</v>
      </c>
      <c r="S9">
        <f t="shared" ref="S9:S72" si="12">1/SQRT(1+(A9/Fp1_u)^2)</f>
        <v>0.99999999998563083</v>
      </c>
      <c r="T9">
        <f t="shared" ref="T9:T72" si="13">-ATAN2(Fp1_u,A9)</f>
        <v>-5.3608136979086457E-6</v>
      </c>
      <c r="U9">
        <f t="shared" ref="U9:U72" si="14">1/SQRT(1+(A9/Fp2_u)^2)</f>
        <v>0.99999999996509392</v>
      </c>
      <c r="V9">
        <f t="shared" ref="V9:V72" si="15">-ATAN2(Fp2_u,A9)</f>
        <v>-8.3553750816186121E-6</v>
      </c>
      <c r="X9">
        <f>20*LOG(C9*J9*O9*Q9*F9*M9*S9*U9)</f>
        <v>86.923235919681929</v>
      </c>
      <c r="Y9">
        <f t="shared" ref="Y9:Y72" si="16">(180/Pi)*(D9+H9+N9+P9+R9+T9+V9)</f>
        <v>-89.956278003017857</v>
      </c>
      <c r="Z9">
        <f>Y9+180</f>
        <v>90.043721996982143</v>
      </c>
      <c r="AC9">
        <v>1</v>
      </c>
      <c r="AD9">
        <f t="shared" ref="AD9:AD72" si="17">Rcea1_u*Cc1ea_u*A9*2*Pi</f>
        <v>4.8726102001500003E-4</v>
      </c>
      <c r="AE9">
        <f t="shared" ref="AE9:AE72" si="18">-Rcea1_u*Cc1ea_u*Cc2ea_u*(A9*2*Pi)^2</f>
        <v>-2.5104720481414287E-13</v>
      </c>
      <c r="AF9">
        <f t="shared" ref="AF9:AF72" si="19">(Cc2ea_u+Cc1ea_u)*A9*2*Pi</f>
        <v>3.0046192104600004E-8</v>
      </c>
      <c r="AG9">
        <f>AC9*AE9/(AE9^2+AF9^2)+AD9*AF9/(AE9^2+AF9^2)</f>
        <v>15938.979662798407</v>
      </c>
      <c r="AH9">
        <f>AD9*AE9/(AE9^2+AF9^2)-AC9*AF9/(AE9^2+AF9^2)</f>
        <v>-33282087.810665984</v>
      </c>
      <c r="AI9">
        <f>SQRT(AG9^2+AH9^2)</f>
        <v>33282091.627299417</v>
      </c>
      <c r="AJ9">
        <f t="shared" ref="AJ9:AJ72" si="20">_Rfb1</f>
        <v>22100</v>
      </c>
      <c r="AK9">
        <f t="shared" ref="AK9:AK72" si="21">_Rfb1*Rcea2_u*Cc3ea_u*A9*2*Pi</f>
        <v>0.11847398272491601</v>
      </c>
      <c r="AL9">
        <v>1</v>
      </c>
      <c r="AM9">
        <f t="shared" ref="AM9:AM72" si="22">(_Rfb1+Rcea2_u)*Cc3ea_u*A9*2*Pi</f>
        <v>3.8027848054896001E-4</v>
      </c>
      <c r="AN9">
        <f>AJ9*AL9/(AL9^2+AM9^2)+AK9*AM9/(AL9^2+AM9^2)</f>
        <v>22099.996849134488</v>
      </c>
      <c r="AO9">
        <f>AK9*AL9/(AL9^2+AM9^2)-AJ9*AM9/(AL9^2+AM9^2)</f>
        <v>-8.2856792392007517</v>
      </c>
      <c r="AP9" s="42">
        <f>SQRT(AN9^2+AO9^2)</f>
        <v>22099.998402358196</v>
      </c>
      <c r="AQ9">
        <f t="shared" ref="AQ9:AQ72" si="23">Eadcg/(1+(Eadcg*A9/GBP)^2)</f>
        <v>9999.9600001600011</v>
      </c>
      <c r="AR9">
        <f t="shared" ref="AR9:AR72" si="24">-(A9*Eadcg*Eadcg/GBP)/(1+(Eadcg*A9/GBP)^2)</f>
        <v>-19.99992000032</v>
      </c>
      <c r="AT9">
        <f>-AR9*AH9+AG9*AQ9</f>
        <v>-506249934.58559728</v>
      </c>
      <c r="AU9">
        <f>AQ9*AH9+AG9*AR9</f>
        <v>-332819865606.79071</v>
      </c>
      <c r="AV9">
        <f>ATAN2(AT9,AU9)</f>
        <v>-1.5723174185218651</v>
      </c>
      <c r="AW9">
        <f t="shared" ref="AW9:AW73" si="25">AG9-AH9*AO9/_Rfb2+AG9*AN9/_Rfb2+AN9-AO9*AR9+AQ9*AN9</f>
        <v>221055127.67514265</v>
      </c>
      <c r="AX9">
        <f t="shared" ref="AX9:AX73" si="26">AH9+AH9*AN9/_Rfb2+AG9*AO9/_Rfb2+AO9+AO9*AQ9+AN9*AR9</f>
        <v>-208537918.19333515</v>
      </c>
      <c r="AY9">
        <f>ATAN2(AW9,AX9)</f>
        <v>-0.75626903969911452</v>
      </c>
      <c r="BA9">
        <f t="shared" ref="BA9:BA72" si="27">SQRT(AT9^2+AU9^2)/SQRT(AW9^2+AX9^2)</f>
        <v>1095.174244595258</v>
      </c>
      <c r="BB9" s="42">
        <f>20*LOG(BA9)</f>
        <v>60.789664437330899</v>
      </c>
      <c r="BC9">
        <f>AV9-AY9</f>
        <v>-0.81604837882275061</v>
      </c>
      <c r="BD9">
        <f t="shared" ref="BD9:BD72" si="28">BC9*180/Pi-180</f>
        <v>-226.75612803846326</v>
      </c>
      <c r="BF9">
        <f t="shared" ref="BF9:BF72" si="29">20*LOG(BA9*J9*F9*C9)</f>
        <v>84.156532964818524</v>
      </c>
      <c r="BG9">
        <f t="shared" ref="BG9:BG72" si="30">(180/Pi)*(D9+H9+BC9)</f>
        <v>-46.76132651049241</v>
      </c>
      <c r="BH9">
        <f>IF(BG9&gt;180,BG9-180,BG9+180)</f>
        <v>133.23867348950759</v>
      </c>
      <c r="BI9">
        <f>IF(BH9&gt;180,BH9-360,BH9)</f>
        <v>133.23867348950759</v>
      </c>
      <c r="BJ9">
        <f t="shared" ref="BJ9:BJ72" si="31">SUM((BF10&lt;0)*(BF9&gt;0))*A9</f>
        <v>0</v>
      </c>
      <c r="BK9">
        <f>IF(BJ9&gt;0,BI9,0)</f>
        <v>0</v>
      </c>
      <c r="BM9">
        <f>20*LOG(J9*F9*C9)</f>
        <v>23.366868527487625</v>
      </c>
      <c r="BN9">
        <f t="shared" ref="BN9:BN72" si="32">(H9+D9)*180/Pi</f>
        <v>-5.1984720291559962E-3</v>
      </c>
      <c r="BQ9" s="47">
        <f>20*LOG(BA9*7)</f>
        <v>77.691625237616037</v>
      </c>
      <c r="BR9" s="47"/>
      <c r="BS9" s="47"/>
      <c r="BT9" s="47" t="s">
        <v>635</v>
      </c>
      <c r="BU9" s="47" t="s">
        <v>636</v>
      </c>
      <c r="BV9" s="47" t="s">
        <v>637</v>
      </c>
      <c r="BW9" s="47"/>
      <c r="BY9" s="47"/>
      <c r="BZ9" s="47"/>
      <c r="CA9" s="47"/>
      <c r="CC9" s="47"/>
    </row>
    <row r="10" spans="1:81">
      <c r="A10">
        <v>2</v>
      </c>
      <c r="B10">
        <f t="shared" ref="B10:B73" si="33">A10/1000</f>
        <v>2E-3</v>
      </c>
      <c r="C10">
        <f t="shared" si="0"/>
        <v>1.0000000000505322</v>
      </c>
      <c r="D10">
        <f t="shared" si="1"/>
        <v>1.005309647966133E-5</v>
      </c>
      <c r="F10">
        <f t="shared" si="2"/>
        <v>0.98231843653104456</v>
      </c>
      <c r="G10">
        <f t="shared" si="3"/>
        <v>-1.9151405947789242E-4</v>
      </c>
      <c r="H10">
        <f t="shared" si="4"/>
        <v>-1.9151405947789242E-4</v>
      </c>
      <c r="J10">
        <f t="shared" si="5"/>
        <v>15</v>
      </c>
      <c r="M10">
        <f t="shared" si="6"/>
        <v>752.9884089929825</v>
      </c>
      <c r="N10">
        <f t="shared" si="7"/>
        <v>-1.5707963250000001</v>
      </c>
      <c r="O10">
        <f t="shared" si="8"/>
        <v>1.0000004748464906</v>
      </c>
      <c r="P10">
        <f t="shared" si="9"/>
        <v>9.7452173153118893E-4</v>
      </c>
      <c r="Q10">
        <f t="shared" si="10"/>
        <v>1.0000002892234037</v>
      </c>
      <c r="R10">
        <f t="shared" si="11"/>
        <v>7.6055681445070091E-4</v>
      </c>
      <c r="S10">
        <f t="shared" si="12"/>
        <v>0.99999999994252331</v>
      </c>
      <c r="T10">
        <f t="shared" si="13"/>
        <v>-1.072162739550917E-5</v>
      </c>
      <c r="U10">
        <f t="shared" si="14"/>
        <v>0.99999999986037547</v>
      </c>
      <c r="V10">
        <f t="shared" si="15"/>
        <v>-1.6710750162070609E-5</v>
      </c>
      <c r="X10">
        <f t="shared" ref="X10:X73" si="34">20*LOG(C10*J10*O10*Q10*F10*M10*S10*U10)</f>
        <v>80.902643539241694</v>
      </c>
      <c r="Y10">
        <f t="shared" si="16"/>
        <v>-89.912556028873851</v>
      </c>
      <c r="Z10">
        <f t="shared" ref="Z10:Z73" si="35">Y10+180</f>
        <v>90.087443971126149</v>
      </c>
      <c r="AC10">
        <v>1</v>
      </c>
      <c r="AD10">
        <f t="shared" si="17"/>
        <v>9.7452204003000006E-4</v>
      </c>
      <c r="AE10">
        <f t="shared" si="18"/>
        <v>-1.0041888192565715E-12</v>
      </c>
      <c r="AF10">
        <f t="shared" si="19"/>
        <v>6.0092384209200008E-8</v>
      </c>
      <c r="AG10">
        <f t="shared" ref="AG10:AG73" si="36">AC10*AE10/(AE10^2+AF10^2)+AD10*AF10/(AE10^2+AF10^2)</f>
        <v>15938.979659460196</v>
      </c>
      <c r="AH10">
        <f t="shared" ref="AH10:AH73" si="37">AD10*AE10/(AE10^2+AF10^2)-AC10*AF10/(AE10^2+AF10^2)</f>
        <v>-16641044.105097221</v>
      </c>
      <c r="AJ10">
        <f t="shared" si="20"/>
        <v>22100</v>
      </c>
      <c r="AK10">
        <f t="shared" si="21"/>
        <v>0.23694796544983202</v>
      </c>
      <c r="AL10">
        <v>1</v>
      </c>
      <c r="AM10">
        <f t="shared" si="22"/>
        <v>7.6055696109792001E-4</v>
      </c>
      <c r="AN10">
        <f t="shared" ref="AN10:AN73" si="38">AJ10*AL10/(AL10^2+AM10^2)+AK10*AM10/(AL10^2+AM10^2)</f>
        <v>22099.98739654342</v>
      </c>
      <c r="AO10">
        <f t="shared" ref="AO10:AO73" si="39">AK10*AL10/(AL10^2+AM10^2)-AJ10*AM10/(AL10^2+AM10^2)</f>
        <v>-16.571351289167566</v>
      </c>
      <c r="AQ10">
        <f t="shared" si="23"/>
        <v>9999.8400025599585</v>
      </c>
      <c r="AR10">
        <f t="shared" si="24"/>
        <v>-39.999360010239833</v>
      </c>
      <c r="AT10">
        <f t="shared" ref="AT10:AT21" si="40">-AR10*AH10+AG10*AQ10</f>
        <v>-506243867.70740354</v>
      </c>
      <c r="AU10">
        <f t="shared" ref="AU10:AU21" si="41">AQ10*AH10+AG10*AR10</f>
        <v>-166408416075.50137</v>
      </c>
      <c r="AV10">
        <f t="shared" ref="AV10:AV73" si="42">ATAN2(AT10,AU10)</f>
        <v>-1.5738384944803989</v>
      </c>
      <c r="AW10">
        <f t="shared" si="25"/>
        <v>221051884.05600652</v>
      </c>
      <c r="AX10">
        <f t="shared" si="26"/>
        <v>-105056251.36389126</v>
      </c>
      <c r="AY10">
        <f>ATAN2(AW10,AX10)</f>
        <v>-0.44365725202648065</v>
      </c>
      <c r="BA10">
        <f t="shared" si="27"/>
        <v>679.92523715984771</v>
      </c>
      <c r="BB10">
        <f t="shared" ref="BB10:BB73" si="43">20*LOG(BA10)</f>
        <v>56.649223228419636</v>
      </c>
      <c r="BC10">
        <f t="shared" ref="BC10:BC73" si="44">AV10-AY10</f>
        <v>-1.1301812424539182</v>
      </c>
      <c r="BD10">
        <f t="shared" si="28"/>
        <v>-244.75461535145405</v>
      </c>
      <c r="BF10">
        <f t="shared" si="29"/>
        <v>80.016094312562075</v>
      </c>
      <c r="BG10">
        <f t="shared" si="30"/>
        <v>-64.765012298792115</v>
      </c>
      <c r="BH10">
        <f t="shared" ref="BH10:BH73" si="45">IF(BG10&gt;180,BG10-180,BG10+180)</f>
        <v>115.23498770120788</v>
      </c>
      <c r="BI10">
        <f t="shared" ref="BI10:BI73" si="46">IF(BH10&gt;180,BH10-360,BH10)</f>
        <v>115.23498770120788</v>
      </c>
      <c r="BJ10">
        <f t="shared" si="31"/>
        <v>0</v>
      </c>
      <c r="BK10">
        <f t="shared" ref="BK10:BK73" si="47">IF(BJ10&gt;0,BI10,0)</f>
        <v>0</v>
      </c>
      <c r="BM10">
        <f t="shared" ref="BM10:BM73" si="48">20*LOG(J10*F10*C10)</f>
        <v>23.366871084142446</v>
      </c>
      <c r="BN10">
        <f t="shared" si="32"/>
        <v>-1.0396947338058482E-2</v>
      </c>
      <c r="BQ10" s="47">
        <f t="shared" ref="BQ10:BQ73" si="49">20*LOG(BA10*7)</f>
        <v>73.551184028704768</v>
      </c>
      <c r="BR10" s="527"/>
      <c r="BS10" s="527"/>
      <c r="BT10" s="527">
        <v>100</v>
      </c>
      <c r="BU10" s="527">
        <v>35.359299999999998</v>
      </c>
      <c r="BV10" s="527">
        <v>-267.66769999999997</v>
      </c>
      <c r="BW10" s="49"/>
      <c r="BY10" s="527"/>
      <c r="BZ10" s="527"/>
      <c r="CA10" s="527"/>
      <c r="CC10" s="527"/>
    </row>
    <row r="11" spans="1:81">
      <c r="A11">
        <v>3</v>
      </c>
      <c r="B11">
        <f t="shared" si="33"/>
        <v>3.0000000000000001E-3</v>
      </c>
      <c r="C11">
        <f t="shared" si="0"/>
        <v>1.0000000001136977</v>
      </c>
      <c r="D11">
        <f t="shared" si="1"/>
        <v>1.5079644718856987E-5</v>
      </c>
      <c r="F11">
        <f t="shared" si="2"/>
        <v>0.98231891837140251</v>
      </c>
      <c r="G11">
        <f t="shared" si="3"/>
        <v>-2.8727123232225125E-4</v>
      </c>
      <c r="H11">
        <f t="shared" si="4"/>
        <v>-2.8727123232225125E-4</v>
      </c>
      <c r="J11">
        <f t="shared" si="5"/>
        <v>15</v>
      </c>
      <c r="M11">
        <f t="shared" si="6"/>
        <v>501.99227266198841</v>
      </c>
      <c r="N11">
        <f t="shared" si="7"/>
        <v>-1.5707963250000001</v>
      </c>
      <c r="O11">
        <f t="shared" si="8"/>
        <v>1.0000010684042866</v>
      </c>
      <c r="P11">
        <f t="shared" si="9"/>
        <v>1.461782018862254E-3</v>
      </c>
      <c r="Q11">
        <f t="shared" si="10"/>
        <v>1.0000006507525407</v>
      </c>
      <c r="R11">
        <f t="shared" si="11"/>
        <v>1.1408349467127304E-3</v>
      </c>
      <c r="S11">
        <f t="shared" si="12"/>
        <v>0.99999999987067767</v>
      </c>
      <c r="T11">
        <f t="shared" si="13"/>
        <v>-1.6082441092493456E-5</v>
      </c>
      <c r="U11">
        <f t="shared" si="14"/>
        <v>0.99999999968584463</v>
      </c>
      <c r="V11">
        <f t="shared" si="15"/>
        <v>-2.5066125240189374E-5</v>
      </c>
      <c r="X11">
        <f t="shared" si="34"/>
        <v>77.380830912855188</v>
      </c>
      <c r="Y11">
        <f t="shared" si="16"/>
        <v>-89.868834100406033</v>
      </c>
      <c r="Z11">
        <f t="shared" si="35"/>
        <v>90.131165899593967</v>
      </c>
      <c r="AC11">
        <v>1</v>
      </c>
      <c r="AD11">
        <f t="shared" si="17"/>
        <v>1.4617830600450001E-3</v>
      </c>
      <c r="AE11">
        <f t="shared" si="18"/>
        <v>-2.2594248433272859E-12</v>
      </c>
      <c r="AF11">
        <f t="shared" si="19"/>
        <v>9.0138576313800013E-8</v>
      </c>
      <c r="AG11">
        <f t="shared" si="36"/>
        <v>15938.979653896509</v>
      </c>
      <c r="AH11">
        <f t="shared" si="37"/>
        <v>-11094029.625358403</v>
      </c>
      <c r="AJ11">
        <f t="shared" si="20"/>
        <v>22100</v>
      </c>
      <c r="AK11">
        <f t="shared" si="21"/>
        <v>0.35542194817474804</v>
      </c>
      <c r="AL11">
        <v>1</v>
      </c>
      <c r="AM11">
        <f t="shared" si="22"/>
        <v>1.1408354416468801E-3</v>
      </c>
      <c r="AN11">
        <f t="shared" si="38"/>
        <v>22099.971642243207</v>
      </c>
      <c r="AO11">
        <f t="shared" si="39"/>
        <v>-24.857008960687303</v>
      </c>
      <c r="AQ11">
        <f t="shared" si="23"/>
        <v>9999.6400129595349</v>
      </c>
      <c r="AR11">
        <f t="shared" si="24"/>
        <v>-59.997840077757203</v>
      </c>
      <c r="AT11">
        <f t="shared" si="40"/>
        <v>-506233756.56730264</v>
      </c>
      <c r="AU11">
        <f t="shared" si="41"/>
        <v>-110937258851.04465</v>
      </c>
      <c r="AV11">
        <f t="shared" si="42"/>
        <v>-1.5753595389028296</v>
      </c>
      <c r="AW11">
        <f t="shared" si="25"/>
        <v>221046478.19823989</v>
      </c>
      <c r="AX11">
        <f t="shared" si="26"/>
        <v>-70912241.104306012</v>
      </c>
      <c r="AY11">
        <f t="shared" ref="AY11:AY74" si="50">ATAN2(AW11,AX11)</f>
        <v>-0.31043064298038697</v>
      </c>
      <c r="BA11">
        <f t="shared" si="27"/>
        <v>477.8895038791365</v>
      </c>
      <c r="BB11">
        <f t="shared" si="43"/>
        <v>53.58654984006931</v>
      </c>
      <c r="BC11">
        <f t="shared" si="44"/>
        <v>-1.2649288959224427</v>
      </c>
      <c r="BD11">
        <f t="shared" si="28"/>
        <v>-252.47508720331379</v>
      </c>
      <c r="BF11">
        <f t="shared" si="29"/>
        <v>76.953425185304638</v>
      </c>
      <c r="BG11">
        <f t="shared" si="30"/>
        <v>-72.490682632520247</v>
      </c>
      <c r="BH11">
        <f t="shared" si="45"/>
        <v>107.50931736747975</v>
      </c>
      <c r="BI11">
        <f t="shared" si="46"/>
        <v>107.50931736747975</v>
      </c>
      <c r="BJ11">
        <f t="shared" si="31"/>
        <v>0</v>
      </c>
      <c r="BK11">
        <f t="shared" si="47"/>
        <v>0</v>
      </c>
      <c r="BM11">
        <f t="shared" si="48"/>
        <v>23.366875345235322</v>
      </c>
      <c r="BN11">
        <f t="shared" si="32"/>
        <v>-1.5595429206460284E-2</v>
      </c>
      <c r="BQ11" s="47">
        <f t="shared" si="49"/>
        <v>70.488510640354448</v>
      </c>
      <c r="BR11" s="528"/>
      <c r="BS11" s="528"/>
      <c r="BT11" s="528">
        <v>102.32899999999999</v>
      </c>
      <c r="BU11" s="528">
        <v>34.936799999999998</v>
      </c>
      <c r="BV11" s="528">
        <v>-265.91489999999999</v>
      </c>
      <c r="BW11" s="49"/>
      <c r="BY11" s="528"/>
      <c r="BZ11" s="528"/>
      <c r="CA11" s="528"/>
      <c r="CC11" s="528"/>
    </row>
    <row r="12" spans="1:81">
      <c r="A12">
        <v>4</v>
      </c>
      <c r="B12">
        <f t="shared" si="33"/>
        <v>4.0000000000000001E-3</v>
      </c>
      <c r="C12">
        <f t="shared" si="0"/>
        <v>1.0000000002021294</v>
      </c>
      <c r="D12">
        <f t="shared" si="1"/>
        <v>2.0106192957290632E-5</v>
      </c>
      <c r="F12">
        <f t="shared" si="2"/>
        <v>0.98231959294865989</v>
      </c>
      <c r="G12">
        <f t="shared" si="3"/>
        <v>-3.830285768934146E-4</v>
      </c>
      <c r="H12">
        <f t="shared" si="4"/>
        <v>-3.830285768934146E-4</v>
      </c>
      <c r="J12">
        <f t="shared" si="5"/>
        <v>15</v>
      </c>
      <c r="M12">
        <f t="shared" si="6"/>
        <v>376.49420449649125</v>
      </c>
      <c r="N12">
        <f t="shared" si="7"/>
        <v>-1.5707963250000001</v>
      </c>
      <c r="O12">
        <f t="shared" si="8"/>
        <v>1.0000018993846091</v>
      </c>
      <c r="P12">
        <f t="shared" si="9"/>
        <v>1.9490416120737295E-3</v>
      </c>
      <c r="Q12">
        <f t="shared" si="10"/>
        <v>1.0000011568931129</v>
      </c>
      <c r="R12">
        <f t="shared" si="11"/>
        <v>1.5211127490193095E-3</v>
      </c>
      <c r="S12">
        <f t="shared" si="12"/>
        <v>0.99999999977009346</v>
      </c>
      <c r="T12">
        <f t="shared" si="13"/>
        <v>-2.1443254788553368E-5</v>
      </c>
      <c r="U12">
        <f t="shared" si="14"/>
        <v>0.99999999944150164</v>
      </c>
      <c r="V12">
        <f t="shared" si="15"/>
        <v>-3.3421500314808291E-5</v>
      </c>
      <c r="X12">
        <f t="shared" si="34"/>
        <v>74.88207375729624</v>
      </c>
      <c r="Y12">
        <f t="shared" si="16"/>
        <v>-89.825112240452412</v>
      </c>
      <c r="Z12">
        <f t="shared" si="35"/>
        <v>90.174887759547588</v>
      </c>
      <c r="AC12">
        <v>1</v>
      </c>
      <c r="AD12">
        <f t="shared" si="17"/>
        <v>1.9490440800600001E-3</v>
      </c>
      <c r="AE12">
        <f t="shared" si="18"/>
        <v>-4.016755277026286E-12</v>
      </c>
      <c r="AF12">
        <f t="shared" si="19"/>
        <v>1.2018476841840002E-7</v>
      </c>
      <c r="AG12">
        <f t="shared" si="36"/>
        <v>15938.979646107357</v>
      </c>
      <c r="AH12">
        <f t="shared" si="37"/>
        <v>-8320522.4520770712</v>
      </c>
      <c r="AJ12">
        <f t="shared" si="20"/>
        <v>22100</v>
      </c>
      <c r="AK12">
        <f t="shared" si="21"/>
        <v>0.47389593089966403</v>
      </c>
      <c r="AL12">
        <v>1</v>
      </c>
      <c r="AM12">
        <f t="shared" si="22"/>
        <v>1.52111392219584E-3</v>
      </c>
      <c r="AN12">
        <f t="shared" si="38"/>
        <v>22099.949586261177</v>
      </c>
      <c r="AO12">
        <f t="shared" si="39"/>
        <v>-33.142645064588407</v>
      </c>
      <c r="AQ12">
        <f t="shared" si="23"/>
        <v>9999.3600409573774</v>
      </c>
      <c r="AR12">
        <f t="shared" si="24"/>
        <v>-79.994880327659018</v>
      </c>
      <c r="AT12">
        <f t="shared" si="40"/>
        <v>-506219601.65058637</v>
      </c>
      <c r="AU12">
        <f t="shared" si="41"/>
        <v>-83201174763.957489</v>
      </c>
      <c r="AV12">
        <f t="shared" si="42"/>
        <v>-1.5768805360230242</v>
      </c>
      <c r="AW12">
        <f t="shared" si="25"/>
        <v>221038910.36301047</v>
      </c>
      <c r="AX12">
        <f t="shared" si="26"/>
        <v>-54102612.375324443</v>
      </c>
      <c r="AY12">
        <f t="shared" si="50"/>
        <v>-0.24004566808088026</v>
      </c>
      <c r="BA12">
        <f t="shared" si="27"/>
        <v>365.62364979877628</v>
      </c>
      <c r="BB12">
        <f t="shared" si="43"/>
        <v>51.260685592708441</v>
      </c>
      <c r="BC12">
        <f t="shared" si="44"/>
        <v>-1.336834867942144</v>
      </c>
      <c r="BD12">
        <f t="shared" si="28"/>
        <v>-256.59499592653617</v>
      </c>
      <c r="BF12">
        <f t="shared" si="29"/>
        <v>74.627566903476961</v>
      </c>
      <c r="BG12">
        <f t="shared" si="30"/>
        <v>-76.615789847450273</v>
      </c>
      <c r="BH12">
        <f t="shared" si="45"/>
        <v>103.38421015254973</v>
      </c>
      <c r="BI12">
        <f t="shared" si="46"/>
        <v>103.38421015254973</v>
      </c>
      <c r="BJ12">
        <f t="shared" si="31"/>
        <v>0</v>
      </c>
      <c r="BK12">
        <f t="shared" si="47"/>
        <v>0</v>
      </c>
      <c r="BM12">
        <f t="shared" si="48"/>
        <v>23.36688131076853</v>
      </c>
      <c r="BN12">
        <f t="shared" si="32"/>
        <v>-2.0793920914126886E-2</v>
      </c>
      <c r="BQ12" s="47">
        <f t="shared" si="49"/>
        <v>68.162646392993565</v>
      </c>
      <c r="BR12" s="527"/>
      <c r="BS12" s="527"/>
      <c r="BT12" s="527">
        <v>104.71299999999999</v>
      </c>
      <c r="BU12" s="527">
        <v>34.190800000000003</v>
      </c>
      <c r="BV12" s="527">
        <v>-264.93219999999997</v>
      </c>
      <c r="BW12" s="49"/>
      <c r="BY12" s="527"/>
      <c r="BZ12" s="527"/>
      <c r="CA12" s="527"/>
      <c r="CC12" s="527"/>
    </row>
    <row r="13" spans="1:81">
      <c r="A13">
        <v>5</v>
      </c>
      <c r="B13">
        <f t="shared" si="33"/>
        <v>5.0000000000000001E-3</v>
      </c>
      <c r="C13">
        <f t="shared" si="0"/>
        <v>1.0000000003158274</v>
      </c>
      <c r="D13">
        <f t="shared" si="1"/>
        <v>2.5132741194708266E-5</v>
      </c>
      <c r="F13">
        <f t="shared" si="2"/>
        <v>0.98232046026357245</v>
      </c>
      <c r="G13">
        <f t="shared" si="3"/>
        <v>-4.7878615043416673E-4</v>
      </c>
      <c r="H13">
        <f t="shared" si="4"/>
        <v>-4.7878615043416673E-4</v>
      </c>
      <c r="J13">
        <f t="shared" si="5"/>
        <v>15</v>
      </c>
      <c r="M13">
        <f t="shared" si="6"/>
        <v>301.19536359719302</v>
      </c>
      <c r="N13">
        <f t="shared" si="7"/>
        <v>-1.5707963250000001</v>
      </c>
      <c r="O13">
        <f t="shared" si="8"/>
        <v>1.0000029677868665</v>
      </c>
      <c r="P13">
        <f t="shared" si="9"/>
        <v>2.4363002797954951E-3</v>
      </c>
      <c r="Q13">
        <f t="shared" si="10"/>
        <v>1.0000018076449009</v>
      </c>
      <c r="R13">
        <f t="shared" si="11"/>
        <v>1.9013901113861783E-3</v>
      </c>
      <c r="S13">
        <f t="shared" si="12"/>
        <v>0.99999999964077091</v>
      </c>
      <c r="T13">
        <f t="shared" si="13"/>
        <v>-2.68040684833808E-5</v>
      </c>
      <c r="U13">
        <f t="shared" si="14"/>
        <v>0.99999999912734649</v>
      </c>
      <c r="V13">
        <f t="shared" si="15"/>
        <v>-4.1776875384760754E-5</v>
      </c>
      <c r="X13">
        <f t="shared" si="34"/>
        <v>72.943896095611166</v>
      </c>
      <c r="Y13">
        <f t="shared" si="16"/>
        <v>-89.781390471850841</v>
      </c>
      <c r="Z13">
        <f t="shared" si="35"/>
        <v>90.218609528149159</v>
      </c>
      <c r="AC13">
        <v>1</v>
      </c>
      <c r="AD13">
        <f t="shared" si="17"/>
        <v>2.4363051000750001E-3</v>
      </c>
      <c r="AE13">
        <f t="shared" si="18"/>
        <v>-6.2761801203535715E-12</v>
      </c>
      <c r="AF13">
        <f t="shared" si="19"/>
        <v>1.5023096052300002E-7</v>
      </c>
      <c r="AG13">
        <f t="shared" si="36"/>
        <v>15938.979636092723</v>
      </c>
      <c r="AH13">
        <f t="shared" si="37"/>
        <v>-6656418.201378732</v>
      </c>
      <c r="AJ13">
        <f t="shared" si="20"/>
        <v>22100</v>
      </c>
      <c r="AK13">
        <f t="shared" si="21"/>
        <v>0.59236991362458002</v>
      </c>
      <c r="AL13">
        <v>1</v>
      </c>
      <c r="AM13">
        <f t="shared" si="22"/>
        <v>1.9013924027448E-3</v>
      </c>
      <c r="AN13">
        <f t="shared" si="38"/>
        <v>22099.921228635609</v>
      </c>
      <c r="AO13">
        <f t="shared" si="39"/>
        <v>-41.42825241176169</v>
      </c>
      <c r="AQ13">
        <f t="shared" si="23"/>
        <v>9999.0000999900003</v>
      </c>
      <c r="AR13">
        <f t="shared" si="24"/>
        <v>-99.990000999900005</v>
      </c>
      <c r="AT13">
        <f t="shared" si="40"/>
        <v>-506201403.63658226</v>
      </c>
      <c r="AU13">
        <f t="shared" si="41"/>
        <v>-66559119999.750954</v>
      </c>
      <c r="AV13">
        <f t="shared" si="42"/>
        <v>-1.5784014700771509</v>
      </c>
      <c r="AW13">
        <f t="shared" si="25"/>
        <v>221029180.91590992</v>
      </c>
      <c r="AX13">
        <f t="shared" si="26"/>
        <v>-44226699.737688147</v>
      </c>
      <c r="AY13">
        <f t="shared" si="50"/>
        <v>-0.19748632047167786</v>
      </c>
      <c r="BA13">
        <f t="shared" si="27"/>
        <v>295.28811109278297</v>
      </c>
      <c r="BB13">
        <f t="shared" si="43"/>
        <v>49.404919234544302</v>
      </c>
      <c r="BC13">
        <f t="shared" si="44"/>
        <v>-1.380915149605473</v>
      </c>
      <c r="BD13">
        <f t="shared" si="28"/>
        <v>-259.12061002847872</v>
      </c>
      <c r="BF13">
        <f t="shared" si="29"/>
        <v>72.771808215289525</v>
      </c>
      <c r="BG13">
        <f t="shared" si="30"/>
        <v>-79.14660245421959</v>
      </c>
      <c r="BH13">
        <f t="shared" si="45"/>
        <v>100.85339754578041</v>
      </c>
      <c r="BI13">
        <f t="shared" si="46"/>
        <v>100.85339754578041</v>
      </c>
      <c r="BJ13">
        <f t="shared" si="31"/>
        <v>0</v>
      </c>
      <c r="BK13">
        <f t="shared" si="47"/>
        <v>0</v>
      </c>
      <c r="BM13">
        <f t="shared" si="48"/>
        <v>23.366888980745234</v>
      </c>
      <c r="BN13">
        <f t="shared" si="32"/>
        <v>-2.5992425740842789E-2</v>
      </c>
      <c r="BQ13" s="47">
        <f t="shared" si="49"/>
        <v>66.306880034829433</v>
      </c>
      <c r="BR13" s="528"/>
      <c r="BS13" s="528"/>
      <c r="BT13" s="528">
        <v>107.152</v>
      </c>
      <c r="BU13" s="528">
        <v>34.477699999999999</v>
      </c>
      <c r="BV13" s="528">
        <v>-262.3057</v>
      </c>
      <c r="BW13" s="49"/>
      <c r="BY13" s="528"/>
      <c r="BZ13" s="528"/>
      <c r="CA13" s="528"/>
      <c r="CC13" s="528"/>
    </row>
    <row r="14" spans="1:81">
      <c r="A14">
        <v>6</v>
      </c>
      <c r="B14">
        <f t="shared" si="33"/>
        <v>6.0000000000000001E-3</v>
      </c>
      <c r="C14">
        <f t="shared" si="0"/>
        <v>1.0000000004547913</v>
      </c>
      <c r="D14">
        <f t="shared" si="1"/>
        <v>3.015928943085588E-5</v>
      </c>
      <c r="F14">
        <f t="shared" si="2"/>
        <v>0.98232152031711295</v>
      </c>
      <c r="G14">
        <f t="shared" si="3"/>
        <v>-5.7454401018773387E-4</v>
      </c>
      <c r="H14">
        <f t="shared" si="4"/>
        <v>-5.7454401018773387E-4</v>
      </c>
      <c r="J14">
        <f t="shared" si="5"/>
        <v>15</v>
      </c>
      <c r="M14">
        <f t="shared" si="6"/>
        <v>250.9961363309942</v>
      </c>
      <c r="N14">
        <f t="shared" si="7"/>
        <v>-1.5707963250000001</v>
      </c>
      <c r="O14">
        <f t="shared" si="8"/>
        <v>1.0000042736102974</v>
      </c>
      <c r="P14">
        <f t="shared" si="9"/>
        <v>2.9235577906600672E-3</v>
      </c>
      <c r="Q14">
        <f t="shared" si="10"/>
        <v>1.0000026030076221</v>
      </c>
      <c r="R14">
        <f t="shared" si="11"/>
        <v>2.2816669238298407E-3</v>
      </c>
      <c r="S14">
        <f t="shared" si="12"/>
        <v>0.99999999948271023</v>
      </c>
      <c r="T14">
        <f t="shared" si="13"/>
        <v>-3.2164882176667625E-5</v>
      </c>
      <c r="U14">
        <f t="shared" si="14"/>
        <v>0.99999999874337875</v>
      </c>
      <c r="V14">
        <f t="shared" si="15"/>
        <v>-5.0132250448880121E-5</v>
      </c>
      <c r="X14">
        <f t="shared" si="34"/>
        <v>71.360298794989689</v>
      </c>
      <c r="Y14">
        <f t="shared" si="16"/>
        <v>-89.737668817439015</v>
      </c>
      <c r="Z14">
        <f t="shared" si="35"/>
        <v>90.262331182560985</v>
      </c>
      <c r="AC14">
        <v>1</v>
      </c>
      <c r="AD14">
        <f t="shared" si="17"/>
        <v>2.9235661200900003E-3</v>
      </c>
      <c r="AE14">
        <f t="shared" si="18"/>
        <v>-9.0376993733091437E-12</v>
      </c>
      <c r="AF14">
        <f t="shared" si="19"/>
        <v>1.8027715262760003E-7</v>
      </c>
      <c r="AG14">
        <f t="shared" si="36"/>
        <v>15938.979623852621</v>
      </c>
      <c r="AH14">
        <f t="shared" si="37"/>
        <v>-5547015.4119718904</v>
      </c>
      <c r="AJ14">
        <f t="shared" si="20"/>
        <v>22100</v>
      </c>
      <c r="AK14">
        <f t="shared" si="21"/>
        <v>0.71084389634949607</v>
      </c>
      <c r="AL14">
        <v>1</v>
      </c>
      <c r="AM14">
        <f t="shared" si="22"/>
        <v>2.2816708832937601E-3</v>
      </c>
      <c r="AN14">
        <f t="shared" si="38"/>
        <v>22099.88656941571</v>
      </c>
      <c r="AO14">
        <f t="shared" si="39"/>
        <v>-49.713823813181143</v>
      </c>
      <c r="AQ14">
        <f t="shared" si="23"/>
        <v>9998.5602073301452</v>
      </c>
      <c r="AR14">
        <f t="shared" si="24"/>
        <v>-119.98272248796174</v>
      </c>
      <c r="AT14">
        <f t="shared" si="40"/>
        <v>-506179163.39857125</v>
      </c>
      <c r="AU14">
        <f t="shared" si="41"/>
        <v>-55464079969.758125</v>
      </c>
      <c r="AV14">
        <f t="shared" si="42"/>
        <v>-1.5799223253044465</v>
      </c>
      <c r="AW14">
        <f t="shared" si="25"/>
        <v>221017290.32690904</v>
      </c>
      <c r="AX14">
        <f t="shared" si="26"/>
        <v>-37817606.022460535</v>
      </c>
      <c r="AY14">
        <f t="shared" si="50"/>
        <v>-0.16946586860303994</v>
      </c>
      <c r="BA14">
        <f t="shared" si="27"/>
        <v>247.36450763467766</v>
      </c>
      <c r="BB14">
        <f t="shared" si="43"/>
        <v>47.866747726057483</v>
      </c>
      <c r="BC14">
        <f t="shared" si="44"/>
        <v>-1.4104564567014066</v>
      </c>
      <c r="BD14">
        <f t="shared" si="28"/>
        <v>-260.81320224830966</v>
      </c>
      <c r="BF14">
        <f t="shared" si="29"/>
        <v>71.233646081227008</v>
      </c>
      <c r="BG14">
        <f t="shared" si="30"/>
        <v>-80.844393195276098</v>
      </c>
      <c r="BH14">
        <f t="shared" si="45"/>
        <v>99.155606804723902</v>
      </c>
      <c r="BI14">
        <f t="shared" si="46"/>
        <v>99.155606804723902</v>
      </c>
      <c r="BJ14">
        <f t="shared" si="31"/>
        <v>0</v>
      </c>
      <c r="BK14">
        <f t="shared" si="47"/>
        <v>0</v>
      </c>
      <c r="BM14">
        <f t="shared" si="48"/>
        <v>23.366898355169518</v>
      </c>
      <c r="BN14">
        <f t="shared" si="32"/>
        <v>-3.1190946966417825E-2</v>
      </c>
      <c r="BQ14" s="47">
        <f t="shared" si="49"/>
        <v>64.768708526342621</v>
      </c>
      <c r="BR14" s="528"/>
      <c r="BS14" s="528"/>
      <c r="BT14" s="528">
        <v>109.648</v>
      </c>
      <c r="BU14" s="528">
        <v>34.114400000000003</v>
      </c>
      <c r="BV14" s="528">
        <v>-262.76620000000003</v>
      </c>
      <c r="BW14" s="49"/>
      <c r="BY14" s="528"/>
      <c r="BZ14" s="528"/>
      <c r="CA14" s="528"/>
      <c r="CC14" s="528"/>
    </row>
    <row r="15" spans="1:81">
      <c r="A15">
        <v>7</v>
      </c>
      <c r="B15">
        <f t="shared" si="33"/>
        <v>7.0000000000000001E-3</v>
      </c>
      <c r="C15">
        <f t="shared" si="0"/>
        <v>1.0000000006190215</v>
      </c>
      <c r="D15">
        <f t="shared" si="1"/>
        <v>3.5185837665479471E-5</v>
      </c>
      <c r="F15">
        <f t="shared" si="2"/>
        <v>0.98232277311046923</v>
      </c>
      <c r="G15">
        <f t="shared" si="3"/>
        <v>-6.7030221339789485E-4</v>
      </c>
      <c r="H15">
        <f t="shared" si="4"/>
        <v>-6.7030221339789485E-4</v>
      </c>
      <c r="J15">
        <f t="shared" si="5"/>
        <v>15</v>
      </c>
      <c r="M15">
        <f t="shared" si="6"/>
        <v>215.13954542656646</v>
      </c>
      <c r="N15">
        <f t="shared" si="7"/>
        <v>-1.5707963250000001</v>
      </c>
      <c r="O15">
        <f t="shared" si="8"/>
        <v>1.0000058168539721</v>
      </c>
      <c r="P15">
        <f t="shared" si="9"/>
        <v>3.4108139133032589E-3</v>
      </c>
      <c r="Q15">
        <f t="shared" si="10"/>
        <v>1.0000035429809315</v>
      </c>
      <c r="R15">
        <f t="shared" si="11"/>
        <v>2.6619430763677554E-3</v>
      </c>
      <c r="S15">
        <f t="shared" si="12"/>
        <v>0.99999999929591121</v>
      </c>
      <c r="T15">
        <f t="shared" si="13"/>
        <v>-3.7525695868105716E-5</v>
      </c>
      <c r="U15">
        <f t="shared" si="14"/>
        <v>0.99999999828959885</v>
      </c>
      <c r="V15">
        <f t="shared" si="15"/>
        <v>-5.8487625505999811E-5</v>
      </c>
      <c r="X15">
        <f t="shared" si="34"/>
        <v>70.021395644546232</v>
      </c>
      <c r="Y15">
        <f t="shared" si="16"/>
        <v>-89.693947300054433</v>
      </c>
      <c r="Z15">
        <f t="shared" si="35"/>
        <v>90.306052699945567</v>
      </c>
      <c r="AC15">
        <v>1</v>
      </c>
      <c r="AD15">
        <f t="shared" si="17"/>
        <v>3.410827140105E-3</v>
      </c>
      <c r="AE15">
        <f t="shared" si="18"/>
        <v>-1.2301313035893001E-11</v>
      </c>
      <c r="AF15">
        <f t="shared" si="19"/>
        <v>2.103233447322E-7</v>
      </c>
      <c r="AG15">
        <f t="shared" si="36"/>
        <v>15938.979609387045</v>
      </c>
      <c r="AH15">
        <f t="shared" si="37"/>
        <v>-4754584.8861601911</v>
      </c>
      <c r="AJ15">
        <f t="shared" si="20"/>
        <v>22100</v>
      </c>
      <c r="AK15">
        <f t="shared" si="21"/>
        <v>0.82931787907441212</v>
      </c>
      <c r="AL15">
        <v>1</v>
      </c>
      <c r="AM15">
        <f t="shared" si="22"/>
        <v>2.6619493638427201E-3</v>
      </c>
      <c r="AN15">
        <f t="shared" si="38"/>
        <v>22099.845608661624</v>
      </c>
      <c r="AO15">
        <f t="shared" si="39"/>
        <v>-57.999352079924734</v>
      </c>
      <c r="AQ15">
        <f t="shared" si="23"/>
        <v>9998.0403840847193</v>
      </c>
      <c r="AR15">
        <f t="shared" si="24"/>
        <v>-139.97256537718607</v>
      </c>
      <c r="AT15">
        <f t="shared" si="40"/>
        <v>-506152882.00368357</v>
      </c>
      <c r="AU15">
        <f t="shared" si="41"/>
        <v>-47538762721.253853</v>
      </c>
      <c r="AV15">
        <f t="shared" si="42"/>
        <v>-1.5814430859479822</v>
      </c>
      <c r="AW15">
        <f t="shared" si="25"/>
        <v>221003239.17030162</v>
      </c>
      <c r="AX15">
        <f t="shared" si="26"/>
        <v>-33389510.713395994</v>
      </c>
      <c r="AY15">
        <f t="shared" si="50"/>
        <v>-0.14994752465055264</v>
      </c>
      <c r="BA15">
        <f t="shared" si="27"/>
        <v>212.70272235032883</v>
      </c>
      <c r="BB15">
        <f t="shared" si="43"/>
        <v>46.555460968168312</v>
      </c>
      <c r="BC15">
        <f t="shared" si="44"/>
        <v>-1.4314955612974296</v>
      </c>
      <c r="BD15">
        <f t="shared" si="28"/>
        <v>-262.01865414777353</v>
      </c>
      <c r="BF15">
        <f t="shared" si="29"/>
        <v>69.922370402214696</v>
      </c>
      <c r="BG15">
        <f t="shared" si="30"/>
        <v>-82.055043635644211</v>
      </c>
      <c r="BH15">
        <f t="shared" si="45"/>
        <v>97.944956364355789</v>
      </c>
      <c r="BI15">
        <f t="shared" si="46"/>
        <v>97.944956364355789</v>
      </c>
      <c r="BJ15">
        <f t="shared" si="31"/>
        <v>0</v>
      </c>
      <c r="BK15">
        <f t="shared" si="47"/>
        <v>0</v>
      </c>
      <c r="BM15">
        <f t="shared" si="48"/>
        <v>23.366909434046377</v>
      </c>
      <c r="BN15">
        <f t="shared" si="32"/>
        <v>-3.6389487870693474E-2</v>
      </c>
      <c r="BQ15" s="47">
        <f t="shared" si="49"/>
        <v>63.45742176845345</v>
      </c>
      <c r="BR15" s="528"/>
      <c r="BS15" s="528"/>
      <c r="BT15" s="528">
        <v>112.202</v>
      </c>
      <c r="BU15" s="528">
        <v>34.297699999999999</v>
      </c>
      <c r="BV15" s="528">
        <v>-267.01279999999997</v>
      </c>
      <c r="BW15" s="49"/>
      <c r="BY15" s="528"/>
      <c r="BZ15" s="528"/>
      <c r="CA15" s="528"/>
      <c r="CC15" s="528"/>
    </row>
    <row r="16" spans="1:81">
      <c r="A16">
        <v>8</v>
      </c>
      <c r="B16">
        <f t="shared" si="33"/>
        <v>8.0000000000000002E-3</v>
      </c>
      <c r="C16">
        <f t="shared" si="0"/>
        <v>1.0000000008085179</v>
      </c>
      <c r="D16">
        <f t="shared" si="1"/>
        <v>4.0212385898325048E-5</v>
      </c>
      <c r="F16">
        <f t="shared" si="2"/>
        <v>0.98232421864504593</v>
      </c>
      <c r="G16">
        <f t="shared" si="3"/>
        <v>-7.6606081730909198E-4</v>
      </c>
      <c r="H16">
        <f t="shared" si="4"/>
        <v>-7.6606081730909198E-4</v>
      </c>
      <c r="J16">
        <f t="shared" si="5"/>
        <v>15</v>
      </c>
      <c r="M16">
        <f t="shared" si="6"/>
        <v>188.24710224824562</v>
      </c>
      <c r="N16">
        <f t="shared" si="7"/>
        <v>-1.5707963250000001</v>
      </c>
      <c r="O16">
        <f t="shared" si="8"/>
        <v>1.000007597516791</v>
      </c>
      <c r="P16">
        <f t="shared" si="9"/>
        <v>3.8980684163648373E-3</v>
      </c>
      <c r="Q16">
        <f t="shared" si="10"/>
        <v>1.0000046275644214</v>
      </c>
      <c r="R16">
        <f t="shared" si="11"/>
        <v>3.0422184590185252E-3</v>
      </c>
      <c r="S16">
        <f t="shared" si="12"/>
        <v>0.99999999908037362</v>
      </c>
      <c r="T16">
        <f t="shared" si="13"/>
        <v>-4.2886509557386956E-5</v>
      </c>
      <c r="U16">
        <f t="shared" si="14"/>
        <v>0.99999999776600679</v>
      </c>
      <c r="V16">
        <f t="shared" si="15"/>
        <v>-6.6843000554953175E-5</v>
      </c>
      <c r="X16">
        <f t="shared" si="34"/>
        <v>68.861594368978828</v>
      </c>
      <c r="Y16">
        <f t="shared" si="16"/>
        <v>-89.650225942534334</v>
      </c>
      <c r="Z16">
        <f t="shared" si="35"/>
        <v>90.349774057465666</v>
      </c>
      <c r="AC16">
        <v>1</v>
      </c>
      <c r="AD16">
        <f t="shared" si="17"/>
        <v>3.8980881601200002E-3</v>
      </c>
      <c r="AE16">
        <f t="shared" si="18"/>
        <v>-1.6067021108105144E-11</v>
      </c>
      <c r="AF16">
        <f t="shared" si="19"/>
        <v>2.4036953683680003E-7</v>
      </c>
      <c r="AG16">
        <f t="shared" si="36"/>
        <v>15938.979592695994</v>
      </c>
      <c r="AH16">
        <f t="shared" si="37"/>
        <v>-4160262.0250954521</v>
      </c>
      <c r="AJ16">
        <f t="shared" si="20"/>
        <v>22100</v>
      </c>
      <c r="AK16">
        <f t="shared" si="21"/>
        <v>0.94779186179932806</v>
      </c>
      <c r="AL16">
        <v>1</v>
      </c>
      <c r="AM16">
        <f t="shared" si="22"/>
        <v>3.0422278443916801E-3</v>
      </c>
      <c r="AN16">
        <f t="shared" si="38"/>
        <v>22099.798346444441</v>
      </c>
      <c r="AO16">
        <f t="shared" si="39"/>
        <v>-66.28483002319517</v>
      </c>
      <c r="AQ16">
        <f t="shared" si="23"/>
        <v>9997.4406551922712</v>
      </c>
      <c r="AR16">
        <f t="shared" si="24"/>
        <v>-159.95905048307634</v>
      </c>
      <c r="AT16">
        <f t="shared" si="40"/>
        <v>-506122560.71276999</v>
      </c>
      <c r="AU16">
        <f t="shared" si="41"/>
        <v>-41594522289.983116</v>
      </c>
      <c r="AV16">
        <f t="shared" si="42"/>
        <v>-1.5829637362554301</v>
      </c>
      <c r="AW16">
        <f t="shared" si="25"/>
        <v>220987028.12463605</v>
      </c>
      <c r="AX16">
        <f t="shared" si="26"/>
        <v>-30199497.04331369</v>
      </c>
      <c r="AY16">
        <f t="shared" si="50"/>
        <v>-0.13581603390949376</v>
      </c>
      <c r="BA16">
        <f t="shared" si="27"/>
        <v>186.50206114337036</v>
      </c>
      <c r="BB16">
        <f t="shared" si="43"/>
        <v>45.413672716271691</v>
      </c>
      <c r="BC16">
        <f t="shared" si="44"/>
        <v>-1.4471477023459363</v>
      </c>
      <c r="BD16">
        <f t="shared" si="28"/>
        <v>-262.91545577122116</v>
      </c>
      <c r="BF16">
        <f t="shared" si="29"/>
        <v>68.780594933653404</v>
      </c>
      <c r="BG16">
        <f t="shared" si="30"/>
        <v>-82.957043822954716</v>
      </c>
      <c r="BH16">
        <f t="shared" si="45"/>
        <v>97.042956177045284</v>
      </c>
      <c r="BI16">
        <f t="shared" si="46"/>
        <v>97.042956177045284</v>
      </c>
      <c r="BJ16">
        <f t="shared" si="31"/>
        <v>0</v>
      </c>
      <c r="BK16">
        <f t="shared" si="47"/>
        <v>0</v>
      </c>
      <c r="BM16">
        <f t="shared" si="48"/>
        <v>23.366922217381713</v>
      </c>
      <c r="BN16">
        <f t="shared" si="32"/>
        <v>-4.1588051733549236E-2</v>
      </c>
      <c r="BQ16" s="47">
        <f t="shared" si="49"/>
        <v>62.315633516556829</v>
      </c>
      <c r="BR16" s="529"/>
      <c r="BS16" s="529"/>
      <c r="BT16" s="529">
        <v>114.815</v>
      </c>
      <c r="BU16" s="529">
        <v>33.346499999999999</v>
      </c>
      <c r="BV16" s="529">
        <v>-266.20479999999998</v>
      </c>
      <c r="BW16" s="49"/>
      <c r="BY16" s="529"/>
      <c r="BZ16" s="529"/>
      <c r="CA16" s="529"/>
      <c r="CC16" s="529"/>
    </row>
    <row r="17" spans="1:81">
      <c r="A17">
        <v>9</v>
      </c>
      <c r="B17">
        <f t="shared" si="33"/>
        <v>8.9999999999999993E-3</v>
      </c>
      <c r="C17">
        <f t="shared" si="0"/>
        <v>1.0000000010232806</v>
      </c>
      <c r="D17">
        <f t="shared" si="1"/>
        <v>4.5238934129138587E-5</v>
      </c>
      <c r="F17">
        <f t="shared" si="2"/>
        <v>0.9823258569224631</v>
      </c>
      <c r="G17">
        <f t="shared" si="3"/>
        <v>-8.6181987916654111E-4</v>
      </c>
      <c r="H17">
        <f t="shared" si="4"/>
        <v>-8.6181987916654111E-4</v>
      </c>
      <c r="J17">
        <f t="shared" si="5"/>
        <v>15</v>
      </c>
      <c r="M17">
        <f t="shared" si="6"/>
        <v>167.33075755399611</v>
      </c>
      <c r="N17">
        <f t="shared" si="7"/>
        <v>-1.5707963250000001</v>
      </c>
      <c r="O17">
        <f t="shared" si="8"/>
        <v>1.000009615597486</v>
      </c>
      <c r="P17">
        <f t="shared" si="9"/>
        <v>4.3853210684891833E-3</v>
      </c>
      <c r="Q17">
        <f t="shared" si="10"/>
        <v>1.0000058567576213</v>
      </c>
      <c r="R17">
        <f t="shared" si="11"/>
        <v>3.4224929618020899E-3</v>
      </c>
      <c r="S17">
        <f t="shared" si="12"/>
        <v>0.99999999883609791</v>
      </c>
      <c r="T17">
        <f t="shared" si="13"/>
        <v>-4.8247323244203222E-5</v>
      </c>
      <c r="U17">
        <f t="shared" si="14"/>
        <v>0.99999999717260213</v>
      </c>
      <c r="V17">
        <f t="shared" si="15"/>
        <v>-7.5198375594573612E-5</v>
      </c>
      <c r="X17">
        <f t="shared" si="34"/>
        <v>67.838586605811656</v>
      </c>
      <c r="Y17">
        <f t="shared" si="16"/>
        <v>-89.606504767715592</v>
      </c>
      <c r="Z17">
        <f t="shared" si="35"/>
        <v>90.393495232284408</v>
      </c>
      <c r="AC17">
        <v>1</v>
      </c>
      <c r="AD17">
        <f t="shared" si="17"/>
        <v>4.3853491801350009E-3</v>
      </c>
      <c r="AE17">
        <f t="shared" si="18"/>
        <v>-2.0334823589945573E-11</v>
      </c>
      <c r="AF17">
        <f t="shared" si="19"/>
        <v>2.7041572894140006E-7</v>
      </c>
      <c r="AG17">
        <f t="shared" si="36"/>
        <v>15938.97957377947</v>
      </c>
      <c r="AH17">
        <f t="shared" si="37"/>
        <v>-3698010.940528689</v>
      </c>
      <c r="AJ17">
        <f t="shared" si="20"/>
        <v>22100</v>
      </c>
      <c r="AK17">
        <f t="shared" si="21"/>
        <v>1.0662658445242439</v>
      </c>
      <c r="AL17">
        <v>1</v>
      </c>
      <c r="AM17">
        <f t="shared" si="22"/>
        <v>3.4225063249406396E-3</v>
      </c>
      <c r="AN17">
        <f t="shared" si="38"/>
        <v>22099.744782846166</v>
      </c>
      <c r="AO17">
        <f t="shared" si="39"/>
        <v>-74.570250454340652</v>
      </c>
      <c r="AQ17">
        <f t="shared" si="23"/>
        <v>9996.7610494199889</v>
      </c>
      <c r="AR17">
        <f t="shared" si="24"/>
        <v>-179.94169888955977</v>
      </c>
      <c r="AT17">
        <f t="shared" si="40"/>
        <v>-506088200.98025167</v>
      </c>
      <c r="AU17">
        <f t="shared" si="41"/>
        <v>-36970999817.66925</v>
      </c>
      <c r="AV17">
        <f t="shared" si="42"/>
        <v>-1.5844842604798282</v>
      </c>
      <c r="AW17">
        <f t="shared" si="25"/>
        <v>220968657.97263321</v>
      </c>
      <c r="AX17">
        <f t="shared" si="26"/>
        <v>-27834827.693582665</v>
      </c>
      <c r="AY17">
        <f t="shared" si="50"/>
        <v>-0.12530731032368433</v>
      </c>
      <c r="BA17">
        <f t="shared" si="27"/>
        <v>166.01701990264908</v>
      </c>
      <c r="BB17">
        <f t="shared" si="43"/>
        <v>44.403052275367088</v>
      </c>
      <c r="BC17">
        <f t="shared" si="44"/>
        <v>-1.4591769501561438</v>
      </c>
      <c r="BD17">
        <f t="shared" si="28"/>
        <v>-263.60468090225061</v>
      </c>
      <c r="BF17">
        <f t="shared" si="29"/>
        <v>67.7699889805494</v>
      </c>
      <c r="BG17">
        <f t="shared" si="30"/>
        <v>-83.651467544085506</v>
      </c>
      <c r="BH17">
        <f t="shared" si="45"/>
        <v>96.348532455914494</v>
      </c>
      <c r="BI17">
        <f t="shared" si="46"/>
        <v>96.348532455914494</v>
      </c>
      <c r="BJ17">
        <f t="shared" si="31"/>
        <v>0</v>
      </c>
      <c r="BK17">
        <f t="shared" si="47"/>
        <v>0</v>
      </c>
      <c r="BM17">
        <f t="shared" si="48"/>
        <v>23.366936705182315</v>
      </c>
      <c r="BN17">
        <f t="shared" si="32"/>
        <v>-4.6786641834908944E-2</v>
      </c>
      <c r="BQ17" s="47">
        <f t="shared" si="49"/>
        <v>61.305013075652226</v>
      </c>
      <c r="BR17" s="529"/>
      <c r="BS17" s="529"/>
      <c r="BT17" s="529">
        <v>117.49</v>
      </c>
      <c r="BU17" s="529">
        <v>33.0246</v>
      </c>
      <c r="BV17" s="529">
        <v>-264.9049</v>
      </c>
      <c r="BW17" s="49"/>
      <c r="BY17" s="529"/>
      <c r="BZ17" s="529"/>
      <c r="CA17" s="529"/>
      <c r="CC17" s="529"/>
    </row>
    <row r="18" spans="1:81">
      <c r="A18">
        <v>10</v>
      </c>
      <c r="B18">
        <f t="shared" si="33"/>
        <v>0.01</v>
      </c>
      <c r="C18">
        <f t="shared" si="0"/>
        <v>1.0000000012633092</v>
      </c>
      <c r="D18">
        <f t="shared" si="1"/>
        <v>5.0265482357666105E-5</v>
      </c>
      <c r="F18">
        <f t="shared" si="2"/>
        <v>0.98232768794455738</v>
      </c>
      <c r="G18">
        <f t="shared" si="3"/>
        <v>-9.5757945621634288E-4</v>
      </c>
      <c r="H18">
        <f t="shared" si="4"/>
        <v>-9.5757945621634288E-4</v>
      </c>
      <c r="J18">
        <f t="shared" si="5"/>
        <v>15</v>
      </c>
      <c r="M18">
        <f t="shared" si="6"/>
        <v>150.59768179859651</v>
      </c>
      <c r="N18">
        <f t="shared" si="7"/>
        <v>-1.5707963250000001</v>
      </c>
      <c r="O18">
        <f t="shared" si="8"/>
        <v>1.0000118710946198</v>
      </c>
      <c r="P18">
        <f t="shared" si="9"/>
        <v>4.8725716383259529E-3</v>
      </c>
      <c r="Q18">
        <f t="shared" si="10"/>
        <v>1.0000072305599979</v>
      </c>
      <c r="R18">
        <f t="shared" si="11"/>
        <v>3.8027664747399149E-3</v>
      </c>
      <c r="S18">
        <f t="shared" si="12"/>
        <v>0.99999999856308386</v>
      </c>
      <c r="T18">
        <f t="shared" si="13"/>
        <v>-5.3608136928246396E-5</v>
      </c>
      <c r="U18">
        <f t="shared" si="14"/>
        <v>0.99999999650938531</v>
      </c>
      <c r="V18">
        <f t="shared" si="15"/>
        <v>-8.3553750623694526E-5</v>
      </c>
      <c r="X18">
        <f t="shared" si="34"/>
        <v>66.923484502146195</v>
      </c>
      <c r="Y18">
        <f t="shared" si="16"/>
        <v>-89.56278379843485</v>
      </c>
      <c r="Z18">
        <f t="shared" si="35"/>
        <v>90.43721620156515</v>
      </c>
      <c r="AC18">
        <v>1</v>
      </c>
      <c r="AD18">
        <f t="shared" si="17"/>
        <v>4.8726102001500002E-3</v>
      </c>
      <c r="AE18">
        <f t="shared" si="18"/>
        <v>-2.5104720481414286E-11</v>
      </c>
      <c r="AF18">
        <f t="shared" si="19"/>
        <v>3.0046192104600004E-7</v>
      </c>
      <c r="AG18">
        <f t="shared" si="36"/>
        <v>15938.979552637471</v>
      </c>
      <c r="AH18">
        <f t="shared" si="37"/>
        <v>-3328210.0995105086</v>
      </c>
      <c r="AJ18">
        <f t="shared" si="20"/>
        <v>22100</v>
      </c>
      <c r="AK18">
        <f t="shared" si="21"/>
        <v>1.18473982724916</v>
      </c>
      <c r="AL18">
        <v>1</v>
      </c>
      <c r="AM18">
        <f t="shared" si="22"/>
        <v>3.8027848054896E-3</v>
      </c>
      <c r="AN18">
        <f t="shared" si="38"/>
        <v>22099.684917959752</v>
      </c>
      <c r="AO18">
        <f t="shared" si="39"/>
        <v>-82.855606184875867</v>
      </c>
      <c r="AQ18">
        <f t="shared" si="23"/>
        <v>9996.0015993602556</v>
      </c>
      <c r="AR18">
        <f t="shared" si="24"/>
        <v>-199.92003198720514</v>
      </c>
      <c r="AT18">
        <f t="shared" si="40"/>
        <v>-506049804.45394546</v>
      </c>
      <c r="AU18">
        <f t="shared" si="41"/>
        <v>-33271979999.016006</v>
      </c>
      <c r="AV18">
        <f t="shared" si="42"/>
        <v>-1.5860046428803447</v>
      </c>
      <c r="AW18">
        <f t="shared" si="25"/>
        <v>220948129.60109293</v>
      </c>
      <c r="AX18">
        <f t="shared" si="26"/>
        <v>-26047855.07453946</v>
      </c>
      <c r="AY18">
        <f t="shared" si="50"/>
        <v>-0.11734961261370004</v>
      </c>
      <c r="BA18">
        <f t="shared" si="27"/>
        <v>149.56891217394463</v>
      </c>
      <c r="BB18">
        <f t="shared" si="43"/>
        <v>43.496826700203961</v>
      </c>
      <c r="BC18">
        <f t="shared" si="44"/>
        <v>-1.4686550302666446</v>
      </c>
      <c r="BD18">
        <f t="shared" si="28"/>
        <v>-264.14773489108973</v>
      </c>
      <c r="BF18">
        <f t="shared" si="29"/>
        <v>66.863779597659857</v>
      </c>
      <c r="BG18">
        <f t="shared" si="30"/>
        <v>-84.199720152544458</v>
      </c>
      <c r="BH18">
        <f t="shared" si="45"/>
        <v>95.800279847455542</v>
      </c>
      <c r="BI18">
        <f t="shared" si="46"/>
        <v>95.800279847455542</v>
      </c>
      <c r="BJ18">
        <f t="shared" si="31"/>
        <v>0</v>
      </c>
      <c r="BK18">
        <f t="shared" si="47"/>
        <v>0</v>
      </c>
      <c r="BM18">
        <f t="shared" si="48"/>
        <v>23.366952897455899</v>
      </c>
      <c r="BN18">
        <f t="shared" si="32"/>
        <v>-5.1985261454747099E-2</v>
      </c>
      <c r="BQ18" s="47">
        <f t="shared" si="49"/>
        <v>60.3987875004891</v>
      </c>
      <c r="BR18" s="529"/>
      <c r="BS18" s="529"/>
      <c r="BT18" s="529">
        <v>120.226</v>
      </c>
      <c r="BU18" s="529">
        <v>33.735999999999997</v>
      </c>
      <c r="BV18" s="529">
        <v>-269.98079999999999</v>
      </c>
      <c r="BW18" s="49"/>
      <c r="BY18" s="529"/>
      <c r="BZ18" s="529"/>
      <c r="CA18" s="529"/>
      <c r="CC18" s="529"/>
    </row>
    <row r="19" spans="1:81">
      <c r="A19">
        <f>A10*10</f>
        <v>20</v>
      </c>
      <c r="B19">
        <f t="shared" si="33"/>
        <v>0.02</v>
      </c>
      <c r="C19">
        <f t="shared" si="0"/>
        <v>1.0000000050532374</v>
      </c>
      <c r="D19">
        <f t="shared" si="1"/>
        <v>1.005309644613288E-4</v>
      </c>
      <c r="F19">
        <f t="shared" si="2"/>
        <v>0.98235659968124667</v>
      </c>
      <c r="G19">
        <f t="shared" si="3"/>
        <v>-1.9152161572895041E-3</v>
      </c>
      <c r="H19">
        <f t="shared" si="4"/>
        <v>-1.9152161572895041E-3</v>
      </c>
      <c r="J19">
        <f t="shared" si="5"/>
        <v>15</v>
      </c>
      <c r="M19">
        <f t="shared" si="6"/>
        <v>75.298840899298256</v>
      </c>
      <c r="N19">
        <f t="shared" si="7"/>
        <v>-1.5707963250000001</v>
      </c>
      <c r="O19">
        <f t="shared" si="8"/>
        <v>1.0000474835329822</v>
      </c>
      <c r="P19">
        <f t="shared" si="9"/>
        <v>9.7449119188905715E-3</v>
      </c>
      <c r="Q19">
        <f t="shared" si="10"/>
        <v>1.0000289219263148</v>
      </c>
      <c r="R19">
        <f t="shared" si="11"/>
        <v>7.6054229687987709E-3</v>
      </c>
      <c r="S19">
        <f t="shared" si="12"/>
        <v>0.99999999425233543</v>
      </c>
      <c r="T19">
        <f t="shared" si="13"/>
        <v>-1.0721627354837121E-4</v>
      </c>
      <c r="U19">
        <f t="shared" si="14"/>
        <v>0.9999999860375417</v>
      </c>
      <c r="V19">
        <f t="shared" si="15"/>
        <v>-1.6710750008077331E-4</v>
      </c>
      <c r="X19">
        <f t="shared" si="34"/>
        <v>60.903637853499788</v>
      </c>
      <c r="Y19">
        <f t="shared" si="16"/>
        <v>-89.125590433940644</v>
      </c>
      <c r="Z19">
        <f t="shared" si="35"/>
        <v>90.874409566059356</v>
      </c>
      <c r="AC19">
        <v>1</v>
      </c>
      <c r="AD19">
        <f t="shared" si="17"/>
        <v>9.7452204003000004E-3</v>
      </c>
      <c r="AE19">
        <f t="shared" si="18"/>
        <v>-1.0041888192565714E-10</v>
      </c>
      <c r="AF19">
        <f t="shared" si="19"/>
        <v>6.0092384209200008E-7</v>
      </c>
      <c r="AG19">
        <f t="shared" si="36"/>
        <v>15938.979218816468</v>
      </c>
      <c r="AH19">
        <f t="shared" si="37"/>
        <v>-1664107.0473974871</v>
      </c>
      <c r="AJ19">
        <f t="shared" si="20"/>
        <v>22100</v>
      </c>
      <c r="AK19">
        <f t="shared" si="21"/>
        <v>2.3694796544983201</v>
      </c>
      <c r="AL19">
        <v>1</v>
      </c>
      <c r="AM19">
        <f t="shared" si="22"/>
        <v>7.6055696109791999E-3</v>
      </c>
      <c r="AN19">
        <f t="shared" si="38"/>
        <v>22098.739726513304</v>
      </c>
      <c r="AO19">
        <f t="shared" si="39"/>
        <v>-165.70402365041011</v>
      </c>
      <c r="AQ19">
        <f t="shared" si="23"/>
        <v>9984.0255591054301</v>
      </c>
      <c r="AR19">
        <f t="shared" si="24"/>
        <v>-399.36102236421721</v>
      </c>
      <c r="AT19">
        <f t="shared" si="40"/>
        <v>-505444315.86544538</v>
      </c>
      <c r="AU19">
        <f t="shared" si="41"/>
        <v>-16620852701.34025</v>
      </c>
      <c r="AV19">
        <f t="shared" si="42"/>
        <v>-1.6011972094993767</v>
      </c>
      <c r="AW19">
        <f t="shared" si="25"/>
        <v>220624413.07352406</v>
      </c>
      <c r="AX19">
        <f t="shared" si="26"/>
        <v>-20880732.460248381</v>
      </c>
      <c r="AY19">
        <f t="shared" si="50"/>
        <v>-9.4362718472432314E-2</v>
      </c>
      <c r="BA19">
        <f t="shared" si="27"/>
        <v>75.035024598276522</v>
      </c>
      <c r="BB19">
        <f t="shared" si="43"/>
        <v>37.505280584938632</v>
      </c>
      <c r="BC19">
        <f t="shared" si="44"/>
        <v>-1.5068344910269444</v>
      </c>
      <c r="BD19">
        <f t="shared" si="28"/>
        <v>-266.33525685923985</v>
      </c>
      <c r="BF19">
        <f t="shared" si="29"/>
        <v>60.872489153489731</v>
      </c>
      <c r="BG19">
        <f t="shared" si="30"/>
        <v>-86.439230662052594</v>
      </c>
      <c r="BH19">
        <f t="shared" si="45"/>
        <v>93.560769337947406</v>
      </c>
      <c r="BI19">
        <f t="shared" si="46"/>
        <v>93.560769337947406</v>
      </c>
      <c r="BJ19">
        <f t="shared" si="31"/>
        <v>0</v>
      </c>
      <c r="BK19">
        <f t="shared" si="47"/>
        <v>0</v>
      </c>
      <c r="BM19">
        <f t="shared" si="48"/>
        <v>23.367208568551096</v>
      </c>
      <c r="BN19">
        <f t="shared" si="32"/>
        <v>-0.10397380281274579</v>
      </c>
      <c r="BQ19" s="47">
        <f t="shared" si="49"/>
        <v>54.40724138522377</v>
      </c>
      <c r="BR19" s="529"/>
      <c r="BS19" s="529"/>
      <c r="BT19" s="529">
        <v>123.027</v>
      </c>
      <c r="BU19" s="529">
        <v>32.764899999999997</v>
      </c>
      <c r="BV19" s="529">
        <v>-265.73410000000001</v>
      </c>
      <c r="BW19" s="49"/>
      <c r="BY19" s="529"/>
      <c r="BZ19" s="529"/>
      <c r="CA19" s="529"/>
      <c r="CC19" s="529"/>
    </row>
    <row r="20" spans="1:81">
      <c r="A20">
        <f t="shared" ref="A20:A36" si="51">A11*10</f>
        <v>30</v>
      </c>
      <c r="B20">
        <f t="shared" si="33"/>
        <v>0.03</v>
      </c>
      <c r="C20">
        <f t="shared" si="0"/>
        <v>1.0000000113697842</v>
      </c>
      <c r="D20">
        <f t="shared" si="1"/>
        <v>1.5079644605698464E-4</v>
      </c>
      <c r="F20">
        <f t="shared" si="2"/>
        <v>0.98240478951022914</v>
      </c>
      <c r="G20">
        <f t="shared" si="3"/>
        <v>-2.8729673591318386E-3</v>
      </c>
      <c r="H20">
        <f t="shared" si="4"/>
        <v>-2.8729673591318386E-3</v>
      </c>
      <c r="J20">
        <f t="shared" si="5"/>
        <v>15</v>
      </c>
      <c r="M20">
        <f t="shared" si="6"/>
        <v>50.199227266198839</v>
      </c>
      <c r="N20">
        <f t="shared" si="7"/>
        <v>-1.5707963250000001</v>
      </c>
      <c r="O20">
        <f t="shared" si="8"/>
        <v>1.0001068347788968</v>
      </c>
      <c r="P20">
        <f t="shared" si="9"/>
        <v>1.4616789549837236E-2</v>
      </c>
      <c r="Q20">
        <f t="shared" si="10"/>
        <v>1.0000650731579879</v>
      </c>
      <c r="R20">
        <f t="shared" si="11"/>
        <v>1.140785952057897E-2</v>
      </c>
      <c r="S20">
        <f t="shared" si="12"/>
        <v>0.99999998706775473</v>
      </c>
      <c r="T20">
        <f t="shared" si="13"/>
        <v>-1.6082440955225285E-4</v>
      </c>
      <c r="U20">
        <f t="shared" si="14"/>
        <v>0.99999996858446971</v>
      </c>
      <c r="V20">
        <f t="shared" si="15"/>
        <v>-2.506612472046206E-4</v>
      </c>
      <c r="X20">
        <f t="shared" si="34"/>
        <v>57.383068061448924</v>
      </c>
      <c r="Y20">
        <f t="shared" si="16"/>
        <v>-88.688442739352226</v>
      </c>
      <c r="Z20">
        <f t="shared" si="35"/>
        <v>91.311557260647774</v>
      </c>
      <c r="AC20">
        <v>1</v>
      </c>
      <c r="AD20">
        <f t="shared" si="17"/>
        <v>1.4617830600450001E-2</v>
      </c>
      <c r="AE20">
        <f t="shared" si="18"/>
        <v>-2.2594248433272858E-10</v>
      </c>
      <c r="AF20">
        <f t="shared" si="19"/>
        <v>9.0138576313800018E-7</v>
      </c>
      <c r="AG20">
        <f t="shared" si="36"/>
        <v>15938.97866244816</v>
      </c>
      <c r="AH20">
        <f t="shared" si="37"/>
        <v>-1109406.9178673485</v>
      </c>
      <c r="AJ20">
        <f t="shared" si="20"/>
        <v>22100</v>
      </c>
      <c r="AK20">
        <f t="shared" si="21"/>
        <v>3.5542194817474799</v>
      </c>
      <c r="AL20">
        <v>1</v>
      </c>
      <c r="AM20">
        <f t="shared" si="22"/>
        <v>1.1408354416468799E-2</v>
      </c>
      <c r="AN20">
        <f t="shared" si="38"/>
        <v>22097.164589659871</v>
      </c>
      <c r="AO20">
        <f t="shared" si="39"/>
        <v>-248.53806575613663</v>
      </c>
      <c r="AQ20">
        <f t="shared" si="23"/>
        <v>9964.1291351135915</v>
      </c>
      <c r="AR20">
        <f t="shared" si="24"/>
        <v>-597.8477481068154</v>
      </c>
      <c r="AT20">
        <f t="shared" si="40"/>
        <v>-504438385.90666342</v>
      </c>
      <c r="AU20">
        <f t="shared" si="41"/>
        <v>-11063802875.519087</v>
      </c>
      <c r="AV20">
        <f t="shared" si="42"/>
        <v>-1.6163583536134718</v>
      </c>
      <c r="AW20">
        <f t="shared" si="25"/>
        <v>220086617.17866924</v>
      </c>
      <c r="AX20">
        <f t="shared" si="26"/>
        <v>-22621441.049571246</v>
      </c>
      <c r="AY20">
        <f t="shared" si="50"/>
        <v>-0.10242458320461179</v>
      </c>
      <c r="BA20">
        <f t="shared" si="27"/>
        <v>50.058713515353915</v>
      </c>
      <c r="BB20">
        <f t="shared" si="43"/>
        <v>33.989593685163577</v>
      </c>
      <c r="BC20">
        <f t="shared" si="44"/>
        <v>-1.51393377040886</v>
      </c>
      <c r="BD20">
        <f t="shared" si="28"/>
        <v>-266.74201560587267</v>
      </c>
      <c r="BF20">
        <f t="shared" si="29"/>
        <v>57.357228387327396</v>
      </c>
      <c r="BG20">
        <f t="shared" si="30"/>
        <v>-86.897984510483326</v>
      </c>
      <c r="BH20">
        <f t="shared" si="45"/>
        <v>93.102015489516674</v>
      </c>
      <c r="BI20">
        <f t="shared" si="46"/>
        <v>93.102015489516674</v>
      </c>
      <c r="BJ20">
        <f t="shared" si="31"/>
        <v>0</v>
      </c>
      <c r="BK20">
        <f t="shared" si="47"/>
        <v>0</v>
      </c>
      <c r="BM20">
        <f t="shared" si="48"/>
        <v>23.367634702163819</v>
      </c>
      <c r="BN20">
        <f t="shared" si="32"/>
        <v>-0.15596890461068327</v>
      </c>
      <c r="BQ20" s="47">
        <f t="shared" si="49"/>
        <v>50.891554485448715</v>
      </c>
      <c r="BR20" s="529"/>
      <c r="BS20" s="529"/>
      <c r="BT20" s="529">
        <v>125.893</v>
      </c>
      <c r="BU20" s="529">
        <v>32.247199999999999</v>
      </c>
      <c r="BV20" s="529">
        <v>-266.37110000000001</v>
      </c>
      <c r="BW20" s="49"/>
      <c r="BY20" s="529"/>
      <c r="BZ20" s="529"/>
      <c r="CA20" s="529"/>
      <c r="CC20" s="529"/>
    </row>
    <row r="21" spans="1:81">
      <c r="A21">
        <f t="shared" si="51"/>
        <v>40</v>
      </c>
      <c r="B21">
        <f t="shared" si="33"/>
        <v>0.04</v>
      </c>
      <c r="C21">
        <f t="shared" si="0"/>
        <v>1.0000000202129495</v>
      </c>
      <c r="D21">
        <f t="shared" si="1"/>
        <v>2.0106192689063029E-4</v>
      </c>
      <c r="F21">
        <f t="shared" si="2"/>
        <v>0.98247226283425604</v>
      </c>
      <c r="G21">
        <f t="shared" si="3"/>
        <v>-3.8308903397711053E-3</v>
      </c>
      <c r="H21">
        <f t="shared" si="4"/>
        <v>-3.8308903397711053E-3</v>
      </c>
      <c r="J21">
        <f t="shared" si="5"/>
        <v>15</v>
      </c>
      <c r="M21">
        <f t="shared" si="6"/>
        <v>37.649420449649128</v>
      </c>
      <c r="N21">
        <f t="shared" si="7"/>
        <v>-1.5707963250000001</v>
      </c>
      <c r="O21">
        <f t="shared" si="8"/>
        <v>1.0001899206063825</v>
      </c>
      <c r="P21">
        <f t="shared" si="9"/>
        <v>1.9487973371071835E-2</v>
      </c>
      <c r="Q21">
        <f t="shared" si="10"/>
        <v>1.0001156826869728</v>
      </c>
      <c r="R21">
        <f t="shared" si="11"/>
        <v>1.5209966206641569E-2</v>
      </c>
      <c r="S21">
        <f t="shared" si="12"/>
        <v>0.99999997700934207</v>
      </c>
      <c r="T21">
        <f t="shared" si="13"/>
        <v>-2.1443254463176972E-4</v>
      </c>
      <c r="U21">
        <f t="shared" si="14"/>
        <v>0.99999994415017057</v>
      </c>
      <c r="V21">
        <f t="shared" si="15"/>
        <v>-3.3421499082862113E-4</v>
      </c>
      <c r="X21">
        <f t="shared" si="34"/>
        <v>54.886050764818719</v>
      </c>
      <c r="Y21">
        <f t="shared" si="16"/>
        <v>-88.251363539035822</v>
      </c>
      <c r="Z21">
        <f t="shared" si="35"/>
        <v>91.748636460964178</v>
      </c>
      <c r="AC21">
        <v>1</v>
      </c>
      <c r="AD21">
        <f t="shared" si="17"/>
        <v>1.9490440800600001E-2</v>
      </c>
      <c r="AE21">
        <f t="shared" si="18"/>
        <v>-4.0167552770262858E-10</v>
      </c>
      <c r="AF21">
        <f t="shared" si="19"/>
        <v>1.2018476841840002E-6</v>
      </c>
      <c r="AG21">
        <f t="shared" si="36"/>
        <v>15938.977883532596</v>
      </c>
      <c r="AH21">
        <f t="shared" si="37"/>
        <v>-832057.51898279123</v>
      </c>
      <c r="AJ21">
        <f t="shared" si="20"/>
        <v>22100</v>
      </c>
      <c r="AK21">
        <f t="shared" si="21"/>
        <v>4.7389593089966402</v>
      </c>
      <c r="AL21">
        <v>1</v>
      </c>
      <c r="AM21">
        <f t="shared" si="22"/>
        <v>1.52111392219584E-2</v>
      </c>
      <c r="AN21">
        <f t="shared" si="38"/>
        <v>22094.9597806524</v>
      </c>
      <c r="AO21">
        <f t="shared" si="39"/>
        <v>-331.35055001807848</v>
      </c>
      <c r="AQ21">
        <f t="shared" si="23"/>
        <v>9936.4069952305254</v>
      </c>
      <c r="AR21">
        <f t="shared" si="24"/>
        <v>-794.91255961844195</v>
      </c>
      <c r="AT21">
        <f t="shared" si="40"/>
        <v>-503036800.82562298</v>
      </c>
      <c r="AU21">
        <f t="shared" si="41"/>
        <v>-8280332245.7618637</v>
      </c>
      <c r="AV21">
        <f t="shared" si="42"/>
        <v>-1.6314725541268906</v>
      </c>
      <c r="AW21">
        <f t="shared" si="25"/>
        <v>219337317.70795929</v>
      </c>
      <c r="AX21">
        <f t="shared" si="26"/>
        <v>-26056944.17640062</v>
      </c>
      <c r="AY21">
        <f t="shared" si="50"/>
        <v>-0.11824431346801942</v>
      </c>
      <c r="BA21">
        <f t="shared" si="27"/>
        <v>37.557094191929046</v>
      </c>
      <c r="BB21">
        <f t="shared" si="43"/>
        <v>31.493839666967066</v>
      </c>
      <c r="BC21">
        <f t="shared" si="44"/>
        <v>-1.5132282406588713</v>
      </c>
      <c r="BD21">
        <f t="shared" si="28"/>
        <v>-266.7015917288312</v>
      </c>
      <c r="BF21">
        <f t="shared" si="29"/>
        <v>54.862070987944655</v>
      </c>
      <c r="BG21">
        <f t="shared" si="30"/>
        <v>-86.909565577483534</v>
      </c>
      <c r="BH21">
        <f t="shared" si="45"/>
        <v>93.090434422516466</v>
      </c>
      <c r="BI21">
        <f t="shared" si="46"/>
        <v>93.090434422516466</v>
      </c>
      <c r="BJ21">
        <f t="shared" si="31"/>
        <v>0</v>
      </c>
      <c r="BK21">
        <f t="shared" si="47"/>
        <v>0</v>
      </c>
      <c r="BM21">
        <f t="shared" si="48"/>
        <v>23.368231320977589</v>
      </c>
      <c r="BN21">
        <f t="shared" si="32"/>
        <v>-0.20797384865236598</v>
      </c>
      <c r="BQ21" s="47">
        <f t="shared" si="49"/>
        <v>48.395800467252201</v>
      </c>
      <c r="BR21" s="529"/>
      <c r="BS21" s="529"/>
      <c r="BT21" s="529">
        <v>128.82499999999999</v>
      </c>
      <c r="BU21" s="529">
        <v>32.3142</v>
      </c>
      <c r="BV21" s="529">
        <v>-268.05959999999999</v>
      </c>
      <c r="BW21" s="49"/>
      <c r="BY21" s="529"/>
      <c r="BZ21" s="529"/>
      <c r="CA21" s="529"/>
      <c r="CC21" s="529"/>
    </row>
    <row r="22" spans="1:81">
      <c r="A22">
        <f t="shared" si="51"/>
        <v>50</v>
      </c>
      <c r="B22">
        <f t="shared" si="33"/>
        <v>0.05</v>
      </c>
      <c r="C22">
        <f t="shared" si="0"/>
        <v>1.0000000315827335</v>
      </c>
      <c r="D22">
        <f t="shared" si="1"/>
        <v>2.5132740670826237E-4</v>
      </c>
      <c r="F22">
        <f t="shared" si="2"/>
        <v>0.98255902721918187</v>
      </c>
      <c r="G22">
        <f t="shared" si="3"/>
        <v>-4.7890424104190124E-3</v>
      </c>
      <c r="H22">
        <f t="shared" si="4"/>
        <v>-4.7890424104190124E-3</v>
      </c>
      <c r="J22">
        <f t="shared" si="5"/>
        <v>15</v>
      </c>
      <c r="M22">
        <f t="shared" si="6"/>
        <v>30.119536359719298</v>
      </c>
      <c r="N22">
        <f t="shared" si="7"/>
        <v>-1.5707963250000001</v>
      </c>
      <c r="O22">
        <f t="shared" si="8"/>
        <v>1.0002967351011725</v>
      </c>
      <c r="P22">
        <f t="shared" si="9"/>
        <v>2.4358232420026747E-2</v>
      </c>
      <c r="Q22">
        <f t="shared" si="10"/>
        <v>1.0001807483184835</v>
      </c>
      <c r="R22">
        <f t="shared" si="11"/>
        <v>1.9011633160764901E-2</v>
      </c>
      <c r="S22">
        <f t="shared" si="12"/>
        <v>0.99999996407709757</v>
      </c>
      <c r="T22">
        <f t="shared" si="13"/>
        <v>-2.6804067847880037E-4</v>
      </c>
      <c r="U22">
        <f t="shared" si="14"/>
        <v>0.99999991273464561</v>
      </c>
      <c r="V22">
        <f t="shared" si="15"/>
        <v>-4.1776872978615951E-4</v>
      </c>
      <c r="X22">
        <f t="shared" si="34"/>
        <v>52.950109877591991</v>
      </c>
      <c r="Y22">
        <f t="shared" si="16"/>
        <v>-87.814375644663272</v>
      </c>
      <c r="Z22">
        <f t="shared" si="35"/>
        <v>92.185624355336728</v>
      </c>
      <c r="AC22">
        <v>1</v>
      </c>
      <c r="AD22">
        <f t="shared" si="17"/>
        <v>2.4363051000750001E-2</v>
      </c>
      <c r="AE22">
        <f t="shared" si="18"/>
        <v>-6.2761801203535708E-10</v>
      </c>
      <c r="AF22">
        <f t="shared" si="19"/>
        <v>1.5023096052300002E-6</v>
      </c>
      <c r="AG22">
        <f t="shared" si="36"/>
        <v>15938.976882069841</v>
      </c>
      <c r="AH22">
        <f t="shared" si="37"/>
        <v>-665648.41235631017</v>
      </c>
      <c r="AJ22">
        <f t="shared" si="20"/>
        <v>22100</v>
      </c>
      <c r="AK22">
        <f t="shared" si="21"/>
        <v>5.9236991362458005</v>
      </c>
      <c r="AL22">
        <v>1</v>
      </c>
      <c r="AM22">
        <f t="shared" si="22"/>
        <v>1.9013924027448E-2</v>
      </c>
      <c r="AN22">
        <f t="shared" si="38"/>
        <v>22092.125681879148</v>
      </c>
      <c r="AO22">
        <f t="shared" si="39"/>
        <v>-414.13430018383713</v>
      </c>
      <c r="AQ22">
        <f t="shared" si="23"/>
        <v>9900.9900990099013</v>
      </c>
      <c r="AR22">
        <f t="shared" si="24"/>
        <v>-990.09900990099004</v>
      </c>
      <c r="AT22">
        <f t="shared" ref="AT22:AT85" si="52">-AR22*AH22+AG22*AQ22</f>
        <v>-501246181.71842748</v>
      </c>
      <c r="AU22">
        <f t="shared" ref="AU22:AU85" si="53">AQ22*AH22+AG22*AR22</f>
        <v>-6606359505.3912592</v>
      </c>
      <c r="AV22">
        <f t="shared" si="42"/>
        <v>-1.6465245155958179</v>
      </c>
      <c r="AW22">
        <f t="shared" si="25"/>
        <v>218380077.89366469</v>
      </c>
      <c r="AX22">
        <f t="shared" si="26"/>
        <v>-30134771.003980041</v>
      </c>
      <c r="AY22">
        <f t="shared" si="50"/>
        <v>-0.13712630351942182</v>
      </c>
      <c r="BA22">
        <f t="shared" si="27"/>
        <v>30.05381787039056</v>
      </c>
      <c r="BB22">
        <f t="shared" si="43"/>
        <v>29.55799300412767</v>
      </c>
      <c r="BC22">
        <f t="shared" si="44"/>
        <v>-1.509398212076396</v>
      </c>
      <c r="BD22">
        <f t="shared" si="28"/>
        <v>-266.48214725539009</v>
      </c>
      <c r="BF22">
        <f t="shared" si="29"/>
        <v>52.926991460881951</v>
      </c>
      <c r="BG22">
        <f t="shared" si="30"/>
        <v>-86.742139174033014</v>
      </c>
      <c r="BH22">
        <f t="shared" si="45"/>
        <v>93.257860825966986</v>
      </c>
      <c r="BI22">
        <f t="shared" si="46"/>
        <v>93.257860825966986</v>
      </c>
      <c r="BJ22">
        <f t="shared" si="31"/>
        <v>0</v>
      </c>
      <c r="BK22">
        <f t="shared" si="47"/>
        <v>0</v>
      </c>
      <c r="BM22">
        <f t="shared" si="48"/>
        <v>23.368998456754277</v>
      </c>
      <c r="BN22">
        <f t="shared" si="32"/>
        <v>-0.25999191864290072</v>
      </c>
      <c r="BQ22" s="47">
        <f t="shared" si="49"/>
        <v>46.459953804412805</v>
      </c>
      <c r="BR22" s="529"/>
      <c r="BS22" s="529"/>
      <c r="BT22" s="529">
        <v>131.82599999999999</v>
      </c>
      <c r="BU22" s="529">
        <v>32.155799999999999</v>
      </c>
      <c r="BV22" s="529">
        <v>-263.3605</v>
      </c>
      <c r="BW22" s="49"/>
      <c r="BY22" s="529"/>
      <c r="BZ22" s="529"/>
      <c r="CA22" s="529"/>
      <c r="CC22" s="529"/>
    </row>
    <row r="23" spans="1:81">
      <c r="A23">
        <f t="shared" si="51"/>
        <v>60</v>
      </c>
      <c r="B23">
        <f t="shared" si="33"/>
        <v>0.06</v>
      </c>
      <c r="C23">
        <f t="shared" si="0"/>
        <v>1.000000045479136</v>
      </c>
      <c r="D23">
        <f t="shared" si="1"/>
        <v>3.015928852558775E-4</v>
      </c>
      <c r="F23">
        <f t="shared" si="2"/>
        <v>0.98266509239596889</v>
      </c>
      <c r="G23">
        <f t="shared" si="3"/>
        <v>-5.7474809265527756E-3</v>
      </c>
      <c r="H23">
        <f t="shared" si="4"/>
        <v>-5.7474809265527756E-3</v>
      </c>
      <c r="J23">
        <f t="shared" si="5"/>
        <v>15</v>
      </c>
      <c r="M23">
        <f t="shared" si="6"/>
        <v>25.09961363309942</v>
      </c>
      <c r="N23">
        <f t="shared" si="7"/>
        <v>-1.5707963250000001</v>
      </c>
      <c r="O23">
        <f t="shared" si="8"/>
        <v>1.0004272706628172</v>
      </c>
      <c r="P23">
        <f t="shared" si="9"/>
        <v>2.9227335997284321E-2</v>
      </c>
      <c r="Q23">
        <f t="shared" si="10"/>
        <v>1.0002602672314675</v>
      </c>
      <c r="R23">
        <f t="shared" si="11"/>
        <v>2.2812750592978426E-2</v>
      </c>
      <c r="S23">
        <f t="shared" si="12"/>
        <v>0.99999994827102179</v>
      </c>
      <c r="T23">
        <f t="shared" si="13"/>
        <v>-3.216488107852232E-4</v>
      </c>
      <c r="U23">
        <f t="shared" si="14"/>
        <v>0.99999987433789683</v>
      </c>
      <c r="V23">
        <f t="shared" si="15"/>
        <v>-5.0132246291062098E-4</v>
      </c>
      <c r="X23">
        <f t="shared" si="34"/>
        <v>51.369246126844843</v>
      </c>
      <c r="Y23">
        <f t="shared" si="16"/>
        <v>-87.377501850996296</v>
      </c>
      <c r="Z23">
        <f t="shared" si="35"/>
        <v>92.622498149003704</v>
      </c>
      <c r="AC23">
        <v>1</v>
      </c>
      <c r="AD23">
        <f t="shared" si="17"/>
        <v>2.9235661200900001E-2</v>
      </c>
      <c r="AE23">
        <f t="shared" si="18"/>
        <v>-9.0376993733091431E-10</v>
      </c>
      <c r="AF23">
        <f t="shared" si="19"/>
        <v>1.8027715262760004E-6</v>
      </c>
      <c r="AG23">
        <f t="shared" si="36"/>
        <v>15938.975658059975</v>
      </c>
      <c r="AH23">
        <f t="shared" si="37"/>
        <v>-554709.45185869967</v>
      </c>
      <c r="AJ23">
        <f t="shared" si="20"/>
        <v>22100</v>
      </c>
      <c r="AK23">
        <f t="shared" si="21"/>
        <v>7.1084389634949599</v>
      </c>
      <c r="AL23">
        <v>1</v>
      </c>
      <c r="AM23">
        <f t="shared" si="22"/>
        <v>2.2816708832937599E-2</v>
      </c>
      <c r="AN23">
        <f t="shared" si="38"/>
        <v>22088.662784697866</v>
      </c>
      <c r="AO23">
        <f t="shared" si="39"/>
        <v>-496.88214830390086</v>
      </c>
      <c r="AQ23">
        <f t="shared" si="23"/>
        <v>9858.0441640378558</v>
      </c>
      <c r="AR23">
        <f t="shared" si="24"/>
        <v>-1182.9652996845425</v>
      </c>
      <c r="AT23">
        <f t="shared" si="52"/>
        <v>-499074906.98919535</v>
      </c>
      <c r="AU23">
        <f t="shared" si="53"/>
        <v>-5487205529.7482929</v>
      </c>
      <c r="AV23">
        <f t="shared" si="42"/>
        <v>-1.6614992392788612</v>
      </c>
      <c r="AW23">
        <f t="shared" si="25"/>
        <v>217219406.66954538</v>
      </c>
      <c r="AX23">
        <f t="shared" si="26"/>
        <v>-34496226.147890702</v>
      </c>
      <c r="AY23">
        <f t="shared" si="50"/>
        <v>-0.15749300936222743</v>
      </c>
      <c r="BA23">
        <f t="shared" si="27"/>
        <v>25.051456929375249</v>
      </c>
      <c r="BB23">
        <f t="shared" si="43"/>
        <v>27.976659768128094</v>
      </c>
      <c r="BC23">
        <f t="shared" si="44"/>
        <v>-1.5040062299166337</v>
      </c>
      <c r="BD23">
        <f t="shared" si="28"/>
        <v>-266.17320943407287</v>
      </c>
      <c r="BF23">
        <f t="shared" si="29"/>
        <v>51.346595918467095</v>
      </c>
      <c r="BG23">
        <f t="shared" si="30"/>
        <v>-86.4852358348965</v>
      </c>
      <c r="BH23">
        <f t="shared" si="45"/>
        <v>93.5147641651035</v>
      </c>
      <c r="BI23">
        <f t="shared" si="46"/>
        <v>93.5147641651035</v>
      </c>
      <c r="BJ23">
        <f t="shared" si="31"/>
        <v>0</v>
      </c>
      <c r="BK23">
        <f t="shared" si="47"/>
        <v>0</v>
      </c>
      <c r="BM23">
        <f t="shared" si="48"/>
        <v>23.369936150339001</v>
      </c>
      <c r="BN23">
        <f t="shared" si="32"/>
        <v>-0.31202640082362099</v>
      </c>
      <c r="BQ23" s="47">
        <f t="shared" si="49"/>
        <v>44.878620568413233</v>
      </c>
      <c r="BR23" s="528"/>
      <c r="BS23" s="528"/>
      <c r="BT23" s="528">
        <v>134.89599999999999</v>
      </c>
      <c r="BU23" s="528">
        <v>32.875300000000003</v>
      </c>
      <c r="BV23" s="528">
        <v>-269.46539999999999</v>
      </c>
      <c r="BW23" s="49"/>
      <c r="BY23" s="528"/>
      <c r="BZ23" s="528"/>
      <c r="CA23" s="528"/>
      <c r="CC23" s="528"/>
    </row>
    <row r="24" spans="1:81">
      <c r="A24">
        <f t="shared" si="51"/>
        <v>70</v>
      </c>
      <c r="B24">
        <f t="shared" si="33"/>
        <v>7.0000000000000007E-2</v>
      </c>
      <c r="C24">
        <f t="shared" si="0"/>
        <v>1.0000000619021567</v>
      </c>
      <c r="D24">
        <f t="shared" si="1"/>
        <v>3.518583622794724E-4</v>
      </c>
      <c r="F24">
        <f t="shared" si="2"/>
        <v>0.98279047026326449</v>
      </c>
      <c r="G24">
        <f t="shared" si="3"/>
        <v>-6.7062632990140432E-3</v>
      </c>
      <c r="H24">
        <f t="shared" si="4"/>
        <v>-6.7062632990140432E-3</v>
      </c>
      <c r="J24">
        <f t="shared" si="5"/>
        <v>15</v>
      </c>
      <c r="M24">
        <f t="shared" si="6"/>
        <v>21.513954542656645</v>
      </c>
      <c r="N24">
        <f t="shared" si="7"/>
        <v>-1.5707963250000001</v>
      </c>
      <c r="O24">
        <f t="shared" si="8"/>
        <v>1.0005815180073874</v>
      </c>
      <c r="P24">
        <f t="shared" si="9"/>
        <v>3.4095053732013249E-2</v>
      </c>
      <c r="Q24">
        <f t="shared" si="10"/>
        <v>1.0003542359792188</v>
      </c>
      <c r="R24">
        <f t="shared" si="11"/>
        <v>2.6613208808563511E-2</v>
      </c>
      <c r="S24">
        <f t="shared" si="12"/>
        <v>0.99999992959111494</v>
      </c>
      <c r="T24">
        <f t="shared" si="13"/>
        <v>-3.7525694124291686E-4</v>
      </c>
      <c r="U24">
        <f t="shared" si="14"/>
        <v>0.99999982895992656</v>
      </c>
      <c r="V24">
        <f t="shared" si="15"/>
        <v>-5.8487618903539152E-4</v>
      </c>
      <c r="X24">
        <f t="shared" si="34"/>
        <v>50.033573130610989</v>
      </c>
      <c r="Y24">
        <f t="shared" si="16"/>
        <v>-86.940764931684726</v>
      </c>
      <c r="Z24">
        <f t="shared" si="35"/>
        <v>93.059235068315274</v>
      </c>
      <c r="AC24">
        <v>1</v>
      </c>
      <c r="AD24">
        <f t="shared" si="17"/>
        <v>3.4108271401050001E-2</v>
      </c>
      <c r="AE24">
        <f t="shared" si="18"/>
        <v>-1.2301313035893E-9</v>
      </c>
      <c r="AF24">
        <f t="shared" si="19"/>
        <v>2.1032334473219999E-6</v>
      </c>
      <c r="AG24">
        <f t="shared" si="36"/>
        <v>15938.974211503109</v>
      </c>
      <c r="AH24">
        <f t="shared" si="37"/>
        <v>-475467.71772026888</v>
      </c>
      <c r="AJ24">
        <f t="shared" si="20"/>
        <v>22100</v>
      </c>
      <c r="AK24">
        <f t="shared" si="21"/>
        <v>8.2931787907441201</v>
      </c>
      <c r="AL24">
        <v>1</v>
      </c>
      <c r="AM24">
        <f t="shared" si="22"/>
        <v>2.6619493638427198E-2</v>
      </c>
      <c r="AN24">
        <f t="shared" si="38"/>
        <v>22084.57168922299</v>
      </c>
      <c r="AO24">
        <f t="shared" si="39"/>
        <v>-579.58693679791668</v>
      </c>
      <c r="AQ24">
        <f t="shared" si="23"/>
        <v>9807.7677520596299</v>
      </c>
      <c r="AR24">
        <f t="shared" si="24"/>
        <v>-1373.0874852883483</v>
      </c>
      <c r="AT24">
        <f t="shared" si="52"/>
        <v>-496533015.58782399</v>
      </c>
      <c r="AU24">
        <f t="shared" si="53"/>
        <v>-4685162555.0203924</v>
      </c>
      <c r="AV24">
        <f t="shared" si="42"/>
        <v>-1.6763820907339899</v>
      </c>
      <c r="AW24">
        <f t="shared" si="25"/>
        <v>215860706.58433619</v>
      </c>
      <c r="AX24">
        <f t="shared" si="26"/>
        <v>-38981207.812867269</v>
      </c>
      <c r="AY24">
        <f t="shared" si="50"/>
        <v>-0.17865953070418902</v>
      </c>
      <c r="BA24">
        <f t="shared" si="27"/>
        <v>21.478703004109953</v>
      </c>
      <c r="BB24">
        <f t="shared" si="43"/>
        <v>26.640161057156888</v>
      </c>
      <c r="BC24">
        <f t="shared" si="44"/>
        <v>-1.497722560029801</v>
      </c>
      <c r="BD24">
        <f t="shared" si="28"/>
        <v>-265.81318166929253</v>
      </c>
      <c r="BF24">
        <f t="shared" si="29"/>
        <v>50.011205508823309</v>
      </c>
      <c r="BG24">
        <f t="shared" si="30"/>
        <v>-86.177262253900537</v>
      </c>
      <c r="BH24">
        <f t="shared" si="45"/>
        <v>93.822737746099463</v>
      </c>
      <c r="BI24">
        <f t="shared" si="46"/>
        <v>93.822737746099463</v>
      </c>
      <c r="BJ24">
        <f t="shared" si="31"/>
        <v>0</v>
      </c>
      <c r="BK24">
        <f t="shared" si="47"/>
        <v>0</v>
      </c>
      <c r="BM24">
        <f t="shared" si="48"/>
        <v>23.371044451666421</v>
      </c>
      <c r="BN24">
        <f t="shared" si="32"/>
        <v>-0.36408058460800852</v>
      </c>
      <c r="BQ24" s="47">
        <f t="shared" si="49"/>
        <v>43.542121857442027</v>
      </c>
      <c r="BR24" s="528"/>
      <c r="BS24" s="528"/>
      <c r="BT24" s="528">
        <v>138.03800000000001</v>
      </c>
      <c r="BU24" s="528">
        <v>32.538699999999999</v>
      </c>
      <c r="BV24" s="528">
        <v>-267.95069999999998</v>
      </c>
      <c r="BW24" s="49"/>
      <c r="BY24" s="528"/>
      <c r="BZ24" s="528"/>
      <c r="CA24" s="528"/>
      <c r="CC24" s="528"/>
    </row>
    <row r="25" spans="1:81">
      <c r="A25">
        <f t="shared" si="51"/>
        <v>80</v>
      </c>
      <c r="B25">
        <f t="shared" si="33"/>
        <v>0.08</v>
      </c>
      <c r="C25">
        <f t="shared" si="0"/>
        <v>1.0000000808517957</v>
      </c>
      <c r="D25">
        <f t="shared" si="1"/>
        <v>4.0212383752504384E-4</v>
      </c>
      <c r="F25">
        <f t="shared" si="2"/>
        <v>0.9829351748905546</v>
      </c>
      <c r="G25">
        <f t="shared" si="3"/>
        <v>-7.665447005129551E-3</v>
      </c>
      <c r="H25">
        <f t="shared" si="4"/>
        <v>-7.665447005129551E-3</v>
      </c>
      <c r="J25">
        <f t="shared" si="5"/>
        <v>15</v>
      </c>
      <c r="M25">
        <f t="shared" si="6"/>
        <v>18.824710224824564</v>
      </c>
      <c r="N25">
        <f t="shared" si="7"/>
        <v>-1.5707963250000001</v>
      </c>
      <c r="O25">
        <f t="shared" si="8"/>
        <v>1.0007594661707711</v>
      </c>
      <c r="P25">
        <f t="shared" si="9"/>
        <v>3.8961155647171557E-2</v>
      </c>
      <c r="Q25">
        <f t="shared" si="10"/>
        <v>1.0004626504901217</v>
      </c>
      <c r="R25">
        <f t="shared" si="11"/>
        <v>3.0412898227012954E-2</v>
      </c>
      <c r="S25">
        <f t="shared" si="12"/>
        <v>0.99999990803737759</v>
      </c>
      <c r="T25">
        <f t="shared" si="13"/>
        <v>-4.2886506954375997E-4</v>
      </c>
      <c r="U25">
        <f t="shared" si="14"/>
        <v>0.99999977660073802</v>
      </c>
      <c r="V25">
        <f t="shared" si="15"/>
        <v>-6.684299069938572E-4</v>
      </c>
      <c r="X25">
        <f t="shared" si="34"/>
        <v>48.877498411641945</v>
      </c>
      <c r="Y25">
        <f t="shared" si="16"/>
        <v>-86.504187635081308</v>
      </c>
      <c r="Z25">
        <f t="shared" si="35"/>
        <v>93.495812364918692</v>
      </c>
      <c r="AC25">
        <v>1</v>
      </c>
      <c r="AD25">
        <f t="shared" si="17"/>
        <v>3.8980881601200001E-2</v>
      </c>
      <c r="AE25">
        <f t="shared" si="18"/>
        <v>-1.6067021108105143E-9</v>
      </c>
      <c r="AF25">
        <f t="shared" si="19"/>
        <v>2.4036953683680003E-6</v>
      </c>
      <c r="AG25">
        <f t="shared" si="36"/>
        <v>15938.972542399348</v>
      </c>
      <c r="AH25">
        <f t="shared" si="37"/>
        <v>-416036.75005614368</v>
      </c>
      <c r="AJ25">
        <f t="shared" si="20"/>
        <v>22100</v>
      </c>
      <c r="AK25">
        <f t="shared" si="21"/>
        <v>9.4779186179932804</v>
      </c>
      <c r="AL25">
        <v>1</v>
      </c>
      <c r="AM25">
        <f t="shared" si="22"/>
        <v>3.04222784439168E-2</v>
      </c>
      <c r="AN25">
        <f t="shared" si="38"/>
        <v>22079.853104065776</v>
      </c>
      <c r="AO25">
        <f t="shared" si="39"/>
        <v>-662.24152051467661</v>
      </c>
      <c r="AQ25">
        <f t="shared" si="23"/>
        <v>9750.3900156006239</v>
      </c>
      <c r="AR25">
        <f t="shared" si="24"/>
        <v>-1560.0624024960998</v>
      </c>
      <c r="AT25">
        <f t="shared" si="52"/>
        <v>-493632093.08291382</v>
      </c>
      <c r="AU25">
        <f t="shared" si="53"/>
        <v>-4081386365.6681705</v>
      </c>
      <c r="AV25">
        <f t="shared" si="42"/>
        <v>-1.6911588632411203</v>
      </c>
      <c r="AW25">
        <f t="shared" si="25"/>
        <v>214310212.47552827</v>
      </c>
      <c r="AX25">
        <f t="shared" si="26"/>
        <v>-43504470.07221704</v>
      </c>
      <c r="AY25">
        <f t="shared" si="50"/>
        <v>-0.20027624956164941</v>
      </c>
      <c r="BA25">
        <f t="shared" si="27"/>
        <v>18.799640836071148</v>
      </c>
      <c r="BB25">
        <f t="shared" si="43"/>
        <v>25.482991044419979</v>
      </c>
      <c r="BC25">
        <f t="shared" si="44"/>
        <v>-1.4908826136794708</v>
      </c>
      <c r="BD25">
        <f t="shared" si="28"/>
        <v>-265.42128161087487</v>
      </c>
      <c r="BF25">
        <f t="shared" si="29"/>
        <v>48.855314464188488</v>
      </c>
      <c r="BG25">
        <f t="shared" si="30"/>
        <v>-85.837439374093748</v>
      </c>
      <c r="BH25">
        <f t="shared" si="45"/>
        <v>94.162560625906252</v>
      </c>
      <c r="BI25">
        <f t="shared" si="46"/>
        <v>94.162560625906252</v>
      </c>
      <c r="BJ25">
        <f t="shared" si="31"/>
        <v>0</v>
      </c>
      <c r="BK25">
        <f t="shared" si="47"/>
        <v>0</v>
      </c>
      <c r="BM25">
        <f t="shared" si="48"/>
        <v>23.372323419768513</v>
      </c>
      <c r="BN25">
        <f t="shared" si="32"/>
        <v>-0.41615776321886011</v>
      </c>
      <c r="BQ25" s="47">
        <f t="shared" si="49"/>
        <v>42.384951844705114</v>
      </c>
      <c r="BR25" s="528"/>
      <c r="BS25" s="528"/>
      <c r="BT25" s="528">
        <v>141.25399999999999</v>
      </c>
      <c r="BU25" s="528">
        <v>32.377000000000002</v>
      </c>
      <c r="BV25" s="528">
        <v>-263.11430000000001</v>
      </c>
      <c r="BW25" s="49"/>
      <c r="BY25" s="528"/>
      <c r="BZ25" s="528"/>
      <c r="CA25" s="528"/>
      <c r="CC25" s="528"/>
    </row>
    <row r="26" spans="1:81">
      <c r="A26">
        <f t="shared" si="51"/>
        <v>90</v>
      </c>
      <c r="B26">
        <f t="shared" si="33"/>
        <v>0.09</v>
      </c>
      <c r="C26">
        <f t="shared" si="0"/>
        <v>1.0000001023280529</v>
      </c>
      <c r="D26">
        <f t="shared" si="1"/>
        <v>4.523893107385886E-4</v>
      </c>
      <c r="F26">
        <f t="shared" si="2"/>
        <v>0.98309922252189441</v>
      </c>
      <c r="G26">
        <f t="shared" si="3"/>
        <v>-8.625089599857888E-3</v>
      </c>
      <c r="H26">
        <f t="shared" si="4"/>
        <v>-8.625089599857888E-3</v>
      </c>
      <c r="J26">
        <f t="shared" si="5"/>
        <v>15</v>
      </c>
      <c r="M26">
        <f t="shared" si="6"/>
        <v>16.733075755399611</v>
      </c>
      <c r="N26">
        <f t="shared" si="7"/>
        <v>-1.5707963250000001</v>
      </c>
      <c r="O26">
        <f t="shared" si="8"/>
        <v>1.0009611025125658</v>
      </c>
      <c r="P26">
        <f t="shared" si="9"/>
        <v>4.3825412224430198E-2</v>
      </c>
      <c r="Q26">
        <f t="shared" si="10"/>
        <v>1.0005855060685347</v>
      </c>
      <c r="R26">
        <f t="shared" si="11"/>
        <v>3.4211709400941107E-2</v>
      </c>
      <c r="S26">
        <f t="shared" si="12"/>
        <v>0.99999988360981007</v>
      </c>
      <c r="T26">
        <f t="shared" si="13"/>
        <v>-4.8247319537963128E-4</v>
      </c>
      <c r="U26">
        <f t="shared" si="14"/>
        <v>0.99999971726033432</v>
      </c>
      <c r="V26">
        <f t="shared" si="15"/>
        <v>-7.5198361561940486E-4</v>
      </c>
      <c r="X26">
        <f t="shared" si="34"/>
        <v>47.858713374769167</v>
      </c>
      <c r="Y26">
        <f t="shared" si="16"/>
        <v>-86.067792680077233</v>
      </c>
      <c r="Z26">
        <f t="shared" si="35"/>
        <v>93.932207319922767</v>
      </c>
      <c r="AC26">
        <v>1</v>
      </c>
      <c r="AD26">
        <f t="shared" si="17"/>
        <v>4.3853491801350009E-2</v>
      </c>
      <c r="AE26">
        <f t="shared" si="18"/>
        <v>-2.0334823589945567E-9</v>
      </c>
      <c r="AF26">
        <f t="shared" si="19"/>
        <v>2.7041572894140003E-6</v>
      </c>
      <c r="AG26">
        <f t="shared" si="36"/>
        <v>15938.970650748855</v>
      </c>
      <c r="AH26">
        <f t="shared" si="37"/>
        <v>-369812.96004136995</v>
      </c>
      <c r="AJ26">
        <f t="shared" si="20"/>
        <v>22100</v>
      </c>
      <c r="AK26">
        <f t="shared" si="21"/>
        <v>10.662658445242441</v>
      </c>
      <c r="AL26">
        <v>1</v>
      </c>
      <c r="AM26">
        <f t="shared" si="22"/>
        <v>3.4225063249406405E-2</v>
      </c>
      <c r="AN26">
        <f t="shared" si="38"/>
        <v>22074.507846027736</v>
      </c>
      <c r="AO26">
        <f t="shared" si="39"/>
        <v>-744.83876878457477</v>
      </c>
      <c r="AQ26">
        <f t="shared" si="23"/>
        <v>9686.1681518791174</v>
      </c>
      <c r="AR26">
        <f t="shared" si="24"/>
        <v>-1743.510267338241</v>
      </c>
      <c r="AT26">
        <f t="shared" si="52"/>
        <v>-490385142.93585557</v>
      </c>
      <c r="AU26">
        <f t="shared" si="53"/>
        <v>-3609860274.6852455</v>
      </c>
      <c r="AV26">
        <f t="shared" si="42"/>
        <v>-1.7058158364172833</v>
      </c>
      <c r="AW26">
        <f t="shared" si="25"/>
        <v>212574922.17705777</v>
      </c>
      <c r="AX26">
        <f t="shared" si="26"/>
        <v>-48014421.214432195</v>
      </c>
      <c r="AY26">
        <f t="shared" si="50"/>
        <v>-0.22214291938643749</v>
      </c>
      <c r="BA26">
        <f t="shared" si="27"/>
        <v>16.716452739144174</v>
      </c>
      <c r="BB26">
        <f t="shared" si="43"/>
        <v>24.462882496439939</v>
      </c>
      <c r="BC26">
        <f t="shared" si="44"/>
        <v>-1.4836729170308458</v>
      </c>
      <c r="BD26">
        <f t="shared" si="28"/>
        <v>-265.00819642086708</v>
      </c>
      <c r="BF26">
        <f t="shared" si="29"/>
        <v>47.836655619223613</v>
      </c>
      <c r="BG26">
        <f t="shared" si="30"/>
        <v>-85.476457655193983</v>
      </c>
      <c r="BH26">
        <f t="shared" si="45"/>
        <v>94.523542344806017</v>
      </c>
      <c r="BI26">
        <f t="shared" si="46"/>
        <v>94.523542344806017</v>
      </c>
      <c r="BJ26">
        <f t="shared" si="31"/>
        <v>0</v>
      </c>
      <c r="BK26">
        <f t="shared" si="47"/>
        <v>0</v>
      </c>
      <c r="BM26">
        <f t="shared" si="48"/>
        <v>23.373773122783671</v>
      </c>
      <c r="BN26">
        <f t="shared" si="32"/>
        <v>-0.46826123432694999</v>
      </c>
      <c r="BQ26" s="47">
        <f t="shared" si="49"/>
        <v>41.36484329672507</v>
      </c>
      <c r="BR26" s="528"/>
      <c r="BS26" s="528"/>
      <c r="BT26" s="528">
        <v>144.54400000000001</v>
      </c>
      <c r="BU26" s="528">
        <v>31.499099999999999</v>
      </c>
      <c r="BV26" s="528">
        <v>-266.2885</v>
      </c>
      <c r="BW26" s="49"/>
      <c r="BY26" s="528"/>
      <c r="BZ26" s="528"/>
      <c r="CA26" s="528"/>
      <c r="CC26" s="528"/>
    </row>
    <row r="27" spans="1:81">
      <c r="A27">
        <f t="shared" si="51"/>
        <v>100</v>
      </c>
      <c r="B27">
        <f t="shared" si="33"/>
        <v>0.1</v>
      </c>
      <c r="C27">
        <f t="shared" si="0"/>
        <v>1.0000001263309282</v>
      </c>
      <c r="D27">
        <f t="shared" si="1"/>
        <v>5.0265478166610354E-4</v>
      </c>
      <c r="F27">
        <f t="shared" si="2"/>
        <v>0.98328263158021623</v>
      </c>
      <c r="G27">
        <f t="shared" si="3"/>
        <v>-9.5852487269667604E-3</v>
      </c>
      <c r="H27">
        <f t="shared" si="4"/>
        <v>-9.5852487269667604E-3</v>
      </c>
      <c r="J27">
        <f t="shared" si="5"/>
        <v>15</v>
      </c>
      <c r="M27">
        <f t="shared" si="6"/>
        <v>15.059768179859649</v>
      </c>
      <c r="N27">
        <f t="shared" si="7"/>
        <v>-1.5707963250000001</v>
      </c>
      <c r="O27">
        <f t="shared" si="8"/>
        <v>1.0011864127205585</v>
      </c>
      <c r="P27">
        <f t="shared" si="9"/>
        <v>4.8687594468771633E-2</v>
      </c>
      <c r="Q27">
        <f t="shared" si="10"/>
        <v>1.0007227973958055</v>
      </c>
      <c r="R27">
        <f t="shared" si="11"/>
        <v>3.8009533034936413E-2</v>
      </c>
      <c r="S27">
        <f t="shared" si="12"/>
        <v>0.99999985630841337</v>
      </c>
      <c r="T27">
        <f t="shared" si="13"/>
        <v>-5.3608131844240948E-4</v>
      </c>
      <c r="U27">
        <f t="shared" si="14"/>
        <v>0.9999996509387189</v>
      </c>
      <c r="V27">
        <f t="shared" si="15"/>
        <v>-8.3553731374542257E-4</v>
      </c>
      <c r="X27">
        <f t="shared" si="34"/>
        <v>46.948329903792924</v>
      </c>
      <c r="Y27">
        <f t="shared" si="16"/>
        <v>-85.631602751961012</v>
      </c>
      <c r="Z27">
        <f t="shared" si="35"/>
        <v>94.368397248038988</v>
      </c>
      <c r="AC27">
        <v>1</v>
      </c>
      <c r="AD27">
        <f t="shared" si="17"/>
        <v>4.8726102001500002E-2</v>
      </c>
      <c r="AE27">
        <f t="shared" si="18"/>
        <v>-2.5104720481414283E-9</v>
      </c>
      <c r="AF27">
        <f t="shared" si="19"/>
        <v>3.0046192104600003E-6</v>
      </c>
      <c r="AG27">
        <f t="shared" si="36"/>
        <v>15938.968536551763</v>
      </c>
      <c r="AH27">
        <f t="shared" si="37"/>
        <v>-332834.19438095234</v>
      </c>
      <c r="AJ27">
        <f t="shared" si="20"/>
        <v>22100</v>
      </c>
      <c r="AK27">
        <f t="shared" si="21"/>
        <v>11.847398272491601</v>
      </c>
      <c r="AL27">
        <v>1</v>
      </c>
      <c r="AM27">
        <f t="shared" si="22"/>
        <v>3.8027848054896E-2</v>
      </c>
      <c r="AN27">
        <f t="shared" si="38"/>
        <v>22068.536839747565</v>
      </c>
      <c r="AO27">
        <f t="shared" si="39"/>
        <v>-827.37156746330356</v>
      </c>
      <c r="AQ27">
        <f t="shared" si="23"/>
        <v>9615.3846153846152</v>
      </c>
      <c r="AR27">
        <f t="shared" si="24"/>
        <v>-1923.0769230769231</v>
      </c>
      <c r="AT27">
        <f t="shared" si="52"/>
        <v>-486806445.57344913</v>
      </c>
      <c r="AU27">
        <f t="shared" si="53"/>
        <v>-3230980654.6948338</v>
      </c>
      <c r="AV27">
        <f t="shared" si="42"/>
        <v>-1.7203398294897512</v>
      </c>
      <c r="AW27">
        <f t="shared" si="25"/>
        <v>210662520.65906879</v>
      </c>
      <c r="AX27">
        <f t="shared" si="26"/>
        <v>-52476675.919145375</v>
      </c>
      <c r="AY27">
        <f t="shared" si="50"/>
        <v>-0.24413429466659703</v>
      </c>
      <c r="BA27">
        <f t="shared" si="27"/>
        <v>15.050414196080268</v>
      </c>
      <c r="BB27">
        <f t="shared" si="43"/>
        <v>23.55096904257973</v>
      </c>
      <c r="BC27">
        <f t="shared" si="44"/>
        <v>-1.4762055348231542</v>
      </c>
      <c r="BD27">
        <f t="shared" si="28"/>
        <v>-264.58034693586637</v>
      </c>
      <c r="BF27">
        <f t="shared" si="29"/>
        <v>46.926362680546994</v>
      </c>
      <c r="BG27">
        <f t="shared" si="30"/>
        <v>-85.100741236557795</v>
      </c>
      <c r="BH27">
        <f t="shared" si="45"/>
        <v>94.899258763442205</v>
      </c>
      <c r="BI27">
        <f t="shared" si="46"/>
        <v>94.899258763442205</v>
      </c>
      <c r="BJ27">
        <f t="shared" si="31"/>
        <v>0</v>
      </c>
      <c r="BK27">
        <f t="shared" si="47"/>
        <v>0</v>
      </c>
      <c r="BM27">
        <f t="shared" si="48"/>
        <v>23.375393637967271</v>
      </c>
      <c r="BN27">
        <f t="shared" si="32"/>
        <v>-0.5203943006914401</v>
      </c>
      <c r="BQ27" s="47">
        <f t="shared" si="49"/>
        <v>40.452929842864869</v>
      </c>
      <c r="BR27" s="528"/>
      <c r="BS27" s="528"/>
      <c r="BT27" s="528">
        <v>147.911</v>
      </c>
      <c r="BU27" s="528">
        <v>31.4819</v>
      </c>
      <c r="BV27" s="528">
        <v>-266.34629999999999</v>
      </c>
      <c r="BW27" s="49"/>
      <c r="BY27" s="528"/>
      <c r="BZ27" s="528"/>
      <c r="CA27" s="528"/>
      <c r="CC27" s="528"/>
    </row>
    <row r="28" spans="1:81">
      <c r="A28">
        <f t="shared" si="51"/>
        <v>200</v>
      </c>
      <c r="B28">
        <f t="shared" si="33"/>
        <v>0.2</v>
      </c>
      <c r="C28">
        <f t="shared" si="0"/>
        <v>1.0000005053236165</v>
      </c>
      <c r="D28">
        <f t="shared" si="1"/>
        <v>1.0053093093289817E-3</v>
      </c>
      <c r="F28">
        <f t="shared" si="2"/>
        <v>0.98618722313733631</v>
      </c>
      <c r="G28">
        <f t="shared" si="3"/>
        <v>-1.9228016986757124E-2</v>
      </c>
      <c r="H28">
        <f t="shared" si="4"/>
        <v>-1.9228016986757124E-2</v>
      </c>
      <c r="J28">
        <f t="shared" si="5"/>
        <v>15</v>
      </c>
      <c r="M28">
        <f t="shared" si="6"/>
        <v>7.5298840899298245</v>
      </c>
      <c r="N28">
        <f t="shared" si="7"/>
        <v>-1.5707963250000001</v>
      </c>
      <c r="O28">
        <f t="shared" si="8"/>
        <v>1.004737245286071</v>
      </c>
      <c r="P28">
        <f t="shared" si="9"/>
        <v>9.7145451055158913E-2</v>
      </c>
      <c r="Q28">
        <f t="shared" si="10"/>
        <v>1.0028880639985427</v>
      </c>
      <c r="R28">
        <f t="shared" si="11"/>
        <v>7.5909555712348337E-2</v>
      </c>
      <c r="S28">
        <f t="shared" si="12"/>
        <v>0.99999942523402541</v>
      </c>
      <c r="T28">
        <f t="shared" si="13"/>
        <v>-1.072162328763488E-3</v>
      </c>
      <c r="U28">
        <f t="shared" si="14"/>
        <v>0.99999860375706917</v>
      </c>
      <c r="V28">
        <f t="shared" si="15"/>
        <v>-1.6710734608775058E-3</v>
      </c>
      <c r="X28">
        <f t="shared" si="34"/>
        <v>41.002864987245012</v>
      </c>
      <c r="Y28">
        <f t="shared" si="16"/>
        <v>-81.28593855282962</v>
      </c>
      <c r="Z28">
        <f t="shared" si="35"/>
        <v>98.71406144717038</v>
      </c>
      <c r="AC28">
        <v>1</v>
      </c>
      <c r="AD28">
        <f t="shared" si="17"/>
        <v>9.7452204003000004E-2</v>
      </c>
      <c r="AE28">
        <f t="shared" si="18"/>
        <v>-1.0041888192565713E-8</v>
      </c>
      <c r="AF28">
        <f t="shared" si="19"/>
        <v>6.0092384209200006E-6</v>
      </c>
      <c r="AG28">
        <f t="shared" si="36"/>
        <v>15938.935154566852</v>
      </c>
      <c r="AH28">
        <f t="shared" si="37"/>
        <v>-166437.07354377338</v>
      </c>
      <c r="AJ28">
        <f t="shared" si="20"/>
        <v>22100</v>
      </c>
      <c r="AK28">
        <f t="shared" si="21"/>
        <v>23.694796544983202</v>
      </c>
      <c r="AL28">
        <v>1</v>
      </c>
      <c r="AM28">
        <f t="shared" si="22"/>
        <v>7.6055696109792001E-2</v>
      </c>
      <c r="AN28">
        <f t="shared" si="38"/>
        <v>21974.690211891466</v>
      </c>
      <c r="AO28">
        <f t="shared" si="39"/>
        <v>-1647.6055643174552</v>
      </c>
      <c r="AQ28">
        <f t="shared" si="23"/>
        <v>8620.689655172413</v>
      </c>
      <c r="AR28">
        <f t="shared" si="24"/>
        <v>-3448.2758620689651</v>
      </c>
      <c r="AT28">
        <f t="shared" si="52"/>
        <v>-436516329.8529526</v>
      </c>
      <c r="AU28">
        <f t="shared" si="53"/>
        <v>-1489764203.4965527</v>
      </c>
      <c r="AV28">
        <f t="shared" si="42"/>
        <v>-1.85582832631298</v>
      </c>
      <c r="AW28">
        <f t="shared" si="25"/>
        <v>183811561.26039901</v>
      </c>
      <c r="AX28">
        <f t="shared" si="26"/>
        <v>-91021453.359053299</v>
      </c>
      <c r="AY28">
        <f t="shared" si="50"/>
        <v>-0.45979136416919159</v>
      </c>
      <c r="BA28">
        <f t="shared" si="27"/>
        <v>7.5684853868221076</v>
      </c>
      <c r="BB28">
        <f t="shared" si="43"/>
        <v>17.580179534625998</v>
      </c>
      <c r="BC28">
        <f t="shared" si="44"/>
        <v>-1.3960369621437885</v>
      </c>
      <c r="BD28">
        <f t="shared" si="28"/>
        <v>-259.98702606650227</v>
      </c>
      <c r="BF28">
        <f t="shared" si="29"/>
        <v>40.981196536745429</v>
      </c>
      <c r="BG28">
        <f t="shared" si="30"/>
        <v>-81.031110308912574</v>
      </c>
      <c r="BH28">
        <f t="shared" si="45"/>
        <v>98.968889691087426</v>
      </c>
      <c r="BI28">
        <f t="shared" si="46"/>
        <v>98.968889691087426</v>
      </c>
      <c r="BJ28">
        <f t="shared" si="31"/>
        <v>0</v>
      </c>
      <c r="BK28">
        <f t="shared" si="47"/>
        <v>0</v>
      </c>
      <c r="BM28">
        <f t="shared" si="48"/>
        <v>23.401017002119424</v>
      </c>
      <c r="BN28">
        <f t="shared" si="32"/>
        <v>-1.0440842424103154</v>
      </c>
      <c r="BQ28" s="47">
        <f t="shared" si="49"/>
        <v>34.482140334911136</v>
      </c>
      <c r="BR28" s="528"/>
      <c r="BS28" s="528"/>
      <c r="BT28" s="528">
        <v>151.35599999999999</v>
      </c>
      <c r="BU28" s="528">
        <v>31.0519</v>
      </c>
      <c r="BV28" s="528">
        <v>-267.0283</v>
      </c>
      <c r="BW28" s="49"/>
      <c r="BY28" s="528"/>
      <c r="BZ28" s="528"/>
      <c r="CA28" s="528"/>
      <c r="CC28" s="528"/>
    </row>
    <row r="29" spans="1:81">
      <c r="A29">
        <f t="shared" si="51"/>
        <v>300</v>
      </c>
      <c r="B29">
        <f t="shared" si="33"/>
        <v>0.3</v>
      </c>
      <c r="C29">
        <f t="shared" si="0"/>
        <v>1.0000011369777781</v>
      </c>
      <c r="D29">
        <f t="shared" si="1"/>
        <v>1.5079633289861801E-3</v>
      </c>
      <c r="F29">
        <f t="shared" si="2"/>
        <v>0.9910646650023518</v>
      </c>
      <c r="G29">
        <f t="shared" si="3"/>
        <v>-2.8986944304181663E-2</v>
      </c>
      <c r="H29">
        <f t="shared" si="4"/>
        <v>-2.8986944304181663E-2</v>
      </c>
      <c r="J29">
        <f t="shared" si="5"/>
        <v>15</v>
      </c>
      <c r="M29">
        <f t="shared" si="6"/>
        <v>5.0199227266198836</v>
      </c>
      <c r="N29">
        <f t="shared" si="7"/>
        <v>-1.5707963250000001</v>
      </c>
      <c r="O29">
        <f t="shared" si="8"/>
        <v>1.0106275758885392</v>
      </c>
      <c r="P29">
        <f t="shared" si="9"/>
        <v>0.14515027038203124</v>
      </c>
      <c r="Q29">
        <f t="shared" si="10"/>
        <v>1.0064864902467276</v>
      </c>
      <c r="R29">
        <f t="shared" si="11"/>
        <v>0.11359243901839861</v>
      </c>
      <c r="S29">
        <f t="shared" si="12"/>
        <v>0.999998706777951</v>
      </c>
      <c r="T29">
        <f t="shared" si="13"/>
        <v>-1.6082427228429671E-3</v>
      </c>
      <c r="U29">
        <f t="shared" si="14"/>
        <v>0.99999685846163</v>
      </c>
      <c r="V29">
        <f t="shared" si="15"/>
        <v>-2.5066072747926835E-3</v>
      </c>
      <c r="X29">
        <f t="shared" si="34"/>
        <v>37.605758902147279</v>
      </c>
      <c r="Y29">
        <f t="shared" si="16"/>
        <v>-76.985327930096929</v>
      </c>
      <c r="Z29">
        <f t="shared" si="35"/>
        <v>103.01467206990307</v>
      </c>
      <c r="AC29">
        <v>1</v>
      </c>
      <c r="AD29">
        <f t="shared" si="17"/>
        <v>0.14617830600450002</v>
      </c>
      <c r="AE29">
        <f t="shared" si="18"/>
        <v>-2.2594248433272854E-8</v>
      </c>
      <c r="AF29">
        <f t="shared" si="19"/>
        <v>9.0138576313800014E-6</v>
      </c>
      <c r="AG29">
        <f t="shared" si="36"/>
        <v>15938.879518236061</v>
      </c>
      <c r="AH29">
        <f t="shared" si="37"/>
        <v>-110980.24485332704</v>
      </c>
      <c r="AJ29">
        <f t="shared" si="20"/>
        <v>22100</v>
      </c>
      <c r="AK29">
        <f t="shared" si="21"/>
        <v>35.542194817474801</v>
      </c>
      <c r="AL29">
        <v>1</v>
      </c>
      <c r="AM29">
        <f t="shared" si="22"/>
        <v>0.11408354416468801</v>
      </c>
      <c r="AN29">
        <f t="shared" si="38"/>
        <v>21820.065426845151</v>
      </c>
      <c r="AO29">
        <f t="shared" si="39"/>
        <v>-2453.7682029823955</v>
      </c>
      <c r="AQ29">
        <f t="shared" si="23"/>
        <v>7352.9411764705892</v>
      </c>
      <c r="AR29">
        <f t="shared" si="24"/>
        <v>-4411.7647058823532</v>
      </c>
      <c r="AT29">
        <f t="shared" si="52"/>
        <v>-372421083.77764827</v>
      </c>
      <c r="AU29">
        <f t="shared" si="53"/>
        <v>-886349798.26668155</v>
      </c>
      <c r="AV29">
        <f t="shared" si="42"/>
        <v>-1.9685721639582421</v>
      </c>
      <c r="AW29">
        <f t="shared" si="25"/>
        <v>149671896.36398262</v>
      </c>
      <c r="AX29">
        <f t="shared" si="26"/>
        <v>-115005398.77910274</v>
      </c>
      <c r="AY29">
        <f t="shared" si="50"/>
        <v>-0.6551630384110827</v>
      </c>
      <c r="BA29">
        <f t="shared" si="27"/>
        <v>5.0934776795641703</v>
      </c>
      <c r="BB29">
        <f t="shared" si="43"/>
        <v>14.140288147009779</v>
      </c>
      <c r="BC29">
        <f t="shared" si="44"/>
        <v>-1.3134091255471594</v>
      </c>
      <c r="BD29">
        <f t="shared" si="28"/>
        <v>-255.25279975380914</v>
      </c>
      <c r="BF29">
        <f t="shared" si="29"/>
        <v>37.584163049036185</v>
      </c>
      <c r="BG29">
        <f t="shared" si="30"/>
        <v>-76.82722939080719</v>
      </c>
      <c r="BH29">
        <f t="shared" si="45"/>
        <v>103.17277060919281</v>
      </c>
      <c r="BI29">
        <f t="shared" si="46"/>
        <v>103.17277060919281</v>
      </c>
      <c r="BJ29">
        <f t="shared" si="31"/>
        <v>0</v>
      </c>
      <c r="BK29">
        <f t="shared" si="47"/>
        <v>0</v>
      </c>
      <c r="BM29">
        <f t="shared" si="48"/>
        <v>23.443874902026408</v>
      </c>
      <c r="BN29">
        <f t="shared" si="32"/>
        <v>-1.5744296369980324</v>
      </c>
      <c r="BQ29" s="47">
        <f t="shared" si="49"/>
        <v>31.042248947294912</v>
      </c>
      <c r="BR29" s="528"/>
      <c r="BS29" s="528"/>
      <c r="BT29" s="528">
        <v>154.88200000000001</v>
      </c>
      <c r="BU29" s="528">
        <v>31.248699999999999</v>
      </c>
      <c r="BV29" s="528">
        <v>-260.69729999999998</v>
      </c>
      <c r="BW29" s="49"/>
      <c r="BY29" s="528"/>
      <c r="BZ29" s="528"/>
      <c r="CA29" s="528"/>
      <c r="CC29" s="528"/>
    </row>
    <row r="30" spans="1:81">
      <c r="A30">
        <f t="shared" si="51"/>
        <v>400</v>
      </c>
      <c r="B30">
        <f t="shared" si="33"/>
        <v>0.4</v>
      </c>
      <c r="C30">
        <f t="shared" si="0"/>
        <v>1.0000020212929339</v>
      </c>
      <c r="D30">
        <f t="shared" si="1"/>
        <v>2.0106165866367832E-3</v>
      </c>
      <c r="F30">
        <f t="shared" si="2"/>
        <v>0.99797066703441706</v>
      </c>
      <c r="G30">
        <f t="shared" si="3"/>
        <v>-3.8922954713875607E-2</v>
      </c>
      <c r="H30">
        <f t="shared" si="4"/>
        <v>-3.8922954713875607E-2</v>
      </c>
      <c r="J30">
        <f t="shared" si="5"/>
        <v>15</v>
      </c>
      <c r="M30">
        <f t="shared" si="6"/>
        <v>3.7649420449649122</v>
      </c>
      <c r="N30">
        <f t="shared" si="7"/>
        <v>-1.5707963250000001</v>
      </c>
      <c r="O30">
        <f t="shared" si="8"/>
        <v>1.0188168276290734</v>
      </c>
      <c r="P30">
        <f t="shared" si="9"/>
        <v>0.19249118554463379</v>
      </c>
      <c r="Q30">
        <f t="shared" si="10"/>
        <v>1.0115027808379866</v>
      </c>
      <c r="R30">
        <f t="shared" si="11"/>
        <v>0.15095423655028728</v>
      </c>
      <c r="S30">
        <f t="shared" si="12"/>
        <v>0.9999977009420481</v>
      </c>
      <c r="T30">
        <f t="shared" si="13"/>
        <v>-2.1443221925627038E-3</v>
      </c>
      <c r="U30">
        <f t="shared" si="14"/>
        <v>0.99999441506336706</v>
      </c>
      <c r="V30">
        <f t="shared" si="15"/>
        <v>-3.3421375889069365E-3</v>
      </c>
      <c r="X30">
        <f t="shared" si="34"/>
        <v>35.280559505532111</v>
      </c>
      <c r="Y30">
        <f t="shared" si="16"/>
        <v>-72.75129897775949</v>
      </c>
      <c r="Z30">
        <f t="shared" si="35"/>
        <v>107.24870102224051</v>
      </c>
      <c r="AC30">
        <v>1</v>
      </c>
      <c r="AD30">
        <f t="shared" si="17"/>
        <v>0.19490440800600001</v>
      </c>
      <c r="AE30">
        <f t="shared" si="18"/>
        <v>-4.0167552770262853E-8</v>
      </c>
      <c r="AF30">
        <f t="shared" si="19"/>
        <v>1.2018476841840001E-5</v>
      </c>
      <c r="AG30">
        <f t="shared" si="36"/>
        <v>15938.801628025469</v>
      </c>
      <c r="AH30">
        <f t="shared" si="37"/>
        <v>-83258.489060107298</v>
      </c>
      <c r="AJ30">
        <f t="shared" si="20"/>
        <v>22100</v>
      </c>
      <c r="AK30">
        <f t="shared" si="21"/>
        <v>47.389593089966404</v>
      </c>
      <c r="AL30">
        <v>1</v>
      </c>
      <c r="AM30">
        <f t="shared" si="22"/>
        <v>0.152111392219584</v>
      </c>
      <c r="AN30">
        <f t="shared" si="38"/>
        <v>21607.262347793152</v>
      </c>
      <c r="AO30">
        <f t="shared" si="39"/>
        <v>-3239.3211646866471</v>
      </c>
      <c r="AQ30">
        <f t="shared" si="23"/>
        <v>6097.5609756097556</v>
      </c>
      <c r="AR30">
        <f t="shared" si="24"/>
        <v>-4878.0487804878048</v>
      </c>
      <c r="AT30">
        <f t="shared" si="52"/>
        <v>-308951156.21988034</v>
      </c>
      <c r="AU30">
        <f t="shared" si="53"/>
        <v>-585423965.62516868</v>
      </c>
      <c r="AV30">
        <f t="shared" si="42"/>
        <v>-2.0563882210627225</v>
      </c>
      <c r="AW30">
        <f t="shared" si="25"/>
        <v>116005322.8729457</v>
      </c>
      <c r="AX30">
        <f t="shared" si="26"/>
        <v>-125679362.54173104</v>
      </c>
      <c r="AY30">
        <f t="shared" si="50"/>
        <v>-0.82540433103024458</v>
      </c>
      <c r="BA30">
        <f t="shared" si="27"/>
        <v>3.8702637262100068</v>
      </c>
      <c r="BB30">
        <f t="shared" si="43"/>
        <v>11.754811191517005</v>
      </c>
      <c r="BC30">
        <f t="shared" si="44"/>
        <v>-1.2309838900324779</v>
      </c>
      <c r="BD30">
        <f t="shared" si="28"/>
        <v>-250.53018162804972</v>
      </c>
      <c r="BF30">
        <f t="shared" si="29"/>
        <v>35.259009457847036</v>
      </c>
      <c r="BG30">
        <f t="shared" si="30"/>
        <v>-72.645102817116978</v>
      </c>
      <c r="BH30">
        <f t="shared" si="45"/>
        <v>107.35489718288302</v>
      </c>
      <c r="BI30">
        <f t="shared" si="46"/>
        <v>107.35489718288302</v>
      </c>
      <c r="BJ30">
        <f t="shared" si="31"/>
        <v>0</v>
      </c>
      <c r="BK30">
        <f t="shared" si="47"/>
        <v>0</v>
      </c>
      <c r="BM30">
        <f t="shared" si="48"/>
        <v>23.504198266330029</v>
      </c>
      <c r="BN30">
        <f t="shared" si="32"/>
        <v>-2.1149211890672674</v>
      </c>
      <c r="BQ30" s="47">
        <f t="shared" si="49"/>
        <v>28.656771991802145</v>
      </c>
      <c r="BR30" s="528"/>
      <c r="BS30" s="528"/>
      <c r="BT30" s="528">
        <v>158.489</v>
      </c>
      <c r="BU30" s="528">
        <v>31.003699999999998</v>
      </c>
      <c r="BV30" s="528">
        <v>-259.86900000000003</v>
      </c>
      <c r="BW30" s="49"/>
      <c r="BY30" s="528"/>
      <c r="BZ30" s="528"/>
      <c r="CA30" s="528"/>
      <c r="CC30" s="528"/>
    </row>
    <row r="31" spans="1:81">
      <c r="A31">
        <f t="shared" si="51"/>
        <v>500</v>
      </c>
      <c r="B31">
        <f t="shared" si="33"/>
        <v>0.5</v>
      </c>
      <c r="C31">
        <f t="shared" si="0"/>
        <v>1.0000031582684139</v>
      </c>
      <c r="D31">
        <f t="shared" si="1"/>
        <v>2.5132688282821867E-3</v>
      </c>
      <c r="F31">
        <f t="shared" si="2"/>
        <v>1.0069853242199358</v>
      </c>
      <c r="G31">
        <f t="shared" si="3"/>
        <v>-4.9100513269545502E-2</v>
      </c>
      <c r="H31">
        <f t="shared" si="4"/>
        <v>-4.9100513269545502E-2</v>
      </c>
      <c r="J31">
        <f t="shared" si="5"/>
        <v>15</v>
      </c>
      <c r="M31">
        <f t="shared" si="6"/>
        <v>3.0119536359719303</v>
      </c>
      <c r="N31">
        <f t="shared" si="7"/>
        <v>-1.5707963250000001</v>
      </c>
      <c r="O31">
        <f t="shared" si="8"/>
        <v>1.0292501277175119</v>
      </c>
      <c r="P31">
        <f t="shared" si="9"/>
        <v>0.23897492321774566</v>
      </c>
      <c r="Q31">
        <f t="shared" si="10"/>
        <v>1.0179159742788972</v>
      </c>
      <c r="R31">
        <f t="shared" si="11"/>
        <v>0.18789633191885183</v>
      </c>
      <c r="S31">
        <f t="shared" si="12"/>
        <v>0.99999640772891862</v>
      </c>
      <c r="T31">
        <f t="shared" si="13"/>
        <v>-2.6804004298077427E-3</v>
      </c>
      <c r="U31">
        <f t="shared" si="14"/>
        <v>0.9999912735776324</v>
      </c>
      <c r="V31">
        <f t="shared" si="15"/>
        <v>-4.1776632366655629E-3</v>
      </c>
      <c r="X31">
        <f t="shared" si="34"/>
        <v>33.563831273324134</v>
      </c>
      <c r="Y31">
        <f t="shared" si="16"/>
        <v>-68.604269250122243</v>
      </c>
      <c r="Z31">
        <f t="shared" si="35"/>
        <v>111.39573074987776</v>
      </c>
      <c r="AC31">
        <v>1</v>
      </c>
      <c r="AD31">
        <f t="shared" si="17"/>
        <v>0.24363051000750005</v>
      </c>
      <c r="AE31">
        <f t="shared" si="18"/>
        <v>-6.2761801203535713E-8</v>
      </c>
      <c r="AF31">
        <f t="shared" si="19"/>
        <v>1.5023096052300001E-5</v>
      </c>
      <c r="AG31">
        <f t="shared" si="36"/>
        <v>15938.701484587591</v>
      </c>
      <c r="AH31">
        <f t="shared" si="37"/>
        <v>-66630.76226959005</v>
      </c>
      <c r="AJ31">
        <f t="shared" si="20"/>
        <v>22100</v>
      </c>
      <c r="AK31">
        <f t="shared" si="21"/>
        <v>59.236991362457999</v>
      </c>
      <c r="AL31">
        <v>1</v>
      </c>
      <c r="AM31">
        <f t="shared" si="22"/>
        <v>0.19013924027448001</v>
      </c>
      <c r="AN31">
        <f t="shared" si="38"/>
        <v>21339.768118749947</v>
      </c>
      <c r="AO31">
        <f t="shared" si="39"/>
        <v>-3998.2903063702265</v>
      </c>
      <c r="AQ31">
        <f t="shared" si="23"/>
        <v>5000</v>
      </c>
      <c r="AR31">
        <f t="shared" si="24"/>
        <v>-5000</v>
      </c>
      <c r="AT31">
        <f t="shared" si="52"/>
        <v>-253460303.92501226</v>
      </c>
      <c r="AU31">
        <f t="shared" si="53"/>
        <v>-412847318.77088821</v>
      </c>
      <c r="AV31">
        <f t="shared" si="42"/>
        <v>-2.1213972302112643</v>
      </c>
      <c r="AW31">
        <f t="shared" si="25"/>
        <v>86762179.978572488</v>
      </c>
      <c r="AX31">
        <f t="shared" si="26"/>
        <v>-127113838.19189924</v>
      </c>
      <c r="AY31">
        <f t="shared" si="50"/>
        <v>-0.97187464705923821</v>
      </c>
      <c r="BA31">
        <f t="shared" si="27"/>
        <v>3.1477517084450715</v>
      </c>
      <c r="BB31">
        <f t="shared" si="43"/>
        <v>9.9600093663394969</v>
      </c>
      <c r="BC31">
        <f t="shared" si="44"/>
        <v>-1.1495225831520259</v>
      </c>
      <c r="BD31">
        <f t="shared" si="28"/>
        <v>-245.86279254484651</v>
      </c>
      <c r="BF31">
        <f t="shared" si="29"/>
        <v>33.542324803827356</v>
      </c>
      <c r="BG31">
        <f t="shared" si="30"/>
        <v>-68.532045033525293</v>
      </c>
      <c r="BH31">
        <f t="shared" si="45"/>
        <v>111.46795496647471</v>
      </c>
      <c r="BI31">
        <f t="shared" si="46"/>
        <v>111.46795496647471</v>
      </c>
      <c r="BJ31">
        <f t="shared" si="31"/>
        <v>0</v>
      </c>
      <c r="BK31">
        <f t="shared" si="47"/>
        <v>0</v>
      </c>
      <c r="BM31">
        <f t="shared" si="48"/>
        <v>23.582315437487861</v>
      </c>
      <c r="BN31">
        <f t="shared" si="32"/>
        <v>-2.6692524886787585</v>
      </c>
      <c r="BQ31" s="47">
        <f t="shared" si="49"/>
        <v>26.861970166624634</v>
      </c>
      <c r="BR31" s="528"/>
      <c r="BS31" s="528"/>
      <c r="BT31" s="528">
        <v>162.18100000000001</v>
      </c>
      <c r="BU31" s="528">
        <v>30.429300000000001</v>
      </c>
      <c r="BV31" s="528">
        <v>-262.39859999999999</v>
      </c>
      <c r="BW31" s="49"/>
      <c r="BY31" s="528"/>
      <c r="BZ31" s="528"/>
      <c r="CA31" s="528"/>
      <c r="CC31" s="528"/>
    </row>
    <row r="32" spans="1:81">
      <c r="A32">
        <f t="shared" si="51"/>
        <v>600</v>
      </c>
      <c r="B32">
        <f t="shared" si="33"/>
        <v>0.6</v>
      </c>
      <c r="C32">
        <f t="shared" si="0"/>
        <v>1.0000045479033559</v>
      </c>
      <c r="D32">
        <f t="shared" si="1"/>
        <v>3.0159197999268671E-3</v>
      </c>
      <c r="F32">
        <f t="shared" si="2"/>
        <v>1.0182153362108373</v>
      </c>
      <c r="G32">
        <f t="shared" si="3"/>
        <v>-5.9589028174692436E-2</v>
      </c>
      <c r="H32">
        <f t="shared" si="4"/>
        <v>-5.9589028174692436E-2</v>
      </c>
      <c r="J32">
        <f t="shared" si="5"/>
        <v>15</v>
      </c>
      <c r="M32">
        <f t="shared" si="6"/>
        <v>2.5099613633099418</v>
      </c>
      <c r="N32">
        <f t="shared" si="7"/>
        <v>-1.5707963250000001</v>
      </c>
      <c r="O32">
        <f t="shared" si="8"/>
        <v>1.0418600619014922</v>
      </c>
      <c r="P32">
        <f t="shared" si="9"/>
        <v>0.28442984484833972</v>
      </c>
      <c r="Q32">
        <f t="shared" si="10"/>
        <v>1.025699868478448</v>
      </c>
      <c r="R32">
        <f t="shared" si="11"/>
        <v>0.22432687029164369</v>
      </c>
      <c r="S32">
        <f t="shared" si="12"/>
        <v>0.99999482714190724</v>
      </c>
      <c r="T32">
        <f t="shared" si="13"/>
        <v>-3.2164771264673775E-3</v>
      </c>
      <c r="U32">
        <f t="shared" si="14"/>
        <v>0.99998743402416324</v>
      </c>
      <c r="V32">
        <f t="shared" si="15"/>
        <v>-5.0131830515529529E-3</v>
      </c>
      <c r="X32">
        <f t="shared" si="34"/>
        <v>32.248437815036198</v>
      </c>
      <c r="Y32">
        <f t="shared" si="16"/>
        <v>-64.563312533311546</v>
      </c>
      <c r="Z32">
        <f t="shared" si="35"/>
        <v>115.43668746668845</v>
      </c>
      <c r="AC32">
        <v>1</v>
      </c>
      <c r="AD32">
        <f t="shared" si="17"/>
        <v>0.29235661200900004</v>
      </c>
      <c r="AE32">
        <f t="shared" si="18"/>
        <v>-9.0376993733091416E-8</v>
      </c>
      <c r="AF32">
        <f t="shared" si="19"/>
        <v>1.8027715262760003E-5</v>
      </c>
      <c r="AG32">
        <f t="shared" si="36"/>
        <v>15938.579088761329</v>
      </c>
      <c r="AH32">
        <f t="shared" si="37"/>
        <v>-55550.049813084363</v>
      </c>
      <c r="AJ32">
        <f t="shared" si="20"/>
        <v>22100</v>
      </c>
      <c r="AK32">
        <f t="shared" si="21"/>
        <v>71.084389634949602</v>
      </c>
      <c r="AL32">
        <v>1</v>
      </c>
      <c r="AM32">
        <f t="shared" si="22"/>
        <v>0.22816708832937602</v>
      </c>
      <c r="AN32">
        <f t="shared" si="38"/>
        <v>21021.818612316292</v>
      </c>
      <c r="AO32">
        <f t="shared" si="39"/>
        <v>-4725.4027545255422</v>
      </c>
      <c r="AQ32">
        <f t="shared" si="23"/>
        <v>4098.3606557377052</v>
      </c>
      <c r="AR32">
        <f t="shared" si="24"/>
        <v>-4918.0327868852464</v>
      </c>
      <c r="AT32">
        <f t="shared" si="52"/>
        <v>-207874920.84811443</v>
      </c>
      <c r="AU32">
        <f t="shared" si="53"/>
        <v>-306050593.11310643</v>
      </c>
      <c r="AV32">
        <f t="shared" si="42"/>
        <v>-2.1674377155963032</v>
      </c>
      <c r="AW32">
        <f t="shared" si="25"/>
        <v>62969506.50717248</v>
      </c>
      <c r="AX32">
        <f t="shared" si="26"/>
        <v>-123107974.99766324</v>
      </c>
      <c r="AY32">
        <f t="shared" si="50"/>
        <v>-1.0979925338834959</v>
      </c>
      <c r="BA32">
        <f t="shared" si="27"/>
        <v>2.675568471574659</v>
      </c>
      <c r="BB32">
        <f t="shared" si="43"/>
        <v>8.5483213932287168</v>
      </c>
      <c r="BC32">
        <f t="shared" si="44"/>
        <v>-1.0694451817128072</v>
      </c>
      <c r="BD32">
        <f t="shared" si="28"/>
        <v>-241.27469540276181</v>
      </c>
      <c r="BF32">
        <f t="shared" si="29"/>
        <v>32.226978757453253</v>
      </c>
      <c r="BG32">
        <f t="shared" si="30"/>
        <v>-64.516095750275923</v>
      </c>
      <c r="BH32">
        <f t="shared" si="45"/>
        <v>115.48390424972408</v>
      </c>
      <c r="BI32">
        <f t="shared" si="46"/>
        <v>115.48390424972408</v>
      </c>
      <c r="BJ32">
        <f t="shared" si="31"/>
        <v>0</v>
      </c>
      <c r="BK32">
        <f t="shared" si="47"/>
        <v>0</v>
      </c>
      <c r="BM32">
        <f t="shared" si="48"/>
        <v>23.678657364224534</v>
      </c>
      <c r="BN32">
        <f t="shared" si="32"/>
        <v>-3.2414003475141189</v>
      </c>
      <c r="BQ32" s="47">
        <f t="shared" si="49"/>
        <v>25.450282193513853</v>
      </c>
      <c r="BR32" s="528"/>
      <c r="BS32" s="528"/>
      <c r="BT32" s="528">
        <v>165.959</v>
      </c>
      <c r="BU32" s="528">
        <v>29.9194</v>
      </c>
      <c r="BV32" s="528">
        <v>-264.8295</v>
      </c>
      <c r="BW32" s="49"/>
      <c r="BY32" s="528"/>
      <c r="BZ32" s="528"/>
      <c r="CA32" s="528"/>
      <c r="CC32" s="528"/>
    </row>
    <row r="33" spans="1:81">
      <c r="A33">
        <f t="shared" si="51"/>
        <v>700</v>
      </c>
      <c r="B33">
        <f t="shared" si="33"/>
        <v>0.7</v>
      </c>
      <c r="C33">
        <f t="shared" si="0"/>
        <v>1.000006190196707</v>
      </c>
      <c r="D33">
        <f t="shared" si="1"/>
        <v>3.5185692475791504E-3</v>
      </c>
      <c r="F33">
        <f t="shared" si="2"/>
        <v>1.0317970390580791</v>
      </c>
      <c r="G33">
        <f t="shared" si="3"/>
        <v>-7.0464462161515598E-2</v>
      </c>
      <c r="H33">
        <f t="shared" si="4"/>
        <v>-7.0464462161515598E-2</v>
      </c>
      <c r="J33">
        <f t="shared" si="5"/>
        <v>15</v>
      </c>
      <c r="M33">
        <f t="shared" si="6"/>
        <v>2.1513954542656641</v>
      </c>
      <c r="N33">
        <f t="shared" si="7"/>
        <v>-1.5707963250000001</v>
      </c>
      <c r="O33">
        <f t="shared" si="8"/>
        <v>1.056568699989153</v>
      </c>
      <c r="P33">
        <f t="shared" si="9"/>
        <v>0.32870870803334989</v>
      </c>
      <c r="Q33">
        <f t="shared" si="10"/>
        <v>1.0348235328579587</v>
      </c>
      <c r="R33">
        <f t="shared" si="11"/>
        <v>0.26016192795696202</v>
      </c>
      <c r="S33">
        <f t="shared" si="12"/>
        <v>0.99999295918510178</v>
      </c>
      <c r="T33">
        <f t="shared" si="13"/>
        <v>-3.7525519744362173E-3</v>
      </c>
      <c r="U33">
        <f t="shared" si="14"/>
        <v>0.99998289642708282</v>
      </c>
      <c r="V33">
        <f t="shared" si="15"/>
        <v>-5.8486958671023588E-3</v>
      </c>
      <c r="X33">
        <f t="shared" si="34"/>
        <v>31.22324045609842</v>
      </c>
      <c r="Y33">
        <f t="shared" si="16"/>
        <v>-60.646025944111287</v>
      </c>
      <c r="Z33">
        <f t="shared" si="35"/>
        <v>119.35397405588871</v>
      </c>
      <c r="AC33">
        <v>1</v>
      </c>
      <c r="AD33">
        <f t="shared" si="17"/>
        <v>0.3410827140105</v>
      </c>
      <c r="AE33">
        <f t="shared" si="18"/>
        <v>-1.2301313035893001E-7</v>
      </c>
      <c r="AF33">
        <f t="shared" si="19"/>
        <v>2.1032334473220003E-5</v>
      </c>
      <c r="AG33">
        <f t="shared" si="36"/>
        <v>15938.434441571988</v>
      </c>
      <c r="AH33">
        <f t="shared" si="37"/>
        <v>-47639.059657854537</v>
      </c>
      <c r="AJ33">
        <f t="shared" si="20"/>
        <v>22100</v>
      </c>
      <c r="AK33">
        <f t="shared" si="21"/>
        <v>82.931787907441205</v>
      </c>
      <c r="AL33">
        <v>1</v>
      </c>
      <c r="AM33">
        <f t="shared" si="22"/>
        <v>0.266194936384272</v>
      </c>
      <c r="AN33">
        <f t="shared" si="38"/>
        <v>20658.238525371842</v>
      </c>
      <c r="AO33">
        <f t="shared" si="39"/>
        <v>-5416.1867021650323</v>
      </c>
      <c r="AQ33">
        <f t="shared" si="23"/>
        <v>3378.3783783783783</v>
      </c>
      <c r="AR33">
        <f t="shared" si="24"/>
        <v>-4729.72972972973</v>
      </c>
      <c r="AT33">
        <f t="shared" si="52"/>
        <v>-171473814.45751476</v>
      </c>
      <c r="AU33">
        <f t="shared" si="53"/>
        <v>-236327256.33802474</v>
      </c>
      <c r="AV33">
        <f t="shared" si="42"/>
        <v>-2.1984831554407243</v>
      </c>
      <c r="AW33">
        <f t="shared" si="25"/>
        <v>44227766.815275535</v>
      </c>
      <c r="AX33">
        <f t="shared" si="26"/>
        <v>-116313164.09927943</v>
      </c>
      <c r="AY33">
        <f t="shared" si="50"/>
        <v>-1.2074332372319934</v>
      </c>
      <c r="BA33">
        <f t="shared" si="27"/>
        <v>2.346407895544504</v>
      </c>
      <c r="BB33">
        <f t="shared" si="43"/>
        <v>7.408070227080672</v>
      </c>
      <c r="BC33">
        <f t="shared" si="44"/>
        <v>-0.9910499182087309</v>
      </c>
      <c r="BD33">
        <f t="shared" si="28"/>
        <v>-236.7829776650297</v>
      </c>
      <c r="BF33">
        <f t="shared" si="29"/>
        <v>31.201834720328243</v>
      </c>
      <c r="BG33">
        <f t="shared" si="30"/>
        <v>-60.618694789115985</v>
      </c>
      <c r="BH33">
        <f t="shared" si="45"/>
        <v>119.38130521088402</v>
      </c>
      <c r="BI33">
        <f t="shared" si="46"/>
        <v>119.38130521088402</v>
      </c>
      <c r="BJ33">
        <f t="shared" si="31"/>
        <v>0</v>
      </c>
      <c r="BK33">
        <f t="shared" si="47"/>
        <v>0</v>
      </c>
      <c r="BM33">
        <f t="shared" si="48"/>
        <v>23.793764493247565</v>
      </c>
      <c r="BN33">
        <f t="shared" si="32"/>
        <v>-3.8357171240862691</v>
      </c>
      <c r="BQ33" s="47">
        <f t="shared" si="49"/>
        <v>24.31003102736581</v>
      </c>
      <c r="BR33" s="528"/>
      <c r="BS33" s="528"/>
      <c r="BT33" s="528">
        <v>169.82400000000001</v>
      </c>
      <c r="BU33" s="528">
        <v>29.808900000000001</v>
      </c>
      <c r="BV33" s="528">
        <v>-267.72770000000003</v>
      </c>
      <c r="BW33" s="49"/>
      <c r="BY33" s="528"/>
      <c r="BZ33" s="528"/>
      <c r="CA33" s="528"/>
      <c r="CC33" s="528"/>
    </row>
    <row r="34" spans="1:81">
      <c r="A34">
        <f t="shared" si="51"/>
        <v>800</v>
      </c>
      <c r="B34">
        <f t="shared" si="33"/>
        <v>0.8</v>
      </c>
      <c r="C34">
        <f t="shared" si="0"/>
        <v>1.0000080851472222</v>
      </c>
      <c r="D34">
        <f t="shared" si="1"/>
        <v>4.0212169172519829E-3</v>
      </c>
      <c r="F34">
        <f t="shared" si="2"/>
        <v>1.0479003991142744</v>
      </c>
      <c r="G34">
        <f t="shared" si="3"/>
        <v>-8.1811231583256136E-2</v>
      </c>
      <c r="H34">
        <f t="shared" si="4"/>
        <v>-8.1811231583256136E-2</v>
      </c>
      <c r="J34">
        <f t="shared" si="5"/>
        <v>15</v>
      </c>
      <c r="M34">
        <f t="shared" si="6"/>
        <v>1.8824710224824561</v>
      </c>
      <c r="N34">
        <f t="shared" si="7"/>
        <v>-1.5707963250000001</v>
      </c>
      <c r="O34">
        <f t="shared" si="8"/>
        <v>1.0732897619192485</v>
      </c>
      <c r="P34">
        <f t="shared" si="9"/>
        <v>0.37169011919176737</v>
      </c>
      <c r="Q34">
        <f t="shared" si="10"/>
        <v>1.0452518847492791</v>
      </c>
      <c r="R34">
        <f t="shared" si="11"/>
        <v>0.29532639192681909</v>
      </c>
      <c r="S34">
        <f t="shared" si="12"/>
        <v>0.99999080386333361</v>
      </c>
      <c r="T34">
        <f t="shared" si="13"/>
        <v>-4.2886246656152439E-3</v>
      </c>
      <c r="U34">
        <f t="shared" si="14"/>
        <v>0.99997766081489869</v>
      </c>
      <c r="V34">
        <f t="shared" si="15"/>
        <v>-6.6842005169056645E-3</v>
      </c>
      <c r="X34">
        <f t="shared" si="34"/>
        <v>30.421346521240025</v>
      </c>
      <c r="Y34">
        <f t="shared" si="16"/>
        <v>-56.868505110421921</v>
      </c>
      <c r="Z34">
        <f t="shared" si="35"/>
        <v>123.13149488957808</v>
      </c>
      <c r="AC34">
        <v>1</v>
      </c>
      <c r="AD34">
        <f t="shared" si="17"/>
        <v>0.38980881601200001</v>
      </c>
      <c r="AE34">
        <f t="shared" si="18"/>
        <v>-1.6067021108105141E-7</v>
      </c>
      <c r="AF34">
        <f t="shared" si="19"/>
        <v>2.4036953683680003E-5</v>
      </c>
      <c r="AG34">
        <f t="shared" si="36"/>
        <v>15938.267544231239</v>
      </c>
      <c r="AH34">
        <f t="shared" si="37"/>
        <v>-41709.145759651365</v>
      </c>
      <c r="AJ34">
        <f t="shared" si="20"/>
        <v>22100</v>
      </c>
      <c r="AK34">
        <f t="shared" si="21"/>
        <v>94.779186179932807</v>
      </c>
      <c r="AL34">
        <v>1</v>
      </c>
      <c r="AM34">
        <f t="shared" si="22"/>
        <v>0.304222784439168</v>
      </c>
      <c r="AN34">
        <f t="shared" si="38"/>
        <v>20254.270792575142</v>
      </c>
      <c r="AO34">
        <f t="shared" si="39"/>
        <v>-6067.0314711221918</v>
      </c>
      <c r="AQ34">
        <f t="shared" si="23"/>
        <v>2808.9887640449433</v>
      </c>
      <c r="AR34">
        <f t="shared" si="24"/>
        <v>-4494.3820224719093</v>
      </c>
      <c r="AT34">
        <f t="shared" si="52"/>
        <v>-142686420.42474979</v>
      </c>
      <c r="AU34">
        <f t="shared" si="53"/>
        <v>-188793184.91691387</v>
      </c>
      <c r="AV34">
        <f t="shared" si="42"/>
        <v>-2.2179874195713687</v>
      </c>
      <c r="AW34">
        <f t="shared" si="25"/>
        <v>29679228.121761069</v>
      </c>
      <c r="AX34">
        <f t="shared" si="26"/>
        <v>-108344086.18772355</v>
      </c>
      <c r="AY34">
        <f t="shared" si="50"/>
        <v>-1.3034205856244936</v>
      </c>
      <c r="BA34">
        <f t="shared" si="27"/>
        <v>2.1066154648119126</v>
      </c>
      <c r="BB34">
        <f t="shared" si="43"/>
        <v>6.4717053609391195</v>
      </c>
      <c r="BC34">
        <f t="shared" si="44"/>
        <v>-0.9145668339468751</v>
      </c>
      <c r="BD34">
        <f t="shared" si="28"/>
        <v>-232.40081972767459</v>
      </c>
      <c r="BF34">
        <f t="shared" si="29"/>
        <v>30.400000883810652</v>
      </c>
      <c r="BG34">
        <f t="shared" si="30"/>
        <v>-56.857859261390317</v>
      </c>
      <c r="BH34">
        <f t="shared" si="45"/>
        <v>123.14214073860968</v>
      </c>
      <c r="BI34">
        <f t="shared" si="46"/>
        <v>123.14214073860968</v>
      </c>
      <c r="BJ34">
        <f t="shared" si="31"/>
        <v>0</v>
      </c>
      <c r="BK34">
        <f t="shared" si="47"/>
        <v>0</v>
      </c>
      <c r="BM34">
        <f t="shared" si="48"/>
        <v>23.928295522871533</v>
      </c>
      <c r="BN34">
        <f t="shared" si="32"/>
        <v>-4.457039533715724</v>
      </c>
      <c r="BQ34" s="47">
        <f t="shared" si="49"/>
        <v>23.373666161224257</v>
      </c>
      <c r="BR34" s="528"/>
      <c r="BS34" s="528"/>
      <c r="BT34" s="528">
        <v>173.78</v>
      </c>
      <c r="BU34" s="528">
        <v>30.070900000000002</v>
      </c>
      <c r="BV34" s="528">
        <v>-269.952</v>
      </c>
      <c r="BW34" s="49"/>
      <c r="BY34" s="528"/>
      <c r="BZ34" s="528"/>
      <c r="CA34" s="528"/>
      <c r="CC34" s="528"/>
    </row>
    <row r="35" spans="1:81">
      <c r="A35">
        <f t="shared" si="51"/>
        <v>900</v>
      </c>
      <c r="B35">
        <f t="shared" si="33"/>
        <v>0.9</v>
      </c>
      <c r="C35">
        <f t="shared" si="0"/>
        <v>1.000010232753465</v>
      </c>
      <c r="D35">
        <f t="shared" si="1"/>
        <v>4.5238625549637035E-3</v>
      </c>
      <c r="F35">
        <f t="shared" si="2"/>
        <v>1.0667341722173398</v>
      </c>
      <c r="G35">
        <f t="shared" si="3"/>
        <v>-9.3724492914312646E-2</v>
      </c>
      <c r="H35">
        <f t="shared" si="4"/>
        <v>-9.3724492914312646E-2</v>
      </c>
      <c r="J35">
        <f t="shared" si="5"/>
        <v>15</v>
      </c>
      <c r="M35">
        <f t="shared" si="6"/>
        <v>1.6733075755399611</v>
      </c>
      <c r="N35">
        <f t="shared" si="7"/>
        <v>-1.5707963250000001</v>
      </c>
      <c r="O35">
        <f t="shared" si="8"/>
        <v>1.0919308010662157</v>
      </c>
      <c r="P35">
        <f t="shared" si="9"/>
        <v>0.41327876388238249</v>
      </c>
      <c r="Q35">
        <f t="shared" si="10"/>
        <v>1.056946306792633</v>
      </c>
      <c r="R35">
        <f t="shared" si="11"/>
        <v>0.32975454007734428</v>
      </c>
      <c r="S35">
        <f t="shared" si="12"/>
        <v>0.99998836118217715</v>
      </c>
      <c r="T35">
        <f t="shared" si="13"/>
        <v>-4.8246948919128778E-3</v>
      </c>
      <c r="U35">
        <f t="shared" si="14"/>
        <v>0.99997172722050343</v>
      </c>
      <c r="V35">
        <f t="shared" si="15"/>
        <v>-7.5196958346231543E-3</v>
      </c>
      <c r="X35">
        <f t="shared" si="34"/>
        <v>29.79916793319585</v>
      </c>
      <c r="Y35">
        <f t="shared" si="16"/>
        <v>-53.245428742236349</v>
      </c>
      <c r="Z35">
        <f t="shared" si="35"/>
        <v>126.75457125776364</v>
      </c>
      <c r="AC35">
        <v>1</v>
      </c>
      <c r="AD35">
        <f t="shared" si="17"/>
        <v>0.43853491801350003</v>
      </c>
      <c r="AE35">
        <f t="shared" si="18"/>
        <v>-2.0334823589945572E-7</v>
      </c>
      <c r="AF35">
        <f t="shared" si="19"/>
        <v>2.7041572894140002E-5</v>
      </c>
      <c r="AG35">
        <f t="shared" si="36"/>
        <v>15938.078398137088</v>
      </c>
      <c r="AH35">
        <f t="shared" si="37"/>
        <v>-37099.949180222939</v>
      </c>
      <c r="AJ35">
        <f t="shared" si="20"/>
        <v>22100</v>
      </c>
      <c r="AK35">
        <f t="shared" si="21"/>
        <v>106.6265844524244</v>
      </c>
      <c r="AL35">
        <v>1</v>
      </c>
      <c r="AM35">
        <f t="shared" si="22"/>
        <v>0.34225063249406401</v>
      </c>
      <c r="AN35">
        <f t="shared" si="38"/>
        <v>19815.40565694718</v>
      </c>
      <c r="AO35">
        <f t="shared" si="39"/>
        <v>-6675.2085347642005</v>
      </c>
      <c r="AQ35">
        <f t="shared" si="23"/>
        <v>2358.4905660377358</v>
      </c>
      <c r="AR35">
        <f t="shared" si="24"/>
        <v>-4245.2830188679245</v>
      </c>
      <c r="AT35">
        <f t="shared" si="52"/>
        <v>-119909976.71288727</v>
      </c>
      <c r="AU35">
        <f t="shared" si="53"/>
        <v>-155161533.71903229</v>
      </c>
      <c r="AV35">
        <f t="shared" si="42"/>
        <v>-2.2287350811496971</v>
      </c>
      <c r="AW35">
        <f t="shared" si="25"/>
        <v>18448245.481853202</v>
      </c>
      <c r="AX35">
        <f t="shared" si="26"/>
        <v>-100109110.13735972</v>
      </c>
      <c r="AY35">
        <f t="shared" si="50"/>
        <v>-1.3885594839316195</v>
      </c>
      <c r="BA35">
        <f t="shared" si="27"/>
        <v>1.9263826958494141</v>
      </c>
      <c r="BB35">
        <f t="shared" si="43"/>
        <v>5.6948513690165461</v>
      </c>
      <c r="BC35">
        <f t="shared" si="44"/>
        <v>-0.84017559721807755</v>
      </c>
      <c r="BD35">
        <f t="shared" si="28"/>
        <v>-228.13851582548551</v>
      </c>
      <c r="BF35">
        <f t="shared" si="29"/>
        <v>29.777889584006978</v>
      </c>
      <c r="BG35">
        <f t="shared" si="30"/>
        <v>-53.24933548082268</v>
      </c>
      <c r="BH35">
        <f t="shared" si="45"/>
        <v>126.75066451917732</v>
      </c>
      <c r="BI35">
        <f t="shared" si="46"/>
        <v>126.75066451917732</v>
      </c>
      <c r="BJ35">
        <f t="shared" si="31"/>
        <v>0</v>
      </c>
      <c r="BK35">
        <f t="shared" si="47"/>
        <v>0</v>
      </c>
      <c r="BM35">
        <f t="shared" si="48"/>
        <v>24.083038214990431</v>
      </c>
      <c r="BN35">
        <f t="shared" si="32"/>
        <v>-5.1108196553371767</v>
      </c>
      <c r="BQ35" s="47">
        <f t="shared" si="49"/>
        <v>22.596812169301682</v>
      </c>
      <c r="BR35" s="528"/>
      <c r="BS35" s="528"/>
      <c r="BT35" s="528">
        <v>177.828</v>
      </c>
      <c r="BU35" s="528">
        <v>29.720099999999999</v>
      </c>
      <c r="BV35" s="528">
        <v>-271.56010000000003</v>
      </c>
      <c r="BW35" s="49"/>
      <c r="BY35" s="528"/>
      <c r="BZ35" s="528"/>
      <c r="CA35" s="528"/>
      <c r="CC35" s="528"/>
    </row>
    <row r="36" spans="1:81">
      <c r="A36">
        <f t="shared" si="51"/>
        <v>1000</v>
      </c>
      <c r="B36">
        <f t="shared" si="33"/>
        <v>1</v>
      </c>
      <c r="C36">
        <f t="shared" si="0"/>
        <v>1.0000126330138079</v>
      </c>
      <c r="D36">
        <f t="shared" si="1"/>
        <v>5.0265059067388096E-3</v>
      </c>
      <c r="F36">
        <f t="shared" si="2"/>
        <v>1.0885524984790735</v>
      </c>
      <c r="G36">
        <f t="shared" si="3"/>
        <v>-0.10631294627408892</v>
      </c>
      <c r="H36">
        <f t="shared" si="4"/>
        <v>-0.10631294627408892</v>
      </c>
      <c r="J36">
        <f t="shared" si="5"/>
        <v>15</v>
      </c>
      <c r="M36">
        <f t="shared" si="6"/>
        <v>1.5059768179859652</v>
      </c>
      <c r="N36">
        <f t="shared" si="7"/>
        <v>-1.5707963250000001</v>
      </c>
      <c r="O36">
        <f t="shared" si="8"/>
        <v>1.1123952991747394</v>
      </c>
      <c r="P36">
        <f t="shared" si="9"/>
        <v>0.45340458717324339</v>
      </c>
      <c r="Q36">
        <f t="shared" si="10"/>
        <v>1.0698652825326307</v>
      </c>
      <c r="R36">
        <f t="shared" si="11"/>
        <v>0.36339032941031801</v>
      </c>
      <c r="S36">
        <f t="shared" si="12"/>
        <v>0.99998563114794958</v>
      </c>
      <c r="T36">
        <f t="shared" si="13"/>
        <v>-5.360762345246039E-3</v>
      </c>
      <c r="U36">
        <f t="shared" si="14"/>
        <v>0.99996509568117331</v>
      </c>
      <c r="V36">
        <f t="shared" si="15"/>
        <v>-8.3551806539932851E-3</v>
      </c>
      <c r="X36">
        <f t="shared" si="34"/>
        <v>29.326625027888159</v>
      </c>
      <c r="Y36">
        <f t="shared" si="16"/>
        <v>-49.790249706926531</v>
      </c>
      <c r="Z36">
        <f t="shared" si="35"/>
        <v>130.20975029307345</v>
      </c>
      <c r="AC36">
        <v>1</v>
      </c>
      <c r="AD36">
        <f t="shared" si="17"/>
        <v>0.4872610200150001</v>
      </c>
      <c r="AE36">
        <f t="shared" si="18"/>
        <v>-2.5104720481414285E-7</v>
      </c>
      <c r="AF36">
        <f t="shared" si="19"/>
        <v>3.0046192104600002E-5</v>
      </c>
      <c r="AG36">
        <f t="shared" si="36"/>
        <v>15937.867004873866</v>
      </c>
      <c r="AH36">
        <f t="shared" si="37"/>
        <v>-33415.254534319603</v>
      </c>
      <c r="AJ36">
        <f t="shared" si="20"/>
        <v>22100</v>
      </c>
      <c r="AK36">
        <f t="shared" si="21"/>
        <v>118.473982724916</v>
      </c>
      <c r="AL36">
        <v>1</v>
      </c>
      <c r="AM36">
        <f t="shared" si="22"/>
        <v>0.38027848054896002</v>
      </c>
      <c r="AN36">
        <f t="shared" si="38"/>
        <v>19347.218507049718</v>
      </c>
      <c r="AO36">
        <f t="shared" si="39"/>
        <v>-7238.8568739846678</v>
      </c>
      <c r="AQ36">
        <f t="shared" si="23"/>
        <v>2000</v>
      </c>
      <c r="AR36">
        <f t="shared" si="24"/>
        <v>-4000</v>
      </c>
      <c r="AT36">
        <f t="shared" si="52"/>
        <v>-101785284.12753068</v>
      </c>
      <c r="AU36">
        <f t="shared" si="53"/>
        <v>-130581977.08813468</v>
      </c>
      <c r="AV36">
        <f t="shared" si="42"/>
        <v>-2.2328956380697367</v>
      </c>
      <c r="AW36">
        <f t="shared" si="25"/>
        <v>9790083.8362570256</v>
      </c>
      <c r="AX36">
        <f t="shared" si="26"/>
        <v>-92088227.719595179</v>
      </c>
      <c r="AY36">
        <f t="shared" si="50"/>
        <v>-1.4648821519163471</v>
      </c>
      <c r="BA36">
        <f t="shared" si="27"/>
        <v>1.7878247462204504</v>
      </c>
      <c r="BB36">
        <f t="shared" si="43"/>
        <v>5.0464988856214177</v>
      </c>
      <c r="BC36">
        <f t="shared" si="44"/>
        <v>-0.7680134861533896</v>
      </c>
      <c r="BD36">
        <f t="shared" si="28"/>
        <v>-224.00393141600014</v>
      </c>
      <c r="BF36">
        <f t="shared" si="29"/>
        <v>29.30542137389326</v>
      </c>
      <c r="BG36">
        <f t="shared" si="30"/>
        <v>-49.807216977584005</v>
      </c>
      <c r="BH36">
        <f t="shared" si="45"/>
        <v>130.19278302241599</v>
      </c>
      <c r="BI36">
        <f t="shared" si="46"/>
        <v>130.19278302241599</v>
      </c>
      <c r="BJ36">
        <f t="shared" si="31"/>
        <v>0</v>
      </c>
      <c r="BK36">
        <f t="shared" si="47"/>
        <v>0</v>
      </c>
      <c r="BM36">
        <f t="shared" si="48"/>
        <v>24.258922488271843</v>
      </c>
      <c r="BN36">
        <f t="shared" si="32"/>
        <v>-5.8032855615838734</v>
      </c>
      <c r="BQ36" s="47">
        <f t="shared" si="49"/>
        <v>21.948459685906556</v>
      </c>
      <c r="BR36" s="528"/>
      <c r="BS36" s="528"/>
      <c r="BT36" s="528">
        <v>181.97</v>
      </c>
      <c r="BU36" s="528">
        <v>30.042100000000001</v>
      </c>
      <c r="BV36" s="528">
        <v>-268.84590000000003</v>
      </c>
      <c r="BW36" s="49"/>
      <c r="BY36" s="528"/>
      <c r="BZ36" s="528"/>
      <c r="CA36" s="528"/>
      <c r="CC36" s="528"/>
    </row>
    <row r="37" spans="1:81">
      <c r="A37">
        <f>A36+500</f>
        <v>1500</v>
      </c>
      <c r="B37">
        <f t="shared" si="33"/>
        <v>1.5</v>
      </c>
      <c r="C37">
        <f t="shared" si="0"/>
        <v>1.0000284240566466</v>
      </c>
      <c r="D37">
        <f t="shared" si="1"/>
        <v>7.5396794879507897E-3</v>
      </c>
      <c r="F37">
        <f t="shared" si="2"/>
        <v>1.2557538947778297</v>
      </c>
      <c r="G37">
        <f t="shared" si="3"/>
        <v>-0.18466530423541863</v>
      </c>
      <c r="H37">
        <f t="shared" si="4"/>
        <v>-0.18466530423541863</v>
      </c>
      <c r="J37">
        <f t="shared" si="5"/>
        <v>15</v>
      </c>
      <c r="M37">
        <f t="shared" si="6"/>
        <v>1.0039845453239766</v>
      </c>
      <c r="N37">
        <f t="shared" si="7"/>
        <v>-1.5707963250000001</v>
      </c>
      <c r="O37">
        <f t="shared" si="8"/>
        <v>1.2386292539168575</v>
      </c>
      <c r="P37">
        <f t="shared" si="9"/>
        <v>0.63115910731577884</v>
      </c>
      <c r="Q37">
        <f t="shared" si="10"/>
        <v>1.1512499191007171</v>
      </c>
      <c r="R37">
        <f t="shared" si="11"/>
        <v>0.51838375658979607</v>
      </c>
      <c r="S37">
        <f t="shared" si="12"/>
        <v>0.99996767095387629</v>
      </c>
      <c r="T37">
        <f t="shared" si="13"/>
        <v>-8.041047235265792E-3</v>
      </c>
      <c r="U37">
        <f t="shared" si="14"/>
        <v>0.999921470421958</v>
      </c>
      <c r="V37">
        <f t="shared" si="15"/>
        <v>-1.2532406463181539E-2</v>
      </c>
      <c r="X37">
        <f t="shared" si="34"/>
        <v>28.615959270199347</v>
      </c>
      <c r="Y37">
        <f t="shared" si="16"/>
        <v>-35.463368275088527</v>
      </c>
      <c r="Z37">
        <f t="shared" si="35"/>
        <v>144.53663172491147</v>
      </c>
      <c r="AC37">
        <v>1</v>
      </c>
      <c r="AD37">
        <f t="shared" si="17"/>
        <v>0.73089153002250007</v>
      </c>
      <c r="AE37">
        <f t="shared" si="18"/>
        <v>-5.6485621083182157E-7</v>
      </c>
      <c r="AF37">
        <f t="shared" si="19"/>
        <v>4.5069288156900005E-5</v>
      </c>
      <c r="AG37">
        <f t="shared" si="36"/>
        <v>15936.4763995103</v>
      </c>
      <c r="AH37">
        <f t="shared" si="37"/>
        <v>-22387.791308360444</v>
      </c>
      <c r="AJ37">
        <f t="shared" si="20"/>
        <v>22100</v>
      </c>
      <c r="AK37">
        <f t="shared" si="21"/>
        <v>177.71097408737401</v>
      </c>
      <c r="AL37">
        <v>1</v>
      </c>
      <c r="AM37">
        <f t="shared" si="22"/>
        <v>0.57041772082344</v>
      </c>
      <c r="AN37">
        <f t="shared" si="38"/>
        <v>16750.992312059607</v>
      </c>
      <c r="AO37">
        <f t="shared" si="39"/>
        <v>-9377.3518820886329</v>
      </c>
      <c r="AQ37">
        <f t="shared" si="23"/>
        <v>1000</v>
      </c>
      <c r="AR37">
        <f t="shared" si="24"/>
        <v>-3000</v>
      </c>
      <c r="AT37">
        <f t="shared" si="52"/>
        <v>-51226897.525571026</v>
      </c>
      <c r="AU37">
        <f t="shared" si="53"/>
        <v>-70197220.50689134</v>
      </c>
      <c r="AV37">
        <f t="shared" si="42"/>
        <v>-2.2012153983405538</v>
      </c>
      <c r="AW37">
        <f t="shared" si="25"/>
        <v>-11334831.911530316</v>
      </c>
      <c r="AX37">
        <f t="shared" si="26"/>
        <v>-59786682.796390392</v>
      </c>
      <c r="AY37">
        <f t="shared" si="50"/>
        <v>-1.7581605061336045</v>
      </c>
      <c r="BA37">
        <f t="shared" si="27"/>
        <v>1.4280848763981075</v>
      </c>
      <c r="BB37">
        <f t="shared" si="43"/>
        <v>3.095080398885977</v>
      </c>
      <c r="BC37">
        <f t="shared" si="44"/>
        <v>-0.44305489220694927</v>
      </c>
      <c r="BD37">
        <f t="shared" si="28"/>
        <v>-205.38517544508861</v>
      </c>
      <c r="BF37">
        <f t="shared" si="29"/>
        <v>28.595243141065339</v>
      </c>
      <c r="BG37">
        <f t="shared" si="30"/>
        <v>-35.533726198332893</v>
      </c>
      <c r="BH37">
        <f t="shared" si="45"/>
        <v>144.46627380166711</v>
      </c>
      <c r="BI37">
        <f t="shared" si="46"/>
        <v>144.46627380166711</v>
      </c>
      <c r="BJ37">
        <f t="shared" si="31"/>
        <v>0</v>
      </c>
      <c r="BK37">
        <f t="shared" si="47"/>
        <v>0</v>
      </c>
      <c r="BM37">
        <f t="shared" si="48"/>
        <v>25.500162742179363</v>
      </c>
      <c r="BN37">
        <f t="shared" si="32"/>
        <v>-10.148550753244285</v>
      </c>
      <c r="BQ37" s="47">
        <f t="shared" si="49"/>
        <v>19.997041199171115</v>
      </c>
      <c r="BR37" s="528"/>
      <c r="BS37" s="528"/>
      <c r="BT37" s="528">
        <v>186.209</v>
      </c>
      <c r="BU37" s="528">
        <v>29.901800000000001</v>
      </c>
      <c r="BV37" s="528">
        <v>-265.37959999999998</v>
      </c>
      <c r="BW37" s="49"/>
      <c r="BY37" s="528"/>
      <c r="BZ37" s="528"/>
      <c r="CA37" s="528"/>
      <c r="CC37" s="528"/>
    </row>
    <row r="38" spans="1:81">
      <c r="A38">
        <f t="shared" ref="A38:A101" si="54">A37+500</f>
        <v>2000</v>
      </c>
      <c r="B38">
        <f t="shared" si="33"/>
        <v>2</v>
      </c>
      <c r="C38">
        <f t="shared" si="0"/>
        <v>1.0000505310977221</v>
      </c>
      <c r="D38">
        <f t="shared" si="1"/>
        <v>1.0052757829311559E-2</v>
      </c>
      <c r="F38">
        <f t="shared" si="2"/>
        <v>1.5854275506554107</v>
      </c>
      <c r="G38">
        <f t="shared" si="3"/>
        <v>-0.31424337077768943</v>
      </c>
      <c r="H38">
        <f t="shared" si="4"/>
        <v>-0.31424337077768943</v>
      </c>
      <c r="J38">
        <f t="shared" si="5"/>
        <v>15</v>
      </c>
      <c r="M38">
        <f t="shared" si="6"/>
        <v>0.75298840899298258</v>
      </c>
      <c r="N38">
        <f t="shared" si="7"/>
        <v>-1.5707963250000001</v>
      </c>
      <c r="O38">
        <f t="shared" si="8"/>
        <v>1.3963141503631027</v>
      </c>
      <c r="P38">
        <f t="shared" si="9"/>
        <v>0.77249552387407527</v>
      </c>
      <c r="Q38">
        <f t="shared" si="10"/>
        <v>1.2563625635438613</v>
      </c>
      <c r="R38">
        <f t="shared" si="11"/>
        <v>0.65022339798892281</v>
      </c>
      <c r="S38">
        <f t="shared" si="12"/>
        <v>0.99994252830786423</v>
      </c>
      <c r="T38">
        <f t="shared" si="13"/>
        <v>-1.0721216595457887E-2</v>
      </c>
      <c r="U38">
        <f t="shared" si="14"/>
        <v>0.99986040465021853</v>
      </c>
      <c r="V38">
        <f t="shared" si="15"/>
        <v>-1.670919493648515E-2</v>
      </c>
      <c r="X38">
        <f t="shared" si="34"/>
        <v>29.941208638091624</v>
      </c>
      <c r="Y38">
        <f t="shared" si="16"/>
        <v>-27.484695372940244</v>
      </c>
      <c r="Z38">
        <f t="shared" si="35"/>
        <v>152.51530462705975</v>
      </c>
      <c r="AC38">
        <v>1</v>
      </c>
      <c r="AD38">
        <f t="shared" si="17"/>
        <v>0.9745220400300002</v>
      </c>
      <c r="AE38">
        <f t="shared" si="18"/>
        <v>-1.0041888192565714E-6</v>
      </c>
      <c r="AF38">
        <f t="shared" si="19"/>
        <v>6.0092384209200005E-5</v>
      </c>
      <c r="AG38">
        <f t="shared" si="36"/>
        <v>15934.529959629148</v>
      </c>
      <c r="AH38">
        <f t="shared" si="37"/>
        <v>-16907.321787875091</v>
      </c>
      <c r="AJ38">
        <f t="shared" si="20"/>
        <v>22100</v>
      </c>
      <c r="AK38">
        <f t="shared" si="21"/>
        <v>236.947965449832</v>
      </c>
      <c r="AL38">
        <v>1</v>
      </c>
      <c r="AM38">
        <f t="shared" si="22"/>
        <v>0.76055696109792004</v>
      </c>
      <c r="AN38">
        <f t="shared" si="38"/>
        <v>14115.275306712381</v>
      </c>
      <c r="AO38">
        <f t="shared" si="39"/>
        <v>-10498.522926883845</v>
      </c>
      <c r="AQ38">
        <f t="shared" si="23"/>
        <v>588.23529411764707</v>
      </c>
      <c r="AR38">
        <f t="shared" si="24"/>
        <v>-2352.9411764705883</v>
      </c>
      <c r="AT38">
        <f t="shared" si="52"/>
        <v>-30408680.701100715</v>
      </c>
      <c r="AU38">
        <f t="shared" si="53"/>
        <v>-47438495.074348047</v>
      </c>
      <c r="AV38">
        <f t="shared" si="42"/>
        <v>-2.1408276615253388</v>
      </c>
      <c r="AW38">
        <f t="shared" si="25"/>
        <v>-16357989.414576812</v>
      </c>
      <c r="AX38">
        <f t="shared" si="26"/>
        <v>-39511853.889068685</v>
      </c>
      <c r="AY38">
        <f t="shared" si="50"/>
        <v>-1.9633148774481506</v>
      </c>
      <c r="BA38">
        <f t="shared" si="27"/>
        <v>1.3176468247423894</v>
      </c>
      <c r="BB38">
        <f t="shared" si="43"/>
        <v>2.3959803960618311</v>
      </c>
      <c r="BC38">
        <f t="shared" si="44"/>
        <v>-0.17751278407718818</v>
      </c>
      <c r="BD38">
        <f t="shared" si="28"/>
        <v>-190.17073334886172</v>
      </c>
      <c r="BF38">
        <f t="shared" si="29"/>
        <v>29.921172490518188</v>
      </c>
      <c r="BG38">
        <f t="shared" si="30"/>
        <v>-27.599571658216696</v>
      </c>
      <c r="BH38">
        <f t="shared" si="45"/>
        <v>152.40042834178331</v>
      </c>
      <c r="BI38">
        <f t="shared" si="46"/>
        <v>152.40042834178331</v>
      </c>
      <c r="BJ38">
        <f t="shared" si="31"/>
        <v>0</v>
      </c>
      <c r="BK38">
        <f t="shared" si="47"/>
        <v>0</v>
      </c>
      <c r="BM38">
        <f t="shared" si="48"/>
        <v>27.525192094456354</v>
      </c>
      <c r="BN38">
        <f t="shared" si="32"/>
        <v>-17.428838309354976</v>
      </c>
      <c r="BQ38" s="47">
        <f t="shared" si="49"/>
        <v>19.297941196346969</v>
      </c>
      <c r="BR38" s="528"/>
      <c r="BS38" s="528"/>
      <c r="BT38" s="528">
        <v>190.54599999999999</v>
      </c>
      <c r="BU38" s="528">
        <v>29.566700000000001</v>
      </c>
      <c r="BV38" s="528">
        <v>-265.89449999999999</v>
      </c>
      <c r="BW38" s="49"/>
      <c r="BY38" s="528"/>
      <c r="BZ38" s="528"/>
      <c r="CA38" s="528"/>
      <c r="CC38" s="528"/>
    </row>
    <row r="39" spans="1:81">
      <c r="A39">
        <f t="shared" si="54"/>
        <v>2500</v>
      </c>
      <c r="B39">
        <f t="shared" si="33"/>
        <v>2.5</v>
      </c>
      <c r="C39">
        <f t="shared" si="0"/>
        <v>1.0000789537181833</v>
      </c>
      <c r="D39">
        <f t="shared" si="1"/>
        <v>1.2565709195432186E-2</v>
      </c>
      <c r="F39">
        <f t="shared" si="2"/>
        <v>2.2800310261170251</v>
      </c>
      <c r="G39">
        <f t="shared" si="3"/>
        <v>-0.58914119872600257</v>
      </c>
      <c r="H39">
        <f t="shared" si="4"/>
        <v>-0.58914119872600257</v>
      </c>
      <c r="J39">
        <f t="shared" si="5"/>
        <v>15</v>
      </c>
      <c r="M39">
        <f t="shared" si="6"/>
        <v>0.60239072719438602</v>
      </c>
      <c r="N39">
        <f t="shared" si="7"/>
        <v>-1.5707963250000001</v>
      </c>
      <c r="O39">
        <f t="shared" si="8"/>
        <v>1.5760379548611334</v>
      </c>
      <c r="P39">
        <f t="shared" si="9"/>
        <v>0.88343165769855525</v>
      </c>
      <c r="Q39">
        <f t="shared" si="10"/>
        <v>1.3797910230552708</v>
      </c>
      <c r="R39">
        <f t="shared" si="11"/>
        <v>0.76012856796157957</v>
      </c>
      <c r="S39">
        <f t="shared" si="12"/>
        <v>0.99991020483525495</v>
      </c>
      <c r="T39">
        <f t="shared" si="13"/>
        <v>-1.3401231931371386E-2</v>
      </c>
      <c r="U39">
        <f t="shared" si="14"/>
        <v>0.99978190795209643</v>
      </c>
      <c r="V39">
        <f t="shared" si="15"/>
        <v>-2.0885400437703663E-2</v>
      </c>
      <c r="X39">
        <f t="shared" si="34"/>
        <v>33.023816862672952</v>
      </c>
      <c r="Y39">
        <f t="shared" si="16"/>
        <v>-30.830757075750089</v>
      </c>
      <c r="Z39">
        <f t="shared" si="35"/>
        <v>149.16924292424991</v>
      </c>
      <c r="AC39">
        <v>1</v>
      </c>
      <c r="AD39">
        <f t="shared" si="17"/>
        <v>1.2181525500375001</v>
      </c>
      <c r="AE39">
        <f t="shared" si="18"/>
        <v>-1.5690450300883928E-6</v>
      </c>
      <c r="AF39">
        <f t="shared" si="19"/>
        <v>7.5115480261500004E-5</v>
      </c>
      <c r="AG39">
        <f t="shared" si="36"/>
        <v>15932.028092602231</v>
      </c>
      <c r="AH39">
        <f t="shared" si="37"/>
        <v>-13645.630247315119</v>
      </c>
      <c r="AJ39">
        <f t="shared" si="20"/>
        <v>22100</v>
      </c>
      <c r="AK39">
        <f t="shared" si="21"/>
        <v>296.18495681229001</v>
      </c>
      <c r="AL39">
        <v>1</v>
      </c>
      <c r="AM39">
        <f t="shared" si="22"/>
        <v>0.95069620137240007</v>
      </c>
      <c r="AN39">
        <f t="shared" si="38"/>
        <v>11756.12374201133</v>
      </c>
      <c r="AO39">
        <f t="shared" si="39"/>
        <v>-10880.317227581769</v>
      </c>
      <c r="AQ39">
        <f t="shared" si="23"/>
        <v>384.61538461538464</v>
      </c>
      <c r="AR39">
        <f t="shared" si="24"/>
        <v>-1923.0769230769231</v>
      </c>
      <c r="AT39">
        <f t="shared" si="52"/>
        <v>-20113893.516912833</v>
      </c>
      <c r="AU39">
        <f t="shared" si="53"/>
        <v>-35886834.888587028</v>
      </c>
      <c r="AV39">
        <f t="shared" si="42"/>
        <v>-2.0816508364790609</v>
      </c>
      <c r="AW39">
        <f t="shared" si="25"/>
        <v>-16365188.422775378</v>
      </c>
      <c r="AX39">
        <f t="shared" si="26"/>
        <v>-26896481.737816371</v>
      </c>
      <c r="AY39">
        <f t="shared" si="50"/>
        <v>-2.1174065609377046</v>
      </c>
      <c r="BA39">
        <f t="shared" si="27"/>
        <v>1.3066714048517334</v>
      </c>
      <c r="BB39">
        <f t="shared" si="43"/>
        <v>2.3233277424020873</v>
      </c>
      <c r="BC39">
        <f t="shared" si="44"/>
        <v>3.5755724458643723E-2</v>
      </c>
      <c r="BD39">
        <f t="shared" si="28"/>
        <v>-177.9513478927461</v>
      </c>
      <c r="BF39">
        <f t="shared" si="29"/>
        <v>33.004653816049803</v>
      </c>
      <c r="BG39">
        <f t="shared" si="30"/>
        <v>-30.986690051285542</v>
      </c>
      <c r="BH39">
        <f t="shared" si="45"/>
        <v>149.01330994871446</v>
      </c>
      <c r="BI39">
        <f t="shared" si="46"/>
        <v>149.01330994871446</v>
      </c>
      <c r="BJ39">
        <f t="shared" si="31"/>
        <v>0</v>
      </c>
      <c r="BK39">
        <f t="shared" si="47"/>
        <v>0</v>
      </c>
      <c r="BM39">
        <f t="shared" si="48"/>
        <v>30.681326073647718</v>
      </c>
      <c r="BN39">
        <f t="shared" si="32"/>
        <v>-33.03534215853945</v>
      </c>
      <c r="BQ39" s="47">
        <f t="shared" si="49"/>
        <v>19.225288542687224</v>
      </c>
      <c r="BR39" s="528"/>
      <c r="BS39" s="528"/>
      <c r="BT39" s="528">
        <v>194.98400000000001</v>
      </c>
      <c r="BU39" s="528">
        <v>29.685600000000001</v>
      </c>
      <c r="BV39" s="528">
        <v>-265.6327</v>
      </c>
      <c r="BW39" s="49"/>
      <c r="BY39" s="528"/>
      <c r="BZ39" s="528"/>
      <c r="CA39" s="528"/>
      <c r="CC39" s="528"/>
    </row>
    <row r="40" spans="1:81">
      <c r="A40">
        <f t="shared" si="54"/>
        <v>3000</v>
      </c>
      <c r="B40">
        <f t="shared" si="33"/>
        <v>3</v>
      </c>
      <c r="C40">
        <f t="shared" si="0"/>
        <v>1.0001136913795758</v>
      </c>
      <c r="D40">
        <f t="shared" si="1"/>
        <v>1.507850186054511E-2</v>
      </c>
      <c r="F40">
        <f t="shared" si="2"/>
        <v>3.3062798262479753</v>
      </c>
      <c r="G40">
        <f t="shared" si="3"/>
        <v>-1.3127673530635668</v>
      </c>
      <c r="H40">
        <f t="shared" si="4"/>
        <v>-1.3127673530635668</v>
      </c>
      <c r="J40">
        <f t="shared" si="5"/>
        <v>15</v>
      </c>
      <c r="M40">
        <f t="shared" si="6"/>
        <v>0.50199227266198831</v>
      </c>
      <c r="N40">
        <f t="shared" si="7"/>
        <v>-1.5707963250000001</v>
      </c>
      <c r="O40">
        <f t="shared" si="8"/>
        <v>1.7711040948048549</v>
      </c>
      <c r="P40">
        <f t="shared" si="9"/>
        <v>0.97082409912134804</v>
      </c>
      <c r="Q40">
        <f t="shared" si="10"/>
        <v>1.5170713578858546</v>
      </c>
      <c r="R40">
        <f t="shared" si="11"/>
        <v>0.8510887812841873</v>
      </c>
      <c r="S40">
        <f t="shared" si="12"/>
        <v>0.99987070262527156</v>
      </c>
      <c r="T40">
        <f t="shared" si="13"/>
        <v>-1.60810547618296E-2</v>
      </c>
      <c r="U40">
        <f t="shared" si="14"/>
        <v>0.99968599264546509</v>
      </c>
      <c r="V40">
        <f t="shared" si="15"/>
        <v>-2.5060877452621741E-2</v>
      </c>
      <c r="X40">
        <f t="shared" si="34"/>
        <v>36.504696345142825</v>
      </c>
      <c r="Y40">
        <f t="shared" si="16"/>
        <v>-62.321434652627147</v>
      </c>
      <c r="Z40">
        <f t="shared" si="35"/>
        <v>117.67856534737285</v>
      </c>
      <c r="AA40">
        <f>20*LOG(7)</f>
        <v>16.901960800285135</v>
      </c>
      <c r="AC40">
        <v>1</v>
      </c>
      <c r="AD40">
        <f t="shared" si="17"/>
        <v>1.4617830600450001</v>
      </c>
      <c r="AE40">
        <f t="shared" si="18"/>
        <v>-2.2594248433272863E-6</v>
      </c>
      <c r="AF40">
        <f t="shared" si="19"/>
        <v>9.013857631380001E-5</v>
      </c>
      <c r="AG40">
        <f t="shared" si="36"/>
        <v>15928.971321827896</v>
      </c>
      <c r="AH40">
        <f t="shared" si="37"/>
        <v>-11493.30681601389</v>
      </c>
      <c r="AJ40">
        <f t="shared" si="20"/>
        <v>22100</v>
      </c>
      <c r="AK40">
        <f t="shared" si="21"/>
        <v>355.42194817474802</v>
      </c>
      <c r="AL40">
        <v>1</v>
      </c>
      <c r="AM40">
        <f t="shared" si="22"/>
        <v>1.14083544164688</v>
      </c>
      <c r="AN40">
        <f t="shared" si="38"/>
        <v>9778.5896697311528</v>
      </c>
      <c r="AO40">
        <f t="shared" si="39"/>
        <v>-10800.339716376609</v>
      </c>
      <c r="AQ40">
        <f t="shared" si="23"/>
        <v>270.27027027027026</v>
      </c>
      <c r="AR40">
        <f t="shared" si="24"/>
        <v>-1621.6216216216217</v>
      </c>
      <c r="AT40">
        <f t="shared" si="52"/>
        <v>-14332667.452501472</v>
      </c>
      <c r="AU40">
        <f t="shared" si="53"/>
        <v>-28937063.445130073</v>
      </c>
      <c r="AV40">
        <f t="shared" si="42"/>
        <v>-2.0306807545064398</v>
      </c>
      <c r="AW40">
        <f t="shared" si="25"/>
        <v>-14837980.558564315</v>
      </c>
      <c r="AX40">
        <f t="shared" si="26"/>
        <v>-18866044.230885532</v>
      </c>
      <c r="AY40">
        <f t="shared" si="50"/>
        <v>-2.2372458377480697</v>
      </c>
      <c r="BA40">
        <f t="shared" si="27"/>
        <v>1.3453947495710075</v>
      </c>
      <c r="BB40">
        <f t="shared" si="43"/>
        <v>2.5769945701497541</v>
      </c>
      <c r="BC40">
        <f t="shared" si="44"/>
        <v>0.20656508324162992</v>
      </c>
      <c r="BD40">
        <f t="shared" si="28"/>
        <v>-168.16469252196225</v>
      </c>
      <c r="BF40">
        <f t="shared" si="29"/>
        <v>36.486599350038759</v>
      </c>
      <c r="BG40">
        <f t="shared" si="30"/>
        <v>-62.516786902035349</v>
      </c>
      <c r="BH40">
        <f t="shared" si="45"/>
        <v>117.48321309796465</v>
      </c>
      <c r="BI40">
        <f t="shared" si="46"/>
        <v>117.48321309796465</v>
      </c>
      <c r="BJ40">
        <f t="shared" si="31"/>
        <v>0</v>
      </c>
      <c r="BK40">
        <f t="shared" si="47"/>
        <v>0</v>
      </c>
      <c r="BM40">
        <f t="shared" si="48"/>
        <v>33.909604779889008</v>
      </c>
      <c r="BN40">
        <f t="shared" si="32"/>
        <v>-74.352094380073083</v>
      </c>
      <c r="BQ40" s="47">
        <f t="shared" si="49"/>
        <v>19.478955370434893</v>
      </c>
      <c r="BR40" s="528"/>
      <c r="BS40" s="528"/>
      <c r="BT40" s="528">
        <v>199.52600000000001</v>
      </c>
      <c r="BU40" s="528">
        <v>29.050999999999998</v>
      </c>
      <c r="BV40" s="528">
        <v>-267.80150000000003</v>
      </c>
      <c r="BW40" s="49"/>
      <c r="BY40" s="528"/>
      <c r="BZ40" s="528"/>
      <c r="CA40" s="528"/>
      <c r="CC40" s="528"/>
    </row>
    <row r="41" spans="1:81">
      <c r="A41">
        <f t="shared" si="54"/>
        <v>3500</v>
      </c>
      <c r="B41">
        <f t="shared" si="33"/>
        <v>3.5</v>
      </c>
      <c r="C41">
        <f t="shared" si="0"/>
        <v>1.0001547434238918</v>
      </c>
      <c r="D41">
        <f t="shared" si="1"/>
        <v>1.759110411090609E-2</v>
      </c>
      <c r="F41">
        <f t="shared" si="2"/>
        <v>2.3227933082708736</v>
      </c>
      <c r="G41">
        <f t="shared" si="3"/>
        <v>0.91489051300532187</v>
      </c>
      <c r="H41">
        <f t="shared" si="4"/>
        <v>-2.2267021369946782</v>
      </c>
      <c r="J41">
        <f t="shared" si="5"/>
        <v>15</v>
      </c>
      <c r="M41">
        <f t="shared" si="6"/>
        <v>0.43027909085313287</v>
      </c>
      <c r="N41">
        <f t="shared" si="7"/>
        <v>-1.5707963250000001</v>
      </c>
      <c r="O41">
        <f t="shared" si="8"/>
        <v>1.9769763389882069</v>
      </c>
      <c r="P41">
        <f t="shared" si="9"/>
        <v>1.0404606372323002</v>
      </c>
      <c r="Q41">
        <f t="shared" si="10"/>
        <v>1.6647803470475211</v>
      </c>
      <c r="R41">
        <f t="shared" si="11"/>
        <v>0.92644514128119848</v>
      </c>
      <c r="S41">
        <f t="shared" si="12"/>
        <v>0.9998240242306452</v>
      </c>
      <c r="T41">
        <f t="shared" si="13"/>
        <v>-1.8760646622243263E-2</v>
      </c>
      <c r="U41">
        <f t="shared" si="14"/>
        <v>0.99957267377456271</v>
      </c>
      <c r="V41">
        <f t="shared" si="15"/>
        <v>-2.9235480619385752E-2</v>
      </c>
      <c r="X41">
        <f t="shared" si="34"/>
        <v>33.860312427976943</v>
      </c>
      <c r="Y41">
        <f t="shared" si="16"/>
        <v>-106.62731439422689</v>
      </c>
      <c r="Z41">
        <f t="shared" si="35"/>
        <v>73.372685605773114</v>
      </c>
      <c r="AC41">
        <v>1</v>
      </c>
      <c r="AD41">
        <f t="shared" si="17"/>
        <v>1.7054135700525004</v>
      </c>
      <c r="AE41">
        <f t="shared" si="18"/>
        <v>-3.07532825897325E-6</v>
      </c>
      <c r="AF41">
        <f t="shared" si="19"/>
        <v>1.051616723661E-4</v>
      </c>
      <c r="AG41">
        <f t="shared" si="36"/>
        <v>15925.360286457404</v>
      </c>
      <c r="AH41">
        <f t="shared" si="37"/>
        <v>-9974.8861626265043</v>
      </c>
      <c r="AJ41">
        <f t="shared" si="20"/>
        <v>22100</v>
      </c>
      <c r="AK41">
        <f t="shared" si="21"/>
        <v>414.65893953720598</v>
      </c>
      <c r="AL41">
        <v>1</v>
      </c>
      <c r="AM41">
        <f t="shared" si="22"/>
        <v>1.3309746819213601</v>
      </c>
      <c r="AN41">
        <f t="shared" si="38"/>
        <v>8173.1743916540026</v>
      </c>
      <c r="AO41">
        <f t="shared" si="39"/>
        <v>-10463.629246682285</v>
      </c>
      <c r="AQ41">
        <f t="shared" si="23"/>
        <v>200</v>
      </c>
      <c r="AR41">
        <f t="shared" si="24"/>
        <v>-1400</v>
      </c>
      <c r="AT41">
        <f t="shared" si="52"/>
        <v>-10779768.570385624</v>
      </c>
      <c r="AU41">
        <f t="shared" si="53"/>
        <v>-24290481.633565664</v>
      </c>
      <c r="AV41">
        <f t="shared" si="42"/>
        <v>-1.9884704423727146</v>
      </c>
      <c r="AW41">
        <f t="shared" si="25"/>
        <v>-12984221.605173904</v>
      </c>
      <c r="AX41">
        <f t="shared" si="26"/>
        <v>-13614561.392539069</v>
      </c>
      <c r="AY41">
        <f t="shared" si="50"/>
        <v>-2.3325008562437732</v>
      </c>
      <c r="BA41">
        <f t="shared" si="27"/>
        <v>1.4125527549508525</v>
      </c>
      <c r="BB41">
        <f t="shared" si="43"/>
        <v>3.0000935299174269</v>
      </c>
      <c r="BC41">
        <f t="shared" si="44"/>
        <v>0.34403041387105859</v>
      </c>
      <c r="BD41">
        <f t="shared" si="28"/>
        <v>-160.28850923852571</v>
      </c>
      <c r="BF41">
        <f t="shared" si="29"/>
        <v>33.843474015455001</v>
      </c>
      <c r="BG41">
        <f t="shared" si="30"/>
        <v>-106.8612480431823</v>
      </c>
      <c r="BH41">
        <f t="shared" si="45"/>
        <v>73.1387519568177</v>
      </c>
      <c r="BI41">
        <f t="shared" si="46"/>
        <v>73.1387519568177</v>
      </c>
      <c r="BJ41">
        <f t="shared" si="31"/>
        <v>0</v>
      </c>
      <c r="BK41">
        <f t="shared" si="47"/>
        <v>0</v>
      </c>
      <c r="BM41">
        <f t="shared" si="48"/>
        <v>30.843380485537576</v>
      </c>
      <c r="BN41">
        <f t="shared" si="32"/>
        <v>-126.57273880465659</v>
      </c>
      <c r="BQ41" s="47">
        <f t="shared" si="49"/>
        <v>19.902054330202564</v>
      </c>
      <c r="BR41" s="528"/>
      <c r="BS41" s="528"/>
      <c r="BT41" s="528">
        <v>204.17400000000001</v>
      </c>
      <c r="BU41" s="528">
        <v>28.424299999999999</v>
      </c>
      <c r="BV41" s="528">
        <v>-264.16840000000002</v>
      </c>
      <c r="BW41" s="49"/>
      <c r="BY41" s="528"/>
      <c r="BZ41" s="528"/>
      <c r="CA41" s="528"/>
      <c r="CC41" s="528"/>
    </row>
    <row r="42" spans="1:81">
      <c r="A42">
        <f t="shared" si="54"/>
        <v>4000</v>
      </c>
      <c r="B42">
        <f t="shared" si="33"/>
        <v>4</v>
      </c>
      <c r="C42">
        <f t="shared" si="0"/>
        <v>1.0002021090736335</v>
      </c>
      <c r="D42">
        <f t="shared" si="1"/>
        <v>2.0103484247193826E-2</v>
      </c>
      <c r="F42">
        <f t="shared" si="2"/>
        <v>1.312495712704993</v>
      </c>
      <c r="G42">
        <f t="shared" si="3"/>
        <v>0.5372457313837794</v>
      </c>
      <c r="H42">
        <f t="shared" si="4"/>
        <v>-2.6043469186162209</v>
      </c>
      <c r="J42">
        <f t="shared" si="5"/>
        <v>15</v>
      </c>
      <c r="M42">
        <f t="shared" si="6"/>
        <v>0.37649420449649129</v>
      </c>
      <c r="N42">
        <f t="shared" si="7"/>
        <v>-1.5707963250000001</v>
      </c>
      <c r="O42">
        <f t="shared" si="8"/>
        <v>2.1906101492545251</v>
      </c>
      <c r="P42">
        <f t="shared" si="9"/>
        <v>1.0967458666973253</v>
      </c>
      <c r="Q42">
        <f t="shared" si="10"/>
        <v>1.8203811590702677</v>
      </c>
      <c r="R42">
        <f t="shared" si="11"/>
        <v>0.98922752834755756</v>
      </c>
      <c r="S42">
        <f t="shared" si="12"/>
        <v>0.99977017266715662</v>
      </c>
      <c r="T42">
        <f t="shared" si="13"/>
        <v>-2.143996906792018E-2</v>
      </c>
      <c r="U42">
        <f t="shared" si="14"/>
        <v>0.99944196910344252</v>
      </c>
      <c r="V42">
        <f t="shared" si="15"/>
        <v>-3.3409064758800774E-2</v>
      </c>
      <c r="X42">
        <f t="shared" si="34"/>
        <v>29.408407992142376</v>
      </c>
      <c r="Y42">
        <f t="shared" si="16"/>
        <v>-121.69138849594512</v>
      </c>
      <c r="Z42">
        <f t="shared" si="35"/>
        <v>58.30861150405488</v>
      </c>
      <c r="AC42">
        <v>1</v>
      </c>
      <c r="AD42">
        <f t="shared" si="17"/>
        <v>1.9490440800600004</v>
      </c>
      <c r="AE42">
        <f t="shared" si="18"/>
        <v>-4.0167552770262857E-6</v>
      </c>
      <c r="AF42">
        <f t="shared" si="19"/>
        <v>1.2018476841840001E-4</v>
      </c>
      <c r="AG42">
        <f t="shared" si="36"/>
        <v>15921.195741061083</v>
      </c>
      <c r="AH42">
        <f t="shared" si="37"/>
        <v>-8852.6321680425772</v>
      </c>
      <c r="AJ42">
        <f t="shared" si="20"/>
        <v>22100</v>
      </c>
      <c r="AK42">
        <f t="shared" si="21"/>
        <v>473.89593089966399</v>
      </c>
      <c r="AL42">
        <v>1</v>
      </c>
      <c r="AM42">
        <f t="shared" si="22"/>
        <v>1.5211139221958401</v>
      </c>
      <c r="AN42">
        <f t="shared" si="38"/>
        <v>6886.636290156328</v>
      </c>
      <c r="AO42">
        <f t="shared" si="39"/>
        <v>-10001.462407156236</v>
      </c>
      <c r="AQ42">
        <f t="shared" si="23"/>
        <v>153.84615384615384</v>
      </c>
      <c r="AR42">
        <f t="shared" si="24"/>
        <v>-1230.7692307692307</v>
      </c>
      <c r="AT42">
        <f t="shared" si="52"/>
        <v>-8446132.5543506965</v>
      </c>
      <c r="AU42">
        <f t="shared" si="53"/>
        <v>-20957261.245620191</v>
      </c>
      <c r="AV42">
        <f t="shared" si="42"/>
        <v>-1.9539008571045071</v>
      </c>
      <c r="AW42">
        <f t="shared" si="25"/>
        <v>-11222188.410108285</v>
      </c>
      <c r="AX42">
        <f t="shared" si="26"/>
        <v>-10085710.646358313</v>
      </c>
      <c r="AY42">
        <f t="shared" si="50"/>
        <v>-2.4094799849281516</v>
      </c>
      <c r="BA42">
        <f t="shared" si="27"/>
        <v>1.4975250237609572</v>
      </c>
      <c r="BB42">
        <f t="shared" si="43"/>
        <v>3.5074817643388294</v>
      </c>
      <c r="BC42">
        <f t="shared" si="44"/>
        <v>0.45557912782364451</v>
      </c>
      <c r="BD42">
        <f t="shared" si="28"/>
        <v>-153.89723871162735</v>
      </c>
      <c r="BF42">
        <f t="shared" si="29"/>
        <v>29.393020134147847</v>
      </c>
      <c r="BG42">
        <f t="shared" si="30"/>
        <v>-121.96348090455611</v>
      </c>
      <c r="BH42">
        <f t="shared" si="45"/>
        <v>58.036519095443893</v>
      </c>
      <c r="BI42">
        <f t="shared" si="46"/>
        <v>58.036519095443893</v>
      </c>
      <c r="BJ42">
        <f t="shared" si="31"/>
        <v>0</v>
      </c>
      <c r="BK42">
        <f t="shared" si="47"/>
        <v>0</v>
      </c>
      <c r="BM42">
        <f t="shared" si="48"/>
        <v>25.885538369809016</v>
      </c>
      <c r="BN42">
        <f t="shared" si="32"/>
        <v>-148.06624219292877</v>
      </c>
      <c r="BQ42" s="47">
        <f t="shared" si="49"/>
        <v>20.409442564623966</v>
      </c>
      <c r="BR42" s="528"/>
      <c r="BS42" s="528"/>
      <c r="BT42" s="528">
        <v>208.93</v>
      </c>
      <c r="BU42" s="528">
        <v>28.510899999999999</v>
      </c>
      <c r="BV42" s="528">
        <v>-267.69110000000001</v>
      </c>
      <c r="BW42" s="49"/>
      <c r="BY42" s="528"/>
      <c r="BZ42" s="528"/>
      <c r="CA42" s="528"/>
      <c r="CC42" s="528"/>
    </row>
    <row r="43" spans="1:81">
      <c r="A43">
        <f t="shared" si="54"/>
        <v>4500</v>
      </c>
      <c r="B43">
        <f t="shared" si="33"/>
        <v>4.5</v>
      </c>
      <c r="C43">
        <f t="shared" si="0"/>
        <v>1.0002557874318865</v>
      </c>
      <c r="D43">
        <f t="shared" si="1"/>
        <v>2.261561058690691E-2</v>
      </c>
      <c r="F43">
        <f t="shared" si="2"/>
        <v>0.8451871060502848</v>
      </c>
      <c r="G43">
        <f t="shared" si="3"/>
        <v>0.37981881936612749</v>
      </c>
      <c r="H43">
        <f t="shared" si="4"/>
        <v>-2.7617738306338726</v>
      </c>
      <c r="J43">
        <f t="shared" si="5"/>
        <v>15</v>
      </c>
      <c r="M43">
        <f t="shared" si="6"/>
        <v>0.33466151510799225</v>
      </c>
      <c r="N43">
        <f t="shared" si="7"/>
        <v>-1.5707963250000001</v>
      </c>
      <c r="O43">
        <f t="shared" si="8"/>
        <v>2.4099422934849875</v>
      </c>
      <c r="P43">
        <f t="shared" si="9"/>
        <v>1.1429110122646695</v>
      </c>
      <c r="Q43">
        <f t="shared" si="10"/>
        <v>1.9820159903655346</v>
      </c>
      <c r="R43">
        <f t="shared" si="11"/>
        <v>1.0419509385012666</v>
      </c>
      <c r="S43">
        <f t="shared" si="12"/>
        <v>0.9997091514130958</v>
      </c>
      <c r="T43">
        <f t="shared" si="13"/>
        <v>-2.4118983677370545E-2</v>
      </c>
      <c r="U43">
        <f t="shared" si="14"/>
        <v>0.99929389910824684</v>
      </c>
      <c r="V43">
        <f t="shared" si="15"/>
        <v>-3.7581484904532204E-2</v>
      </c>
      <c r="X43">
        <f t="shared" si="34"/>
        <v>26.128833375864456</v>
      </c>
      <c r="Y43">
        <f t="shared" si="16"/>
        <v>-125.29401331370187</v>
      </c>
      <c r="Z43">
        <f t="shared" si="35"/>
        <v>54.705986686298132</v>
      </c>
      <c r="AC43">
        <v>1</v>
      </c>
      <c r="AD43">
        <f t="shared" si="17"/>
        <v>2.1926745900675</v>
      </c>
      <c r="AE43">
        <f t="shared" si="18"/>
        <v>-5.0837058974863932E-6</v>
      </c>
      <c r="AF43">
        <f t="shared" si="19"/>
        <v>1.3520786447070003E-4</v>
      </c>
      <c r="AG43">
        <f t="shared" si="36"/>
        <v>15916.478555234578</v>
      </c>
      <c r="AH43">
        <f t="shared" si="37"/>
        <v>-7994.4661512844132</v>
      </c>
      <c r="AJ43">
        <f t="shared" si="20"/>
        <v>22100</v>
      </c>
      <c r="AK43">
        <f t="shared" si="21"/>
        <v>533.13292226212207</v>
      </c>
      <c r="AL43">
        <v>1</v>
      </c>
      <c r="AM43">
        <f t="shared" si="22"/>
        <v>1.71125316247032</v>
      </c>
      <c r="AN43">
        <f t="shared" si="38"/>
        <v>5857.9572576957798</v>
      </c>
      <c r="AO43">
        <f t="shared" si="39"/>
        <v>-9491.3149605857452</v>
      </c>
      <c r="AQ43">
        <f t="shared" si="23"/>
        <v>121.95121951219512</v>
      </c>
      <c r="AR43">
        <f t="shared" si="24"/>
        <v>-1097.560975609756</v>
      </c>
      <c r="AT43">
        <f t="shared" si="52"/>
        <v>-6833380.0983323343</v>
      </c>
      <c r="AU43">
        <f t="shared" si="53"/>
        <v>-18444240.627853122</v>
      </c>
      <c r="AV43">
        <f t="shared" si="42"/>
        <v>-1.9256059050557601</v>
      </c>
      <c r="AW43">
        <f t="shared" si="25"/>
        <v>-9677013.4457817338</v>
      </c>
      <c r="AX43">
        <f t="shared" si="26"/>
        <v>-7651440.8351903744</v>
      </c>
      <c r="AY43">
        <f t="shared" si="50"/>
        <v>-2.472559268917609</v>
      </c>
      <c r="BA43">
        <f t="shared" si="27"/>
        <v>1.5944069321775518</v>
      </c>
      <c r="BB43">
        <f t="shared" si="43"/>
        <v>4.0519834785239066</v>
      </c>
      <c r="BC43">
        <f t="shared" si="44"/>
        <v>0.5469533638618489</v>
      </c>
      <c r="BD43">
        <f t="shared" si="28"/>
        <v>-148.66188062442379</v>
      </c>
      <c r="BF43">
        <f t="shared" si="29"/>
        <v>26.115087375937321</v>
      </c>
      <c r="BG43">
        <f t="shared" si="30"/>
        <v>-125.60408623101438</v>
      </c>
      <c r="BH43">
        <f t="shared" si="45"/>
        <v>54.395913768985622</v>
      </c>
      <c r="BI43">
        <f t="shared" si="46"/>
        <v>54.395913768985622</v>
      </c>
      <c r="BJ43">
        <f t="shared" si="31"/>
        <v>0</v>
      </c>
      <c r="BK43">
        <f t="shared" si="47"/>
        <v>0</v>
      </c>
      <c r="BM43">
        <f t="shared" si="48"/>
        <v>22.063103897413413</v>
      </c>
      <c r="BN43">
        <f t="shared" si="32"/>
        <v>-156.94220560659059</v>
      </c>
      <c r="BQ43" s="47">
        <f t="shared" si="49"/>
        <v>20.953944278809043</v>
      </c>
      <c r="BR43" s="528"/>
      <c r="BS43" s="528"/>
      <c r="BT43" s="528">
        <v>213.79599999999999</v>
      </c>
      <c r="BU43" s="528">
        <v>28.178999999999998</v>
      </c>
      <c r="BV43" s="528">
        <v>-266.9667</v>
      </c>
      <c r="BW43" s="49"/>
      <c r="BY43" s="528"/>
      <c r="BZ43" s="528"/>
      <c r="CA43" s="528"/>
      <c r="CC43" s="528"/>
    </row>
    <row r="44" spans="1:81">
      <c r="A44">
        <f t="shared" si="54"/>
        <v>5000</v>
      </c>
      <c r="B44">
        <f t="shared" si="33"/>
        <v>5</v>
      </c>
      <c r="C44">
        <f t="shared" si="0"/>
        <v>1.0003157774824039</v>
      </c>
      <c r="D44">
        <f t="shared" si="1"/>
        <v>2.5127451466757551E-2</v>
      </c>
      <c r="F44">
        <f t="shared" si="2"/>
        <v>0.59945424158953908</v>
      </c>
      <c r="G44">
        <f t="shared" si="3"/>
        <v>0.29650124187012877</v>
      </c>
      <c r="H44">
        <f t="shared" si="4"/>
        <v>-2.8450914081298713</v>
      </c>
      <c r="J44">
        <f t="shared" si="5"/>
        <v>15</v>
      </c>
      <c r="M44">
        <f t="shared" si="6"/>
        <v>0.30119536359719301</v>
      </c>
      <c r="N44">
        <f t="shared" si="7"/>
        <v>-1.5707963250000001</v>
      </c>
      <c r="O44">
        <f t="shared" si="8"/>
        <v>2.6335494186841184</v>
      </c>
      <c r="P44">
        <f t="shared" si="9"/>
        <v>1.1813073918031007</v>
      </c>
      <c r="Q44">
        <f t="shared" si="10"/>
        <v>2.1483233158013348</v>
      </c>
      <c r="R44">
        <f t="shared" si="11"/>
        <v>1.0866202641559783</v>
      </c>
      <c r="S44">
        <f t="shared" si="12"/>
        <v>0.99964096440863648</v>
      </c>
      <c r="T44">
        <f t="shared" si="13"/>
        <v>-2.6797652055607316E-2</v>
      </c>
      <c r="U44">
        <f t="shared" si="14"/>
        <v>0.99912848696830736</v>
      </c>
      <c r="V44">
        <f t="shared" si="15"/>
        <v>-4.175259633319639E-2</v>
      </c>
      <c r="X44">
        <f t="shared" si="34"/>
        <v>23.69878396742682</v>
      </c>
      <c r="Y44">
        <f t="shared" si="16"/>
        <v>-125.55699012623768</v>
      </c>
      <c r="Z44">
        <f t="shared" si="35"/>
        <v>54.443009873762321</v>
      </c>
      <c r="AC44">
        <v>1</v>
      </c>
      <c r="AD44">
        <f t="shared" si="17"/>
        <v>2.4363051000750002</v>
      </c>
      <c r="AE44">
        <f t="shared" si="18"/>
        <v>-6.2761801203535711E-6</v>
      </c>
      <c r="AF44">
        <f t="shared" si="19"/>
        <v>1.5023096052300001E-4</v>
      </c>
      <c r="AG44">
        <f t="shared" si="36"/>
        <v>15911.209713145528</v>
      </c>
      <c r="AH44">
        <f t="shared" si="37"/>
        <v>-7321.1381612915557</v>
      </c>
      <c r="AJ44">
        <f t="shared" si="20"/>
        <v>22100</v>
      </c>
      <c r="AK44">
        <f t="shared" si="21"/>
        <v>592.36991362458002</v>
      </c>
      <c r="AL44">
        <v>1</v>
      </c>
      <c r="AM44">
        <f t="shared" si="22"/>
        <v>1.9013924027448001</v>
      </c>
      <c r="AN44">
        <f t="shared" si="38"/>
        <v>5032.4708106407679</v>
      </c>
      <c r="AO44">
        <f t="shared" si="39"/>
        <v>-8976.3318527627416</v>
      </c>
      <c r="AQ44">
        <f t="shared" si="23"/>
        <v>99.009900990099013</v>
      </c>
      <c r="AR44">
        <f t="shared" si="24"/>
        <v>-990.09900990099015</v>
      </c>
      <c r="AT44">
        <f t="shared" si="52"/>
        <v>-5673284.3465118846</v>
      </c>
      <c r="AU44">
        <f t="shared" si="53"/>
        <v>-16478538.147796718</v>
      </c>
      <c r="AV44">
        <f t="shared" si="42"/>
        <v>-1.9023692056287267</v>
      </c>
      <c r="AW44">
        <f t="shared" si="25"/>
        <v>-8364838.8642340535</v>
      </c>
      <c r="AX44">
        <f t="shared" si="26"/>
        <v>-5930368.8089394635</v>
      </c>
      <c r="AY44">
        <f t="shared" si="50"/>
        <v>-2.5248759472954867</v>
      </c>
      <c r="BA44">
        <f t="shared" si="27"/>
        <v>1.6996484508325309</v>
      </c>
      <c r="BB44">
        <f t="shared" si="43"/>
        <v>4.6071820551899014</v>
      </c>
      <c r="BC44">
        <f t="shared" si="44"/>
        <v>0.62250674166676001</v>
      </c>
      <c r="BD44">
        <f t="shared" si="28"/>
        <v>-144.33299094329851</v>
      </c>
      <c r="BF44">
        <f t="shared" si="29"/>
        <v>23.686870361776371</v>
      </c>
      <c r="BG44">
        <f t="shared" si="30"/>
        <v>-125.90502422373046</v>
      </c>
      <c r="BH44">
        <f t="shared" si="45"/>
        <v>54.094975776269536</v>
      </c>
      <c r="BI44">
        <f t="shared" si="46"/>
        <v>54.094975776269536</v>
      </c>
      <c r="BJ44">
        <f t="shared" si="31"/>
        <v>0</v>
      </c>
      <c r="BK44">
        <f t="shared" si="47"/>
        <v>0</v>
      </c>
      <c r="BM44">
        <f t="shared" si="48"/>
        <v>19.079688306586469</v>
      </c>
      <c r="BN44">
        <f t="shared" si="32"/>
        <v>-161.57203328043195</v>
      </c>
      <c r="BQ44" s="47">
        <f t="shared" si="49"/>
        <v>21.509142855475041</v>
      </c>
      <c r="BR44" s="528"/>
      <c r="BS44" s="528"/>
      <c r="BT44" s="528">
        <v>218.77600000000001</v>
      </c>
      <c r="BU44" s="528">
        <v>27.706399999999999</v>
      </c>
      <c r="BV44" s="528">
        <v>-263.5369</v>
      </c>
      <c r="BW44" s="49"/>
      <c r="BY44" s="528"/>
      <c r="BZ44" s="528"/>
      <c r="CA44" s="528"/>
      <c r="CC44" s="528"/>
    </row>
    <row r="45" spans="1:81">
      <c r="A45">
        <f t="shared" si="54"/>
        <v>5500</v>
      </c>
      <c r="B45">
        <f t="shared" si="33"/>
        <v>5.5</v>
      </c>
      <c r="C45">
        <f t="shared" si="0"/>
        <v>1.0003820780897035</v>
      </c>
      <c r="D45">
        <f t="shared" si="1"/>
        <v>2.7638975245061665E-2</v>
      </c>
      <c r="F45">
        <f t="shared" si="2"/>
        <v>0.45244408393257229</v>
      </c>
      <c r="G45">
        <f t="shared" si="3"/>
        <v>0.24501921087490949</v>
      </c>
      <c r="H45">
        <f t="shared" si="4"/>
        <v>-2.8965734391250906</v>
      </c>
      <c r="J45">
        <f t="shared" si="5"/>
        <v>15</v>
      </c>
      <c r="M45">
        <f t="shared" si="6"/>
        <v>0.27381396690653909</v>
      </c>
      <c r="N45">
        <f t="shared" si="7"/>
        <v>-1.5707963250000001</v>
      </c>
      <c r="O45">
        <f t="shared" si="8"/>
        <v>2.8604291416128915</v>
      </c>
      <c r="P45">
        <f t="shared" si="9"/>
        <v>1.2136544467889281</v>
      </c>
      <c r="Q45">
        <f t="shared" si="10"/>
        <v>2.3182977836660519</v>
      </c>
      <c r="R45">
        <f t="shared" si="11"/>
        <v>1.1248066402453549</v>
      </c>
      <c r="S45">
        <f t="shared" si="12"/>
        <v>0.99956561605513217</v>
      </c>
      <c r="T45">
        <f t="shared" si="13"/>
        <v>-2.9475935837440834E-2</v>
      </c>
      <c r="U45">
        <f t="shared" si="14"/>
        <v>0.99894575855608447</v>
      </c>
      <c r="V45">
        <f t="shared" si="15"/>
        <v>-4.5922254594324634E-2</v>
      </c>
      <c r="X45">
        <f t="shared" si="34"/>
        <v>21.804626048732104</v>
      </c>
      <c r="Y45">
        <f t="shared" si="16"/>
        <v>-124.7138837716443</v>
      </c>
      <c r="Z45">
        <f t="shared" si="35"/>
        <v>55.286116228355695</v>
      </c>
      <c r="AC45">
        <v>1</v>
      </c>
      <c r="AD45">
        <f t="shared" si="17"/>
        <v>2.6799356100825</v>
      </c>
      <c r="AE45">
        <f t="shared" si="18"/>
        <v>-7.5941779456278208E-6</v>
      </c>
      <c r="AF45">
        <f t="shared" si="19"/>
        <v>1.6525405657530001E-4</v>
      </c>
      <c r="AG45">
        <f t="shared" si="36"/>
        <v>15905.390313021118</v>
      </c>
      <c r="AH45">
        <f t="shared" si="37"/>
        <v>-6782.2139290181149</v>
      </c>
      <c r="AJ45">
        <f t="shared" si="20"/>
        <v>22100</v>
      </c>
      <c r="AK45">
        <f t="shared" si="21"/>
        <v>651.60690498703798</v>
      </c>
      <c r="AL45">
        <v>1</v>
      </c>
      <c r="AM45">
        <f t="shared" si="22"/>
        <v>2.0915316430192803</v>
      </c>
      <c r="AN45">
        <f t="shared" si="38"/>
        <v>4365.5849509477384</v>
      </c>
      <c r="AO45">
        <f t="shared" si="39"/>
        <v>-8479.1521602089306</v>
      </c>
      <c r="AQ45">
        <f t="shared" si="23"/>
        <v>81.967213114754102</v>
      </c>
      <c r="AR45">
        <f t="shared" si="24"/>
        <v>-901.63934426229503</v>
      </c>
      <c r="AT45">
        <f t="shared" si="52"/>
        <v>-4811390.402145749</v>
      </c>
      <c r="AU45">
        <f t="shared" si="53"/>
        <v>-14896844.866577903</v>
      </c>
      <c r="AV45">
        <f t="shared" si="42"/>
        <v>-1.8832005741944446</v>
      </c>
      <c r="AW45">
        <f t="shared" si="25"/>
        <v>-7264197.5957933236</v>
      </c>
      <c r="AX45">
        <f t="shared" si="26"/>
        <v>-4685528.5254551098</v>
      </c>
      <c r="AY45">
        <f t="shared" si="50"/>
        <v>-2.5687286353657726</v>
      </c>
      <c r="BA45">
        <f t="shared" si="27"/>
        <v>1.8109841526820747</v>
      </c>
      <c r="BB45">
        <f t="shared" si="43"/>
        <v>5.1582929992923159</v>
      </c>
      <c r="BC45">
        <f t="shared" si="44"/>
        <v>0.68552806117132792</v>
      </c>
      <c r="BD45">
        <f t="shared" si="28"/>
        <v>-140.72213531221527</v>
      </c>
      <c r="BF45">
        <f t="shared" si="29"/>
        <v>21.794734511477138</v>
      </c>
      <c r="BG45">
        <f t="shared" si="30"/>
        <v>-125.09997197999751</v>
      </c>
      <c r="BH45">
        <f t="shared" si="45"/>
        <v>54.900028020002495</v>
      </c>
      <c r="BI45">
        <f t="shared" si="46"/>
        <v>54.900028020002495</v>
      </c>
      <c r="BJ45">
        <f t="shared" si="31"/>
        <v>0</v>
      </c>
      <c r="BK45">
        <f t="shared" si="47"/>
        <v>0</v>
      </c>
      <c r="BM45">
        <f t="shared" si="48"/>
        <v>16.63644151218482</v>
      </c>
      <c r="BN45">
        <f t="shared" si="32"/>
        <v>-164.37783666778225</v>
      </c>
      <c r="BQ45" s="47">
        <f t="shared" si="49"/>
        <v>22.060253799577453</v>
      </c>
      <c r="BR45" s="528"/>
      <c r="BS45" s="528"/>
      <c r="BT45" s="528">
        <v>223.87200000000001</v>
      </c>
      <c r="BU45" s="528">
        <v>27.937100000000001</v>
      </c>
      <c r="BV45" s="528">
        <v>-265.19450000000001</v>
      </c>
      <c r="BW45" s="49"/>
      <c r="BY45" s="528"/>
      <c r="BZ45" s="528"/>
      <c r="CA45" s="528"/>
      <c r="CC45" s="528"/>
    </row>
    <row r="46" spans="1:81">
      <c r="A46">
        <f t="shared" si="54"/>
        <v>6000</v>
      </c>
      <c r="B46">
        <f t="shared" si="33"/>
        <v>6</v>
      </c>
      <c r="C46">
        <f t="shared" si="0"/>
        <v>1.0004546879991747</v>
      </c>
      <c r="D46">
        <f t="shared" si="1"/>
        <v>3.0150150304124917E-2</v>
      </c>
      <c r="F46">
        <f t="shared" si="2"/>
        <v>0.35626514169239554</v>
      </c>
      <c r="G46">
        <f t="shared" si="3"/>
        <v>0.20991188777536701</v>
      </c>
      <c r="H46">
        <f t="shared" si="4"/>
        <v>-2.9316807622246333</v>
      </c>
      <c r="J46">
        <f t="shared" si="5"/>
        <v>15</v>
      </c>
      <c r="M46">
        <f t="shared" si="6"/>
        <v>0.25099613633099416</v>
      </c>
      <c r="N46">
        <f t="shared" si="7"/>
        <v>-1.5707963250000001</v>
      </c>
      <c r="O46">
        <f t="shared" si="8"/>
        <v>3.0898606535793967</v>
      </c>
      <c r="P46">
        <f t="shared" si="9"/>
        <v>1.2412231666838516</v>
      </c>
      <c r="Q46">
        <f t="shared" si="10"/>
        <v>2.491188876755539</v>
      </c>
      <c r="R46">
        <f t="shared" si="11"/>
        <v>1.157735323542747</v>
      </c>
      <c r="S46">
        <f t="shared" si="12"/>
        <v>0.99948311121432598</v>
      </c>
      <c r="T46">
        <f t="shared" si="13"/>
        <v>-3.2153796690767088E-2</v>
      </c>
      <c r="U46">
        <f t="shared" si="14"/>
        <v>0.99874574242595016</v>
      </c>
      <c r="V46">
        <f t="shared" si="15"/>
        <v>-5.0090315540185233E-2</v>
      </c>
      <c r="X46">
        <f t="shared" si="34"/>
        <v>20.26610003067589</v>
      </c>
      <c r="Y46">
        <f t="shared" si="16"/>
        <v>-123.50750203291796</v>
      </c>
      <c r="Z46">
        <f t="shared" si="35"/>
        <v>56.492497967082045</v>
      </c>
      <c r="AC46">
        <v>1</v>
      </c>
      <c r="AD46">
        <f t="shared" si="17"/>
        <v>2.9235661200900003</v>
      </c>
      <c r="AE46">
        <f t="shared" si="18"/>
        <v>-9.037699373309145E-6</v>
      </c>
      <c r="AF46">
        <f t="shared" si="19"/>
        <v>1.8027715262760002E-4</v>
      </c>
      <c r="AG46">
        <f t="shared" si="36"/>
        <v>15899.021566577088</v>
      </c>
      <c r="AH46">
        <f t="shared" si="37"/>
        <v>-6344.0683446504918</v>
      </c>
      <c r="AJ46">
        <f t="shared" si="20"/>
        <v>22100</v>
      </c>
      <c r="AK46">
        <f t="shared" si="21"/>
        <v>710.84389634949605</v>
      </c>
      <c r="AL46">
        <v>1</v>
      </c>
      <c r="AM46">
        <f t="shared" si="22"/>
        <v>2.28167088329376</v>
      </c>
      <c r="AN46">
        <f t="shared" si="38"/>
        <v>3822.4021354869619</v>
      </c>
      <c r="AO46">
        <f t="shared" si="39"/>
        <v>-8010.6197604309955</v>
      </c>
      <c r="AQ46">
        <f t="shared" si="23"/>
        <v>68.965517241379317</v>
      </c>
      <c r="AR46">
        <f t="shared" si="24"/>
        <v>-827.58620689655174</v>
      </c>
      <c r="AT46">
        <f t="shared" si="52"/>
        <v>-4153779.2116709519</v>
      </c>
      <c r="AU46">
        <f t="shared" si="53"/>
        <v>-13595332.906453487</v>
      </c>
      <c r="AV46">
        <f t="shared" si="42"/>
        <v>-1.8673185705576856</v>
      </c>
      <c r="AW46">
        <f t="shared" si="25"/>
        <v>-6343778.7684170529</v>
      </c>
      <c r="AX46">
        <f t="shared" si="26"/>
        <v>-3766194.5998293883</v>
      </c>
      <c r="AY46">
        <f t="shared" si="50"/>
        <v>-2.6058308382461535</v>
      </c>
      <c r="BA46">
        <f t="shared" si="27"/>
        <v>1.9268989937672241</v>
      </c>
      <c r="BB46">
        <f t="shared" si="43"/>
        <v>5.6971789988772858</v>
      </c>
      <c r="BC46">
        <f t="shared" si="44"/>
        <v>0.73851226768846789</v>
      </c>
      <c r="BD46">
        <f t="shared" si="28"/>
        <v>-137.68636389446473</v>
      </c>
      <c r="BF46">
        <f t="shared" si="29"/>
        <v>20.258419280998314</v>
      </c>
      <c r="BG46">
        <f t="shared" si="30"/>
        <v>-123.93182227548412</v>
      </c>
      <c r="BH46">
        <f t="shared" si="45"/>
        <v>56.068177724515877</v>
      </c>
      <c r="BI46">
        <f t="shared" si="46"/>
        <v>56.068177724515877</v>
      </c>
      <c r="BJ46">
        <f t="shared" si="31"/>
        <v>0</v>
      </c>
      <c r="BK46">
        <f t="shared" si="47"/>
        <v>0</v>
      </c>
      <c r="BM46">
        <f t="shared" si="48"/>
        <v>14.561240282121028</v>
      </c>
      <c r="BN46">
        <f t="shared" si="32"/>
        <v>-166.24545838101938</v>
      </c>
      <c r="BQ46" s="47">
        <f t="shared" si="49"/>
        <v>22.599139799162423</v>
      </c>
      <c r="BR46" s="528"/>
      <c r="BS46" s="528"/>
      <c r="BT46" s="528">
        <v>229.08699999999999</v>
      </c>
      <c r="BU46" s="528">
        <v>27.676300000000001</v>
      </c>
      <c r="BV46" s="528">
        <v>-266.75440000000003</v>
      </c>
      <c r="BW46" s="49"/>
      <c r="BY46" s="528"/>
      <c r="BZ46" s="528"/>
      <c r="CA46" s="528"/>
      <c r="CC46" s="528"/>
    </row>
    <row r="47" spans="1:81">
      <c r="A47">
        <f t="shared" si="54"/>
        <v>6500</v>
      </c>
      <c r="B47">
        <f t="shared" si="33"/>
        <v>6.5</v>
      </c>
      <c r="C47">
        <f t="shared" si="0"/>
        <v>1.0005336058371963</v>
      </c>
      <c r="D47">
        <f t="shared" si="1"/>
        <v>3.266094505262418E-2</v>
      </c>
      <c r="F47">
        <f t="shared" si="2"/>
        <v>0.28925198244183437</v>
      </c>
      <c r="G47">
        <f t="shared" si="3"/>
        <v>0.18431893050205056</v>
      </c>
      <c r="H47">
        <f t="shared" si="4"/>
        <v>-2.9572737194979495</v>
      </c>
      <c r="J47">
        <f t="shared" si="5"/>
        <v>15</v>
      </c>
      <c r="M47">
        <f t="shared" si="6"/>
        <v>0.23168874122861</v>
      </c>
      <c r="N47">
        <f t="shared" si="7"/>
        <v>-1.5707963250000001</v>
      </c>
      <c r="O47">
        <f t="shared" si="8"/>
        <v>3.3213151753034467</v>
      </c>
      <c r="P47">
        <f t="shared" si="9"/>
        <v>1.264965505215045</v>
      </c>
      <c r="Q47">
        <f t="shared" si="10"/>
        <v>2.6664293140779929</v>
      </c>
      <c r="R47">
        <f t="shared" si="11"/>
        <v>1.1863635436383935</v>
      </c>
      <c r="S47">
        <f t="shared" si="12"/>
        <v>0.99939345520748113</v>
      </c>
      <c r="T47">
        <f t="shared" si="13"/>
        <v>-3.4831196319848823E-2</v>
      </c>
      <c r="U47">
        <f t="shared" si="14"/>
        <v>0.99852846980182763</v>
      </c>
      <c r="V47">
        <f t="shared" si="15"/>
        <v>-5.4256635355448224E-2</v>
      </c>
      <c r="X47">
        <f t="shared" si="34"/>
        <v>18.976826628491214</v>
      </c>
      <c r="Y47">
        <f t="shared" si="16"/>
        <v>-122.22151678642776</v>
      </c>
      <c r="Z47">
        <f t="shared" si="35"/>
        <v>57.778483213572244</v>
      </c>
      <c r="AC47">
        <v>1</v>
      </c>
      <c r="AD47">
        <f t="shared" si="17"/>
        <v>3.1671966300975005</v>
      </c>
      <c r="AE47">
        <f t="shared" si="18"/>
        <v>-1.0606744403397537E-5</v>
      </c>
      <c r="AF47">
        <f t="shared" si="19"/>
        <v>1.9530024867990003E-4</v>
      </c>
      <c r="AG47">
        <f t="shared" si="36"/>
        <v>15892.104798388616</v>
      </c>
      <c r="AH47">
        <f t="shared" si="37"/>
        <v>-5983.4204079473975</v>
      </c>
      <c r="AJ47">
        <f t="shared" si="20"/>
        <v>22100</v>
      </c>
      <c r="AK47">
        <f t="shared" si="21"/>
        <v>770.08088771195401</v>
      </c>
      <c r="AL47">
        <v>1</v>
      </c>
      <c r="AM47">
        <f t="shared" si="22"/>
        <v>2.4718101235682401</v>
      </c>
      <c r="AN47">
        <f t="shared" si="38"/>
        <v>3376.0922728077248</v>
      </c>
      <c r="AO47">
        <f t="shared" si="39"/>
        <v>-7574.97817031469</v>
      </c>
      <c r="AQ47">
        <f t="shared" si="23"/>
        <v>58.823529411764703</v>
      </c>
      <c r="AR47">
        <f t="shared" si="24"/>
        <v>-764.70588235294122</v>
      </c>
      <c r="AT47">
        <f t="shared" si="52"/>
        <v>-3640727.0885251504</v>
      </c>
      <c r="AU47">
        <f t="shared" si="53"/>
        <v>-12504751.928647025</v>
      </c>
      <c r="AV47">
        <f t="shared" si="42"/>
        <v>-1.8541118924604183</v>
      </c>
      <c r="AW47">
        <f t="shared" si="25"/>
        <v>-5572789.9126205333</v>
      </c>
      <c r="AX47">
        <f t="shared" si="26"/>
        <v>-3074259.3666825444</v>
      </c>
      <c r="AY47">
        <f t="shared" si="50"/>
        <v>-2.6374794293869122</v>
      </c>
      <c r="BA47">
        <f t="shared" si="27"/>
        <v>2.0463406593809501</v>
      </c>
      <c r="BB47">
        <f t="shared" si="43"/>
        <v>6.2195586693817049</v>
      </c>
      <c r="BC47">
        <f t="shared" si="44"/>
        <v>0.78336753692649386</v>
      </c>
      <c r="BD47">
        <f t="shared" si="28"/>
        <v>-135.11634627526618</v>
      </c>
      <c r="BF47">
        <f t="shared" si="29"/>
        <v>18.971544338785051</v>
      </c>
      <c r="BG47">
        <f t="shared" si="30"/>
        <v>-122.68431515250383</v>
      </c>
      <c r="BH47">
        <f t="shared" si="45"/>
        <v>57.315684847496172</v>
      </c>
      <c r="BI47">
        <f t="shared" si="46"/>
        <v>57.315684847496172</v>
      </c>
      <c r="BJ47">
        <f t="shared" si="31"/>
        <v>0</v>
      </c>
      <c r="BK47">
        <f t="shared" si="47"/>
        <v>0</v>
      </c>
      <c r="BM47">
        <f t="shared" si="48"/>
        <v>12.751985669403345</v>
      </c>
      <c r="BN47">
        <f t="shared" si="32"/>
        <v>-167.56796887723763</v>
      </c>
      <c r="BQ47" s="47">
        <f t="shared" si="49"/>
        <v>23.121519469666843</v>
      </c>
      <c r="BR47" s="528"/>
      <c r="BS47" s="528"/>
      <c r="BT47" s="528">
        <v>234.423</v>
      </c>
      <c r="BU47" s="528">
        <v>27.670300000000001</v>
      </c>
      <c r="BV47" s="528">
        <v>-266.76120000000003</v>
      </c>
      <c r="BW47" s="49"/>
      <c r="BY47" s="528"/>
      <c r="BZ47" s="528"/>
      <c r="CA47" s="528"/>
      <c r="CC47" s="528"/>
    </row>
    <row r="48" spans="1:81">
      <c r="A48">
        <f t="shared" si="54"/>
        <v>7000</v>
      </c>
      <c r="B48">
        <f t="shared" si="33"/>
        <v>7</v>
      </c>
      <c r="C48">
        <f t="shared" si="0"/>
        <v>1.0006188301112684</v>
      </c>
      <c r="D48">
        <f t="shared" si="1"/>
        <v>3.5171327927984088E-2</v>
      </c>
      <c r="F48">
        <f t="shared" si="2"/>
        <v>0.24035073083680125</v>
      </c>
      <c r="G48">
        <f t="shared" si="3"/>
        <v>0.16475109376534744</v>
      </c>
      <c r="H48">
        <f t="shared" si="4"/>
        <v>-2.9768415562346529</v>
      </c>
      <c r="J48">
        <f t="shared" si="5"/>
        <v>15</v>
      </c>
      <c r="M48">
        <f t="shared" si="6"/>
        <v>0.21513954542656644</v>
      </c>
      <c r="N48">
        <f t="shared" si="7"/>
        <v>-1.5707963250000001</v>
      </c>
      <c r="O48">
        <f t="shared" si="8"/>
        <v>3.5543975269624606</v>
      </c>
      <c r="P48">
        <f t="shared" si="9"/>
        <v>1.2856043991515547</v>
      </c>
      <c r="Q48">
        <f t="shared" si="10"/>
        <v>2.8435847825698213</v>
      </c>
      <c r="R48">
        <f t="shared" si="11"/>
        <v>1.2114431679323272</v>
      </c>
      <c r="S48">
        <f t="shared" si="12"/>
        <v>0.99929665381442867</v>
      </c>
      <c r="T48">
        <f t="shared" si="13"/>
        <v>-3.7508096468588895E-2</v>
      </c>
      <c r="U48">
        <f t="shared" si="14"/>
        <v>0.99829397456369129</v>
      </c>
      <c r="V48">
        <f t="shared" si="15"/>
        <v>-5.8421070586677712E-2</v>
      </c>
      <c r="X48">
        <f t="shared" si="34"/>
        <v>17.870213732458232</v>
      </c>
      <c r="Y48">
        <f t="shared" si="16"/>
        <v>-120.9713384038028</v>
      </c>
      <c r="Z48">
        <f t="shared" si="35"/>
        <v>59.028661596197196</v>
      </c>
      <c r="AC48">
        <v>1</v>
      </c>
      <c r="AD48">
        <f t="shared" si="17"/>
        <v>3.4108271401050008</v>
      </c>
      <c r="AE48">
        <f t="shared" si="18"/>
        <v>-1.2301313035893E-5</v>
      </c>
      <c r="AF48">
        <f t="shared" si="19"/>
        <v>2.1032334473220001E-4</v>
      </c>
      <c r="AG48">
        <f t="shared" si="36"/>
        <v>15884.641445203824</v>
      </c>
      <c r="AH48">
        <f t="shared" si="37"/>
        <v>-5683.6389151306557</v>
      </c>
      <c r="AJ48">
        <f t="shared" si="20"/>
        <v>22100</v>
      </c>
      <c r="AK48">
        <f t="shared" si="21"/>
        <v>829.31787907441196</v>
      </c>
      <c r="AL48">
        <v>1</v>
      </c>
      <c r="AM48">
        <f t="shared" si="22"/>
        <v>2.6619493638427203</v>
      </c>
      <c r="AN48">
        <f t="shared" si="38"/>
        <v>3006.143842545594</v>
      </c>
      <c r="AO48">
        <f t="shared" si="39"/>
        <v>-7172.8848102095435</v>
      </c>
      <c r="AQ48">
        <f t="shared" si="23"/>
        <v>50.761421319796952</v>
      </c>
      <c r="AR48">
        <f t="shared" si="24"/>
        <v>-710.65989847715741</v>
      </c>
      <c r="AT48">
        <f t="shared" si="52"/>
        <v>-3232807.2774936734</v>
      </c>
      <c r="AU48">
        <f t="shared" si="53"/>
        <v>-11577087.266395137</v>
      </c>
      <c r="AV48">
        <f t="shared" si="42"/>
        <v>-1.8431018602396261</v>
      </c>
      <c r="AW48">
        <f t="shared" si="25"/>
        <v>-4924335.7120096227</v>
      </c>
      <c r="AX48">
        <f t="shared" si="26"/>
        <v>-2544433.968619335</v>
      </c>
      <c r="AY48">
        <f t="shared" si="50"/>
        <v>-2.6646697149204632</v>
      </c>
      <c r="BA48">
        <f t="shared" si="27"/>
        <v>2.1685550148019535</v>
      </c>
      <c r="BB48">
        <f t="shared" si="43"/>
        <v>6.7234088877480822</v>
      </c>
      <c r="BC48">
        <f t="shared" si="44"/>
        <v>0.82156785468083715</v>
      </c>
      <c r="BD48">
        <f t="shared" si="28"/>
        <v>-132.92762928938265</v>
      </c>
      <c r="BF48">
        <f t="shared" si="29"/>
        <v>17.867516437067358</v>
      </c>
      <c r="BG48">
        <f t="shared" si="30"/>
        <v>-121.47291828323117</v>
      </c>
      <c r="BH48">
        <f t="shared" si="45"/>
        <v>58.527081716768834</v>
      </c>
      <c r="BI48">
        <f t="shared" si="46"/>
        <v>58.527081716768834</v>
      </c>
      <c r="BJ48">
        <f t="shared" si="31"/>
        <v>0</v>
      </c>
      <c r="BK48">
        <f t="shared" si="47"/>
        <v>0</v>
      </c>
      <c r="BM48">
        <f t="shared" si="48"/>
        <v>11.144107549319278</v>
      </c>
      <c r="BN48">
        <f t="shared" si="32"/>
        <v>-168.54528899384852</v>
      </c>
      <c r="BQ48" s="47">
        <f t="shared" si="49"/>
        <v>23.625369688033221</v>
      </c>
      <c r="BR48" s="528"/>
      <c r="BS48" s="528"/>
      <c r="BT48" s="528">
        <v>239.88300000000001</v>
      </c>
      <c r="BU48" s="528">
        <v>27.2761</v>
      </c>
      <c r="BV48" s="528">
        <v>-267.59569999999997</v>
      </c>
      <c r="BW48" s="49"/>
      <c r="BY48" s="528"/>
      <c r="BZ48" s="528"/>
      <c r="CA48" s="528"/>
      <c r="CC48" s="528"/>
    </row>
    <row r="49" spans="1:81">
      <c r="A49">
        <f t="shared" si="54"/>
        <v>7500</v>
      </c>
      <c r="B49">
        <f t="shared" si="33"/>
        <v>7.5</v>
      </c>
      <c r="C49">
        <f t="shared" si="0"/>
        <v>1.0007103592101507</v>
      </c>
      <c r="D49">
        <f t="shared" si="1"/>
        <v>3.7681267398748032E-2</v>
      </c>
      <c r="F49">
        <f t="shared" si="2"/>
        <v>0.20338462755343695</v>
      </c>
      <c r="G49">
        <f t="shared" si="3"/>
        <v>0.14924895247686998</v>
      </c>
      <c r="H49">
        <f t="shared" si="4"/>
        <v>-2.9923436975231303</v>
      </c>
      <c r="J49">
        <f t="shared" si="5"/>
        <v>15</v>
      </c>
      <c r="M49">
        <f t="shared" si="6"/>
        <v>0.20079690906479536</v>
      </c>
      <c r="N49">
        <f t="shared" si="7"/>
        <v>-1.5707963250000001</v>
      </c>
      <c r="O49">
        <f t="shared" si="8"/>
        <v>3.7888072947123845</v>
      </c>
      <c r="P49">
        <f t="shared" si="9"/>
        <v>1.3036964105190383</v>
      </c>
      <c r="Q49">
        <f t="shared" si="10"/>
        <v>3.0223185480248764</v>
      </c>
      <c r="R49">
        <f t="shared" si="11"/>
        <v>1.2335690591165323</v>
      </c>
      <c r="S49">
        <f t="shared" si="12"/>
        <v>0.99919271327253334</v>
      </c>
      <c r="T49">
        <f t="shared" si="13"/>
        <v>-4.0184458923795068E-2</v>
      </c>
      <c r="U49">
        <f t="shared" si="14"/>
        <v>0.99804229323295057</v>
      </c>
      <c r="V49">
        <f t="shared" si="15"/>
        <v>-6.2583478171636731E-2</v>
      </c>
      <c r="X49">
        <f t="shared" si="34"/>
        <v>16.902315186955057</v>
      </c>
      <c r="Y49">
        <f t="shared" si="16"/>
        <v>-119.80325331648702</v>
      </c>
      <c r="Z49">
        <f t="shared" si="35"/>
        <v>60.196746683512984</v>
      </c>
      <c r="AC49">
        <v>1</v>
      </c>
      <c r="AD49">
        <f t="shared" si="17"/>
        <v>3.6544576501125006</v>
      </c>
      <c r="AE49">
        <f t="shared" si="18"/>
        <v>-1.4121405270795534E-5</v>
      </c>
      <c r="AF49">
        <f t="shared" si="19"/>
        <v>2.2534644078450004E-4</v>
      </c>
      <c r="AG49">
        <f t="shared" si="36"/>
        <v>15876.633055200407</v>
      </c>
      <c r="AH49">
        <f t="shared" si="37"/>
        <v>-5432.525871925809</v>
      </c>
      <c r="AJ49">
        <f t="shared" si="20"/>
        <v>22100</v>
      </c>
      <c r="AK49">
        <f t="shared" si="21"/>
        <v>888.55487043687003</v>
      </c>
      <c r="AL49">
        <v>1</v>
      </c>
      <c r="AM49">
        <f t="shared" si="22"/>
        <v>2.8520886041172</v>
      </c>
      <c r="AN49">
        <f t="shared" si="38"/>
        <v>2696.8615184511868</v>
      </c>
      <c r="AO49">
        <f t="shared" si="39"/>
        <v>-6803.1331332199688</v>
      </c>
      <c r="AQ49">
        <f t="shared" si="23"/>
        <v>44.247787610619469</v>
      </c>
      <c r="AR49">
        <f t="shared" si="24"/>
        <v>-663.71681415929208</v>
      </c>
      <c r="AT49">
        <f t="shared" si="52"/>
        <v>-2903152.8771542804</v>
      </c>
      <c r="AU49">
        <f t="shared" si="53"/>
        <v>-10777965.561943891</v>
      </c>
      <c r="AV49">
        <f t="shared" si="42"/>
        <v>-1.8339115574665679</v>
      </c>
      <c r="AW49">
        <f t="shared" si="25"/>
        <v>-4376058.3828965761</v>
      </c>
      <c r="AX49">
        <f t="shared" si="26"/>
        <v>-2132350.6564592118</v>
      </c>
      <c r="AY49">
        <f t="shared" si="50"/>
        <v>-2.6881755116080042</v>
      </c>
      <c r="BA49">
        <f t="shared" si="27"/>
        <v>2.2929872002882847</v>
      </c>
      <c r="BB49">
        <f t="shared" si="43"/>
        <v>7.2080326091240021</v>
      </c>
      <c r="BC49">
        <f t="shared" si="44"/>
        <v>0.8542639541414363</v>
      </c>
      <c r="BD49">
        <f t="shared" si="28"/>
        <v>-131.05428078160975</v>
      </c>
      <c r="BF49">
        <f t="shared" si="29"/>
        <v>16.902388191309118</v>
      </c>
      <c r="BG49">
        <f t="shared" si="30"/>
        <v>-120.34396810704602</v>
      </c>
      <c r="BH49">
        <f t="shared" si="45"/>
        <v>59.656031892953976</v>
      </c>
      <c r="BI49">
        <f t="shared" si="46"/>
        <v>59.656031892953976</v>
      </c>
      <c r="BJ49">
        <f t="shared" si="31"/>
        <v>0</v>
      </c>
      <c r="BK49">
        <f t="shared" si="47"/>
        <v>0</v>
      </c>
      <c r="BM49">
        <f t="shared" si="48"/>
        <v>9.6943555821851177</v>
      </c>
      <c r="BN49">
        <f t="shared" si="32"/>
        <v>-169.28968732543629</v>
      </c>
      <c r="BQ49" s="47">
        <f t="shared" si="49"/>
        <v>24.109993409409142</v>
      </c>
      <c r="BR49" s="528"/>
      <c r="BS49" s="528"/>
      <c r="BT49" s="528">
        <v>245.471</v>
      </c>
      <c r="BU49" s="528">
        <v>27.075500000000002</v>
      </c>
      <c r="BV49" s="528">
        <v>-266.80959999999999</v>
      </c>
      <c r="BW49" s="49"/>
      <c r="BY49" s="528"/>
      <c r="BZ49" s="528"/>
      <c r="CA49" s="528"/>
      <c r="CC49" s="528"/>
    </row>
    <row r="50" spans="1:81">
      <c r="A50">
        <f t="shared" si="54"/>
        <v>8000</v>
      </c>
      <c r="B50">
        <f t="shared" si="33"/>
        <v>8</v>
      </c>
      <c r="C50">
        <f t="shared" si="0"/>
        <v>1.0008081914040168</v>
      </c>
      <c r="D50">
        <f t="shared" si="1"/>
        <v>4.0190731966943463E-2</v>
      </c>
      <c r="F50">
        <f t="shared" si="2"/>
        <v>0.17465292774602587</v>
      </c>
      <c r="G50">
        <f t="shared" si="3"/>
        <v>0.13662690283925638</v>
      </c>
      <c r="H50">
        <f t="shared" si="4"/>
        <v>-3.0049657471607438</v>
      </c>
      <c r="J50">
        <f t="shared" si="5"/>
        <v>15</v>
      </c>
      <c r="M50">
        <f t="shared" si="6"/>
        <v>0.18824710224824565</v>
      </c>
      <c r="N50">
        <f t="shared" si="7"/>
        <v>-1.5707963250000001</v>
      </c>
      <c r="O50">
        <f t="shared" si="8"/>
        <v>4.0243125256455583</v>
      </c>
      <c r="P50">
        <f t="shared" si="9"/>
        <v>1.3196756438735098</v>
      </c>
      <c r="Q50">
        <f t="shared" si="10"/>
        <v>3.2023663527448019</v>
      </c>
      <c r="R50">
        <f t="shared" si="11"/>
        <v>1.2532157061673486</v>
      </c>
      <c r="S50">
        <f t="shared" si="12"/>
        <v>0.99908164027558066</v>
      </c>
      <c r="T50">
        <f t="shared" si="13"/>
        <v>-4.2860245518435633E-2</v>
      </c>
      <c r="U50">
        <f t="shared" si="14"/>
        <v>0.99777346495671415</v>
      </c>
      <c r="V50">
        <f t="shared" si="15"/>
        <v>-6.6743715468390016E-2</v>
      </c>
      <c r="X50">
        <f t="shared" si="34"/>
        <v>16.042838457062384</v>
      </c>
      <c r="Y50">
        <f t="shared" si="16"/>
        <v>-118.73312448867554</v>
      </c>
      <c r="Z50">
        <f t="shared" si="35"/>
        <v>61.266875511324457</v>
      </c>
      <c r="AC50">
        <v>1</v>
      </c>
      <c r="AD50">
        <f t="shared" si="17"/>
        <v>3.8980881601200008</v>
      </c>
      <c r="AE50">
        <f t="shared" si="18"/>
        <v>-1.6067021108105143E-5</v>
      </c>
      <c r="AF50">
        <f t="shared" si="19"/>
        <v>2.4036953683680002E-4</v>
      </c>
      <c r="AG50">
        <f t="shared" si="36"/>
        <v>15868.081287186324</v>
      </c>
      <c r="AH50">
        <f t="shared" si="37"/>
        <v>-5220.9311275513528</v>
      </c>
      <c r="AJ50">
        <f t="shared" si="20"/>
        <v>22100</v>
      </c>
      <c r="AK50">
        <f t="shared" si="21"/>
        <v>947.79186179932799</v>
      </c>
      <c r="AL50">
        <v>1</v>
      </c>
      <c r="AM50">
        <f t="shared" si="22"/>
        <v>3.0422278443916801</v>
      </c>
      <c r="AN50">
        <f t="shared" si="38"/>
        <v>2436.1806668929703</v>
      </c>
      <c r="AO50">
        <f t="shared" si="39"/>
        <v>-6463.6247969911592</v>
      </c>
      <c r="AQ50">
        <f t="shared" si="23"/>
        <v>38.910505836575872</v>
      </c>
      <c r="AR50">
        <f t="shared" si="24"/>
        <v>-622.56809338521396</v>
      </c>
      <c r="AT50">
        <f t="shared" si="52"/>
        <v>-2632950.0682348371</v>
      </c>
      <c r="AU50">
        <f t="shared" si="53"/>
        <v>-10082110.183756128</v>
      </c>
      <c r="AV50">
        <f t="shared" si="42"/>
        <v>-1.8262419151887159</v>
      </c>
      <c r="AW50">
        <f t="shared" si="25"/>
        <v>-3909782.5533390548</v>
      </c>
      <c r="AX50">
        <f t="shared" si="26"/>
        <v>-1807262.3979583632</v>
      </c>
      <c r="AY50">
        <f t="shared" si="50"/>
        <v>-2.7086057404081156</v>
      </c>
      <c r="BA50">
        <f t="shared" si="27"/>
        <v>2.4192196801319663</v>
      </c>
      <c r="BB50">
        <f t="shared" si="43"/>
        <v>7.6735061356315057</v>
      </c>
      <c r="BC50">
        <f t="shared" si="44"/>
        <v>0.88236382521939971</v>
      </c>
      <c r="BD50">
        <f t="shared" si="28"/>
        <v>-129.44427676214104</v>
      </c>
      <c r="BF50">
        <f t="shared" si="29"/>
        <v>16.045865747119709</v>
      </c>
      <c r="BG50">
        <f t="shared" si="30"/>
        <v>-119.31337253268404</v>
      </c>
      <c r="BH50">
        <f t="shared" si="45"/>
        <v>60.686627467315958</v>
      </c>
      <c r="BI50">
        <f t="shared" si="46"/>
        <v>60.686627467315958</v>
      </c>
      <c r="BJ50">
        <f t="shared" si="31"/>
        <v>0</v>
      </c>
      <c r="BK50">
        <f t="shared" si="47"/>
        <v>0</v>
      </c>
      <c r="BM50">
        <f t="shared" si="48"/>
        <v>8.3723596114882035</v>
      </c>
      <c r="BN50">
        <f t="shared" si="32"/>
        <v>-169.86909577054303</v>
      </c>
      <c r="BQ50" s="47">
        <f t="shared" si="49"/>
        <v>24.575466935916644</v>
      </c>
      <c r="BR50" s="528"/>
      <c r="BS50" s="528"/>
      <c r="BT50" s="528">
        <v>251.18899999999999</v>
      </c>
      <c r="BU50" s="528">
        <v>27.043399999999998</v>
      </c>
      <c r="BV50" s="528">
        <v>-265.9205</v>
      </c>
      <c r="BW50" s="49"/>
      <c r="BY50" s="528"/>
      <c r="BZ50" s="528"/>
      <c r="CA50" s="528"/>
      <c r="CC50" s="528"/>
    </row>
    <row r="51" spans="1:81">
      <c r="A51">
        <f t="shared" si="54"/>
        <v>8500</v>
      </c>
      <c r="B51">
        <f t="shared" si="33"/>
        <v>8.5</v>
      </c>
      <c r="C51">
        <f t="shared" si="0"/>
        <v>1.0009123248446157</v>
      </c>
      <c r="D51">
        <f t="shared" si="1"/>
        <v>4.2699690170440723E-2</v>
      </c>
      <c r="F51">
        <f t="shared" si="2"/>
        <v>0.15181358815253365</v>
      </c>
      <c r="G51">
        <f t="shared" si="3"/>
        <v>0.1261246483644487</v>
      </c>
      <c r="H51">
        <f t="shared" si="4"/>
        <v>-3.0154680016355515</v>
      </c>
      <c r="J51">
        <f t="shared" si="5"/>
        <v>15</v>
      </c>
      <c r="M51">
        <f t="shared" si="6"/>
        <v>0.17717374329246646</v>
      </c>
      <c r="N51">
        <f t="shared" si="7"/>
        <v>-1.5707963250000001</v>
      </c>
      <c r="O51">
        <f t="shared" si="8"/>
        <v>4.2607315736247351</v>
      </c>
      <c r="P51">
        <f t="shared" si="9"/>
        <v>1.3338848696081953</v>
      </c>
      <c r="Q51">
        <f t="shared" si="10"/>
        <v>3.3835184305738912</v>
      </c>
      <c r="R51">
        <f t="shared" si="11"/>
        <v>1.2707647914975551</v>
      </c>
      <c r="S51">
        <f t="shared" si="12"/>
        <v>0.99896344197258036</v>
      </c>
      <c r="T51">
        <f t="shared" si="13"/>
        <v>-4.553541813488516E-2</v>
      </c>
      <c r="U51">
        <f t="shared" si="14"/>
        <v>0.99748753149096381</v>
      </c>
      <c r="V51">
        <f t="shared" si="15"/>
        <v>-7.090164028418991E-2</v>
      </c>
      <c r="X51">
        <f t="shared" si="34"/>
        <v>15.270141877986468</v>
      </c>
      <c r="Y51">
        <f t="shared" si="16"/>
        <v>-117.76299708369839</v>
      </c>
      <c r="Z51">
        <f t="shared" si="35"/>
        <v>62.237002916301606</v>
      </c>
      <c r="AC51">
        <v>1</v>
      </c>
      <c r="AD51">
        <f t="shared" si="17"/>
        <v>4.1417186701275002</v>
      </c>
      <c r="AE51">
        <f t="shared" si="18"/>
        <v>-1.8138160547821824E-5</v>
      </c>
      <c r="AF51">
        <f t="shared" si="19"/>
        <v>2.5539263288910002E-4</v>
      </c>
      <c r="AG51">
        <f t="shared" si="36"/>
        <v>15858.987909745043</v>
      </c>
      <c r="AH51">
        <f t="shared" si="37"/>
        <v>-5041.8559621963041</v>
      </c>
      <c r="AJ51">
        <f t="shared" si="20"/>
        <v>22100</v>
      </c>
      <c r="AK51">
        <f t="shared" si="21"/>
        <v>1007.0288531617861</v>
      </c>
      <c r="AL51">
        <v>1</v>
      </c>
      <c r="AM51">
        <f t="shared" si="22"/>
        <v>3.2323670846661603</v>
      </c>
      <c r="AN51">
        <f t="shared" si="38"/>
        <v>2214.7668305007955</v>
      </c>
      <c r="AO51">
        <f t="shared" si="39"/>
        <v>-6151.9105499593825</v>
      </c>
      <c r="AQ51">
        <f t="shared" si="23"/>
        <v>34.482758620689658</v>
      </c>
      <c r="AR51">
        <f t="shared" si="24"/>
        <v>-586.20689655172418</v>
      </c>
      <c r="AT51">
        <f t="shared" si="52"/>
        <v>-2408709.0843997286</v>
      </c>
      <c r="AU51">
        <f t="shared" si="53"/>
        <v>-9470505.1871676557</v>
      </c>
      <c r="AV51">
        <f t="shared" si="42"/>
        <v>-1.819853601550065</v>
      </c>
      <c r="AW51">
        <f t="shared" si="25"/>
        <v>-3510871.7423496298</v>
      </c>
      <c r="AX51">
        <f t="shared" si="26"/>
        <v>-1547469.6356868225</v>
      </c>
      <c r="AY51">
        <f t="shared" si="50"/>
        <v>-2.72644498141113</v>
      </c>
      <c r="BA51">
        <f t="shared" si="27"/>
        <v>2.5469320609660229</v>
      </c>
      <c r="BB51">
        <f t="shared" si="43"/>
        <v>8.1203472075480256</v>
      </c>
      <c r="BC51">
        <f t="shared" si="44"/>
        <v>0.90659137986106497</v>
      </c>
      <c r="BD51">
        <f t="shared" si="28"/>
        <v>-128.05614013166485</v>
      </c>
      <c r="BF51">
        <f t="shared" si="29"/>
        <v>15.276306029940967</v>
      </c>
      <c r="BG51">
        <f t="shared" si="30"/>
        <v>-118.38321804347493</v>
      </c>
      <c r="BH51">
        <f t="shared" si="45"/>
        <v>61.616781956525074</v>
      </c>
      <c r="BI51">
        <f t="shared" si="46"/>
        <v>61.616781956525074</v>
      </c>
      <c r="BJ51">
        <f t="shared" si="31"/>
        <v>0</v>
      </c>
      <c r="BK51">
        <f t="shared" si="47"/>
        <v>0</v>
      </c>
      <c r="BM51">
        <f t="shared" si="48"/>
        <v>7.1559588223929405</v>
      </c>
      <c r="BN51">
        <f t="shared" si="32"/>
        <v>-170.32707791181011</v>
      </c>
      <c r="BQ51" s="47">
        <f t="shared" si="49"/>
        <v>25.022308007833161</v>
      </c>
      <c r="BR51" s="528"/>
      <c r="BS51" s="528"/>
      <c r="BT51" s="528">
        <v>257.04000000000002</v>
      </c>
      <c r="BU51" s="528">
        <v>26.677600000000002</v>
      </c>
      <c r="BV51" s="528">
        <v>-267.60309999999998</v>
      </c>
      <c r="BW51" s="49"/>
      <c r="BY51" s="528"/>
      <c r="BZ51" s="528"/>
      <c r="CA51" s="528"/>
      <c r="CC51" s="528"/>
    </row>
    <row r="52" spans="1:81">
      <c r="A52">
        <f t="shared" si="54"/>
        <v>9000</v>
      </c>
      <c r="B52">
        <f t="shared" si="33"/>
        <v>9</v>
      </c>
      <c r="C52">
        <f t="shared" si="0"/>
        <v>1.0010227575654476</v>
      </c>
      <c r="D52">
        <f t="shared" si="1"/>
        <v>4.5208110585305238E-2</v>
      </c>
      <c r="F52">
        <f t="shared" si="2"/>
        <v>0.13331777686676624</v>
      </c>
      <c r="G52">
        <f t="shared" si="3"/>
        <v>0.11723145741607498</v>
      </c>
      <c r="H52">
        <f t="shared" si="4"/>
        <v>-3.0243611925839251</v>
      </c>
      <c r="J52">
        <f t="shared" si="5"/>
        <v>15</v>
      </c>
      <c r="M52">
        <f t="shared" si="6"/>
        <v>0.16733075755399612</v>
      </c>
      <c r="N52">
        <f t="shared" si="7"/>
        <v>-1.5707963250000001</v>
      </c>
      <c r="O52">
        <f t="shared" si="8"/>
        <v>4.4979203451940686</v>
      </c>
      <c r="P52">
        <f t="shared" si="9"/>
        <v>1.3465978517881712</v>
      </c>
      <c r="Q52">
        <f t="shared" si="10"/>
        <v>3.5656064763597626</v>
      </c>
      <c r="R52">
        <f t="shared" si="11"/>
        <v>1.2865259370177271</v>
      </c>
      <c r="S52">
        <f t="shared" si="12"/>
        <v>0.99883812596649202</v>
      </c>
      <c r="T52">
        <f t="shared" si="13"/>
        <v>-4.820993870815965E-2</v>
      </c>
      <c r="U52">
        <f t="shared" si="14"/>
        <v>0.997184537182638</v>
      </c>
      <c r="V52">
        <f t="shared" si="15"/>
        <v>-7.5057110904131169E-2</v>
      </c>
      <c r="X52">
        <f t="shared" si="34"/>
        <v>14.568297339340733</v>
      </c>
      <c r="Y52">
        <f t="shared" si="16"/>
        <v>-116.88869981437674</v>
      </c>
      <c r="Z52">
        <f t="shared" si="35"/>
        <v>63.111300185623264</v>
      </c>
      <c r="AC52">
        <v>1</v>
      </c>
      <c r="AD52">
        <f t="shared" si="17"/>
        <v>4.385349180135</v>
      </c>
      <c r="AE52">
        <f t="shared" si="18"/>
        <v>-2.0334823589945573E-5</v>
      </c>
      <c r="AF52">
        <f t="shared" si="19"/>
        <v>2.7041572894140006E-4</v>
      </c>
      <c r="AG52">
        <f t="shared" si="36"/>
        <v>15849.354800326411</v>
      </c>
      <c r="AH52">
        <f t="shared" si="37"/>
        <v>-4889.8554793964668</v>
      </c>
      <c r="AJ52">
        <f t="shared" si="20"/>
        <v>22100</v>
      </c>
      <c r="AK52">
        <f t="shared" si="21"/>
        <v>1066.2658445242441</v>
      </c>
      <c r="AL52">
        <v>1</v>
      </c>
      <c r="AM52">
        <f t="shared" si="22"/>
        <v>3.42250632494064</v>
      </c>
      <c r="AN52">
        <f t="shared" si="38"/>
        <v>2025.3432377254967</v>
      </c>
      <c r="AO52">
        <f t="shared" si="39"/>
        <v>-5865.4841967670227</v>
      </c>
      <c r="AQ52">
        <f t="shared" si="23"/>
        <v>30.76923076923077</v>
      </c>
      <c r="AR52">
        <f t="shared" si="24"/>
        <v>-553.84615384615381</v>
      </c>
      <c r="AT52">
        <f t="shared" si="52"/>
        <v>-2220555.1947326148</v>
      </c>
      <c r="AU52">
        <f t="shared" si="53"/>
        <v>-8928561.2887775954</v>
      </c>
      <c r="AV52">
        <f t="shared" si="42"/>
        <v>-1.8145534074600365</v>
      </c>
      <c r="AW52">
        <f t="shared" si="25"/>
        <v>-3167570.7022221996</v>
      </c>
      <c r="AX52">
        <f t="shared" si="26"/>
        <v>-1337397.254007203</v>
      </c>
      <c r="AY52">
        <f t="shared" si="50"/>
        <v>-2.7420829166896725</v>
      </c>
      <c r="BA52">
        <f t="shared" si="27"/>
        <v>2.6758742383135163</v>
      </c>
      <c r="BB52">
        <f t="shared" si="43"/>
        <v>8.5493139689865352</v>
      </c>
      <c r="BC52">
        <f t="shared" si="44"/>
        <v>0.92752950922963606</v>
      </c>
      <c r="BD52">
        <f t="shared" si="28"/>
        <v>-126.85647368657598</v>
      </c>
      <c r="BF52">
        <f t="shared" si="29"/>
        <v>14.57777942957547</v>
      </c>
      <c r="BG52">
        <f t="shared" si="30"/>
        <v>-117.54937200353365</v>
      </c>
      <c r="BH52">
        <f t="shared" si="45"/>
        <v>62.450627996466352</v>
      </c>
      <c r="BI52">
        <f t="shared" si="46"/>
        <v>62.450627996466352</v>
      </c>
      <c r="BJ52">
        <f t="shared" si="31"/>
        <v>0</v>
      </c>
      <c r="BK52">
        <f t="shared" si="47"/>
        <v>0</v>
      </c>
      <c r="BM52">
        <f t="shared" si="48"/>
        <v>6.028465460588933</v>
      </c>
      <c r="BN52">
        <f t="shared" si="32"/>
        <v>-170.6928983169577</v>
      </c>
      <c r="BQ52" s="47">
        <f t="shared" si="49"/>
        <v>25.451274769271674</v>
      </c>
      <c r="BR52" s="528"/>
      <c r="BS52" s="528"/>
      <c r="BT52" s="528">
        <v>263.02699999999999</v>
      </c>
      <c r="BU52" s="528">
        <v>26.270299999999999</v>
      </c>
      <c r="BV52" s="528">
        <v>-267.3229</v>
      </c>
      <c r="BW52" s="49"/>
      <c r="BY52" s="528"/>
      <c r="BZ52" s="528"/>
      <c r="CA52" s="528"/>
      <c r="CC52" s="528"/>
    </row>
    <row r="53" spans="1:81">
      <c r="A53">
        <f t="shared" si="54"/>
        <v>9500</v>
      </c>
      <c r="B53">
        <f t="shared" si="33"/>
        <v>9.5</v>
      </c>
      <c r="C53">
        <f t="shared" si="0"/>
        <v>1.0011394874819475</v>
      </c>
      <c r="D53">
        <f t="shared" si="1"/>
        <v>4.7715961828142452E-2</v>
      </c>
      <c r="F53">
        <f t="shared" si="2"/>
        <v>0.11810361453066304</v>
      </c>
      <c r="G53">
        <f t="shared" si="3"/>
        <v>0.1095909868145198</v>
      </c>
      <c r="H53">
        <f t="shared" si="4"/>
        <v>-3.0320016631854805</v>
      </c>
      <c r="J53">
        <f t="shared" si="5"/>
        <v>15</v>
      </c>
      <c r="M53">
        <f t="shared" si="6"/>
        <v>0.15852387557747002</v>
      </c>
      <c r="N53">
        <f t="shared" si="7"/>
        <v>-1.5707963250000001</v>
      </c>
      <c r="O53">
        <f t="shared" si="8"/>
        <v>4.7357631878876463</v>
      </c>
      <c r="P53">
        <f t="shared" si="9"/>
        <v>1.3580355703514444</v>
      </c>
      <c r="Q53">
        <f t="shared" si="10"/>
        <v>3.7484940949491263</v>
      </c>
      <c r="R53">
        <f t="shared" si="11"/>
        <v>1.3007523746091902</v>
      </c>
      <c r="S53">
        <f t="shared" si="12"/>
        <v>0.99870570031287009</v>
      </c>
      <c r="T53">
        <f t="shared" si="13"/>
        <v>-5.0883769229140424E-2</v>
      </c>
      <c r="U53">
        <f t="shared" si="14"/>
        <v>0.99686452895065214</v>
      </c>
      <c r="V53">
        <f t="shared" si="15"/>
        <v>-7.9209986119560288E-2</v>
      </c>
      <c r="X53">
        <f t="shared" si="34"/>
        <v>13.92528402262945</v>
      </c>
      <c r="Y53">
        <f t="shared" si="16"/>
        <v>-116.10347083482409</v>
      </c>
      <c r="Z53">
        <f t="shared" si="35"/>
        <v>63.896529165175906</v>
      </c>
      <c r="AC53">
        <v>1</v>
      </c>
      <c r="AD53">
        <f t="shared" si="17"/>
        <v>4.6289796901424998</v>
      </c>
      <c r="AE53">
        <f t="shared" si="18"/>
        <v>-2.2657010234476393E-5</v>
      </c>
      <c r="AF53">
        <f t="shared" si="19"/>
        <v>2.8543882499370004E-4</v>
      </c>
      <c r="AG53">
        <f t="shared" si="36"/>
        <v>15839.183944283854</v>
      </c>
      <c r="AH53">
        <f t="shared" si="37"/>
        <v>-4760.6297172831528</v>
      </c>
      <c r="AJ53">
        <f t="shared" si="20"/>
        <v>22100</v>
      </c>
      <c r="AK53">
        <f t="shared" si="21"/>
        <v>1125.5028358867021</v>
      </c>
      <c r="AL53">
        <v>1</v>
      </c>
      <c r="AM53">
        <f t="shared" si="22"/>
        <v>3.6126455652151201</v>
      </c>
      <c r="AN53">
        <f t="shared" si="38"/>
        <v>1862.191696699095</v>
      </c>
      <c r="AO53">
        <f t="shared" si="39"/>
        <v>-5601.9357387737027</v>
      </c>
      <c r="AQ53">
        <f t="shared" si="23"/>
        <v>27.624309392265193</v>
      </c>
      <c r="AR53">
        <f t="shared" si="24"/>
        <v>-524.86187845303868</v>
      </c>
      <c r="AT53">
        <f t="shared" si="52"/>
        <v>-2061126.5382346972</v>
      </c>
      <c r="AU53">
        <f t="shared" si="53"/>
        <v>-8444892.9463722762</v>
      </c>
      <c r="AV53">
        <f t="shared" si="42"/>
        <v>-1.8101840077469673</v>
      </c>
      <c r="AW53">
        <f t="shared" si="25"/>
        <v>-2870427.8416382633</v>
      </c>
      <c r="AX53">
        <f t="shared" si="26"/>
        <v>-1165690.0063030866</v>
      </c>
      <c r="AY53">
        <f t="shared" si="50"/>
        <v>-2.755835972736834</v>
      </c>
      <c r="BA53">
        <f t="shared" si="27"/>
        <v>2.8058479785685431</v>
      </c>
      <c r="BB53">
        <f t="shared" si="43"/>
        <v>8.9612827432742961</v>
      </c>
      <c r="BC53">
        <f t="shared" si="44"/>
        <v>0.9456519649898667</v>
      </c>
      <c r="BD53">
        <f t="shared" si="28"/>
        <v>-125.81813345591576</v>
      </c>
      <c r="BF53">
        <f t="shared" si="29"/>
        <v>13.938263537913251</v>
      </c>
      <c r="BG53">
        <f t="shared" si="30"/>
        <v>-116.80510920031109</v>
      </c>
      <c r="BH53">
        <f t="shared" si="45"/>
        <v>63.194890799688906</v>
      </c>
      <c r="BI53">
        <f t="shared" si="46"/>
        <v>63.194890799688906</v>
      </c>
      <c r="BJ53">
        <f t="shared" si="31"/>
        <v>0</v>
      </c>
      <c r="BK53">
        <f t="shared" si="47"/>
        <v>0</v>
      </c>
      <c r="BM53">
        <f t="shared" si="48"/>
        <v>4.9769807946389548</v>
      </c>
      <c r="BN53">
        <f t="shared" si="32"/>
        <v>-170.98697574439538</v>
      </c>
      <c r="BQ53" s="47">
        <f t="shared" si="49"/>
        <v>25.863243543559435</v>
      </c>
      <c r="BR53" s="528"/>
      <c r="BS53" s="528"/>
      <c r="BT53" s="528">
        <v>269.15300000000002</v>
      </c>
      <c r="BU53" s="528">
        <v>26.235900000000001</v>
      </c>
      <c r="BV53" s="528">
        <v>-265.67700000000002</v>
      </c>
      <c r="BW53" s="49"/>
      <c r="BY53" s="528"/>
      <c r="BZ53" s="528"/>
      <c r="CA53" s="528"/>
      <c r="CC53" s="528"/>
    </row>
    <row r="54" spans="1:81">
      <c r="A54">
        <f t="shared" si="54"/>
        <v>10000</v>
      </c>
      <c r="B54">
        <f t="shared" si="33"/>
        <v>10</v>
      </c>
      <c r="C54">
        <f t="shared" si="0"/>
        <v>1.0012625123916827</v>
      </c>
      <c r="D54">
        <f t="shared" si="1"/>
        <v>5.0223212558435155E-2</v>
      </c>
      <c r="F54">
        <f t="shared" si="2"/>
        <v>0.10542084319666606</v>
      </c>
      <c r="G54">
        <f t="shared" si="3"/>
        <v>0.10294665387203575</v>
      </c>
      <c r="H54">
        <f t="shared" si="4"/>
        <v>-3.0386459961279644</v>
      </c>
      <c r="J54">
        <f t="shared" si="5"/>
        <v>15</v>
      </c>
      <c r="M54">
        <f t="shared" si="6"/>
        <v>0.15059768179859651</v>
      </c>
      <c r="N54">
        <f t="shared" si="7"/>
        <v>-1.5707963250000001</v>
      </c>
      <c r="O54">
        <f t="shared" si="8"/>
        <v>4.9741662781420795</v>
      </c>
      <c r="P54">
        <f t="shared" si="9"/>
        <v>1.3683781563513668</v>
      </c>
      <c r="Q54">
        <f t="shared" si="10"/>
        <v>3.9320697192270853</v>
      </c>
      <c r="R54">
        <f t="shared" si="11"/>
        <v>1.3136528513392143</v>
      </c>
      <c r="S54">
        <f t="shared" si="12"/>
        <v>0.99856617351843002</v>
      </c>
      <c r="T54">
        <f t="shared" si="13"/>
        <v>-5.355687174778611E-2</v>
      </c>
      <c r="U54">
        <f t="shared" si="14"/>
        <v>0.99652755626586098</v>
      </c>
      <c r="V54">
        <f t="shared" si="15"/>
        <v>-8.3360125256225701E-2</v>
      </c>
      <c r="X54">
        <f t="shared" si="34"/>
        <v>13.331833177289855</v>
      </c>
      <c r="Y54">
        <f t="shared" si="16"/>
        <v>-115.39972173634055</v>
      </c>
      <c r="Z54">
        <f t="shared" si="35"/>
        <v>64.600278263659447</v>
      </c>
      <c r="AC54">
        <v>1</v>
      </c>
      <c r="AD54">
        <f t="shared" si="17"/>
        <v>4.8726102001500005</v>
      </c>
      <c r="AE54">
        <f t="shared" si="18"/>
        <v>-2.5104720481414284E-5</v>
      </c>
      <c r="AF54">
        <f t="shared" si="19"/>
        <v>3.0046192104600002E-4</v>
      </c>
      <c r="AG54">
        <f t="shared" si="36"/>
        <v>15828.477433858892</v>
      </c>
      <c r="AH54">
        <f t="shared" si="37"/>
        <v>-4650.7374270880309</v>
      </c>
      <c r="AJ54">
        <f t="shared" si="20"/>
        <v>22100</v>
      </c>
      <c r="AK54">
        <f t="shared" si="21"/>
        <v>1184.73982724916</v>
      </c>
      <c r="AL54">
        <v>1</v>
      </c>
      <c r="AM54">
        <f t="shared" si="22"/>
        <v>3.8027848054896003</v>
      </c>
      <c r="AN54">
        <f t="shared" si="38"/>
        <v>1720.7822367606591</v>
      </c>
      <c r="AO54">
        <f t="shared" si="39"/>
        <v>-5359.0247162606829</v>
      </c>
      <c r="AQ54">
        <f t="shared" si="23"/>
        <v>24.937655860349128</v>
      </c>
      <c r="AR54">
        <f t="shared" si="24"/>
        <v>-498.75311720698255</v>
      </c>
      <c r="AT54">
        <f t="shared" si="52"/>
        <v>-1924844.6660324621</v>
      </c>
      <c r="AU54">
        <f t="shared" si="53"/>
        <v>-8010480.9502310697</v>
      </c>
      <c r="AV54">
        <f t="shared" si="42"/>
        <v>-1.8066162267727093</v>
      </c>
      <c r="AW54">
        <f t="shared" si="25"/>
        <v>-2611819.0544725694</v>
      </c>
      <c r="AX54">
        <f t="shared" si="26"/>
        <v>-1023948.7070254844</v>
      </c>
      <c r="AY54">
        <f t="shared" si="50"/>
        <v>-2.7679634186107611</v>
      </c>
      <c r="BA54">
        <f t="shared" si="27"/>
        <v>2.9366939959790974</v>
      </c>
      <c r="BB54">
        <f t="shared" si="43"/>
        <v>9.3571739064085868</v>
      </c>
      <c r="BC54">
        <f t="shared" si="44"/>
        <v>0.96134719183805184</v>
      </c>
      <c r="BD54">
        <f t="shared" si="28"/>
        <v>-124.91886319798675</v>
      </c>
      <c r="BF54">
        <f t="shared" si="29"/>
        <v>13.348487925221598</v>
      </c>
      <c r="BG54">
        <f t="shared" si="30"/>
        <v>-116.14287629291017</v>
      </c>
      <c r="BH54">
        <f t="shared" si="45"/>
        <v>63.857123707089826</v>
      </c>
      <c r="BI54">
        <f t="shared" si="46"/>
        <v>63.857123707089826</v>
      </c>
      <c r="BJ54">
        <f t="shared" si="31"/>
        <v>0</v>
      </c>
      <c r="BK54">
        <f t="shared" si="47"/>
        <v>0</v>
      </c>
      <c r="BM54">
        <f t="shared" si="48"/>
        <v>3.9913140188130116</v>
      </c>
      <c r="BN54">
        <f t="shared" si="32"/>
        <v>-171.22401309492344</v>
      </c>
      <c r="BQ54" s="47">
        <f t="shared" si="49"/>
        <v>26.259134706693725</v>
      </c>
      <c r="BR54" s="528"/>
      <c r="BS54" s="528"/>
      <c r="BT54" s="528">
        <v>275.423</v>
      </c>
      <c r="BU54" s="528">
        <v>25.845600000000001</v>
      </c>
      <c r="BV54" s="528">
        <v>-266.46569999999997</v>
      </c>
      <c r="BW54" s="49"/>
      <c r="BY54" s="528"/>
      <c r="BZ54" s="528"/>
      <c r="CA54" s="528"/>
      <c r="CC54" s="528"/>
    </row>
    <row r="55" spans="1:81">
      <c r="A55">
        <f t="shared" si="54"/>
        <v>10500</v>
      </c>
      <c r="B55">
        <f t="shared" si="33"/>
        <v>10.5</v>
      </c>
      <c r="C55">
        <f t="shared" si="0"/>
        <v>1.0013918299745597</v>
      </c>
      <c r="D55">
        <f t="shared" si="1"/>
        <v>5.2729831480872839E-2</v>
      </c>
      <c r="F55">
        <f t="shared" si="2"/>
        <v>9.4725702006016058E-2</v>
      </c>
      <c r="G55">
        <f t="shared" si="3"/>
        <v>9.7108733184198728E-2</v>
      </c>
      <c r="H55">
        <f t="shared" si="4"/>
        <v>-3.0444839168158015</v>
      </c>
      <c r="J55">
        <f t="shared" si="5"/>
        <v>15</v>
      </c>
      <c r="M55">
        <f t="shared" si="6"/>
        <v>0.14342636361771097</v>
      </c>
      <c r="N55">
        <f t="shared" si="7"/>
        <v>-1.5707963250000001</v>
      </c>
      <c r="O55">
        <f t="shared" si="8"/>
        <v>5.2130527528764681</v>
      </c>
      <c r="P55">
        <f t="shared" si="9"/>
        <v>1.3777737807164865</v>
      </c>
      <c r="Q55">
        <f t="shared" si="10"/>
        <v>4.1162412994430957</v>
      </c>
      <c r="R55">
        <f t="shared" si="11"/>
        <v>1.325400736936043</v>
      </c>
      <c r="S55">
        <f t="shared" si="12"/>
        <v>0.99841955453953468</v>
      </c>
      <c r="T55">
        <f t="shared" si="13"/>
        <v>-5.6229208376331996E-2</v>
      </c>
      <c r="U55">
        <f t="shared" si="14"/>
        <v>0.99617367112998811</v>
      </c>
      <c r="V55">
        <f t="shared" si="15"/>
        <v>-8.7507388202154951E-2</v>
      </c>
      <c r="X55">
        <f t="shared" si="34"/>
        <v>12.780664117687584</v>
      </c>
      <c r="Y55">
        <f t="shared" si="16"/>
        <v>-114.76989165573693</v>
      </c>
      <c r="Z55">
        <f t="shared" si="35"/>
        <v>65.230108344263073</v>
      </c>
      <c r="AC55">
        <v>1</v>
      </c>
      <c r="AD55">
        <f t="shared" si="17"/>
        <v>5.1162407101575003</v>
      </c>
      <c r="AE55">
        <f t="shared" si="18"/>
        <v>-2.7677954330759253E-5</v>
      </c>
      <c r="AF55">
        <f t="shared" si="19"/>
        <v>3.1548501709830005E-4</v>
      </c>
      <c r="AG55">
        <f t="shared" si="36"/>
        <v>15817.237467113886</v>
      </c>
      <c r="AH55">
        <f t="shared" si="37"/>
        <v>-4557.3916298077656</v>
      </c>
      <c r="AJ55">
        <f t="shared" si="20"/>
        <v>22100</v>
      </c>
      <c r="AK55">
        <f t="shared" si="21"/>
        <v>1243.976818611618</v>
      </c>
      <c r="AL55">
        <v>1</v>
      </c>
      <c r="AM55">
        <f t="shared" si="22"/>
        <v>3.99292404576408</v>
      </c>
      <c r="AN55">
        <f t="shared" si="38"/>
        <v>1597.4973831238713</v>
      </c>
      <c r="AO55">
        <f t="shared" si="39"/>
        <v>-5134.7088955088802</v>
      </c>
      <c r="AQ55">
        <f t="shared" si="23"/>
        <v>22.624434389140273</v>
      </c>
      <c r="AR55">
        <f t="shared" si="24"/>
        <v>-475.11312217194569</v>
      </c>
      <c r="AT55">
        <f t="shared" si="52"/>
        <v>-1807420.5149060902</v>
      </c>
      <c r="AU55">
        <f t="shared" si="53"/>
        <v>-7618085.485049759</v>
      </c>
      <c r="AV55">
        <f t="shared" si="42"/>
        <v>-1.8037431577984782</v>
      </c>
      <c r="AW55">
        <f t="shared" si="25"/>
        <v>-2385566.8195231077</v>
      </c>
      <c r="AX55">
        <f t="shared" si="26"/>
        <v>-905877.07604446483</v>
      </c>
      <c r="AY55">
        <f t="shared" si="50"/>
        <v>-2.7786794759160656</v>
      </c>
      <c r="BA55">
        <f t="shared" si="27"/>
        <v>3.0682827009782265</v>
      </c>
      <c r="BB55">
        <f t="shared" si="43"/>
        <v>9.7379074303018687</v>
      </c>
      <c r="BC55">
        <f t="shared" si="44"/>
        <v>0.97493631811758741</v>
      </c>
      <c r="BD55">
        <f t="shared" si="28"/>
        <v>-124.14026361400937</v>
      </c>
      <c r="BF55">
        <f t="shared" si="29"/>
        <v>12.801170137397794</v>
      </c>
      <c r="BG55">
        <f t="shared" si="30"/>
        <v>-115.55514624059278</v>
      </c>
      <c r="BH55">
        <f t="shared" si="45"/>
        <v>64.444853759407223</v>
      </c>
      <c r="BI55">
        <f t="shared" si="46"/>
        <v>64.444853759407223</v>
      </c>
      <c r="BJ55">
        <f t="shared" si="31"/>
        <v>0</v>
      </c>
      <c r="BK55">
        <f t="shared" si="47"/>
        <v>0</v>
      </c>
      <c r="BM55">
        <f t="shared" si="48"/>
        <v>3.0632627070959231</v>
      </c>
      <c r="BN55">
        <f t="shared" si="32"/>
        <v>-171.41488262658342</v>
      </c>
      <c r="BQ55" s="47">
        <f t="shared" si="49"/>
        <v>26.639868230587005</v>
      </c>
      <c r="BR55" s="529"/>
      <c r="BS55" s="529"/>
      <c r="BT55" s="529">
        <v>281.83800000000002</v>
      </c>
      <c r="BU55" s="529">
        <v>26.1068</v>
      </c>
      <c r="BV55" s="529">
        <v>-266.67570000000001</v>
      </c>
      <c r="BW55" s="49"/>
      <c r="BY55" s="529"/>
      <c r="BZ55" s="529"/>
      <c r="CA55" s="529"/>
      <c r="CC55" s="529"/>
    </row>
    <row r="56" spans="1:81">
      <c r="A56">
        <f t="shared" si="54"/>
        <v>11000</v>
      </c>
      <c r="B56">
        <f t="shared" si="33"/>
        <v>11</v>
      </c>
      <c r="C56">
        <f t="shared" si="0"/>
        <v>1.0015274377930414</v>
      </c>
      <c r="D56">
        <f t="shared" si="1"/>
        <v>5.5235787347672413E-2</v>
      </c>
      <c r="F56">
        <f t="shared" si="2"/>
        <v>8.5615387881902025E-2</v>
      </c>
      <c r="G56">
        <f t="shared" si="3"/>
        <v>9.1933716465524479E-2</v>
      </c>
      <c r="H56">
        <f t="shared" si="4"/>
        <v>-3.0496589335344759</v>
      </c>
      <c r="J56">
        <f t="shared" si="5"/>
        <v>15</v>
      </c>
      <c r="M56">
        <f t="shared" si="6"/>
        <v>0.13690698345326954</v>
      </c>
      <c r="N56">
        <f t="shared" si="7"/>
        <v>-1.5707963250000001</v>
      </c>
      <c r="O56">
        <f t="shared" si="8"/>
        <v>5.452359076285517</v>
      </c>
      <c r="P56">
        <f t="shared" si="9"/>
        <v>1.386345351645303</v>
      </c>
      <c r="Q56">
        <f t="shared" si="10"/>
        <v>4.3009322774258738</v>
      </c>
      <c r="R56">
        <f t="shared" si="11"/>
        <v>1.3361410434074088</v>
      </c>
      <c r="S56">
        <f t="shared" si="12"/>
        <v>0.99826585278060387</v>
      </c>
      <c r="T56">
        <f t="shared" si="13"/>
        <v>-5.8900741292476154E-2</v>
      </c>
      <c r="U56">
        <f t="shared" si="14"/>
        <v>0.99580292805353399</v>
      </c>
      <c r="V56">
        <f t="shared" si="15"/>
        <v>-9.1651635435245418E-2</v>
      </c>
      <c r="X56">
        <f t="shared" si="34"/>
        <v>12.265964182398619</v>
      </c>
      <c r="Y56">
        <f t="shared" si="16"/>
        <v>-114.20684394430523</v>
      </c>
      <c r="Z56">
        <f t="shared" si="35"/>
        <v>65.793156055694766</v>
      </c>
      <c r="AC56">
        <v>1</v>
      </c>
      <c r="AD56">
        <f t="shared" si="17"/>
        <v>5.3598712201650001</v>
      </c>
      <c r="AE56">
        <f t="shared" si="18"/>
        <v>-3.0376711782511283E-5</v>
      </c>
      <c r="AF56">
        <f t="shared" si="19"/>
        <v>3.3050811315060003E-4</v>
      </c>
      <c r="AG56">
        <f t="shared" si="36"/>
        <v>15805.466346814117</v>
      </c>
      <c r="AH56">
        <f t="shared" si="37"/>
        <v>-4478.3109306939168</v>
      </c>
      <c r="AJ56">
        <f t="shared" si="20"/>
        <v>22100</v>
      </c>
      <c r="AK56">
        <f t="shared" si="21"/>
        <v>1303.213809974076</v>
      </c>
      <c r="AL56">
        <v>1</v>
      </c>
      <c r="AM56">
        <f t="shared" si="22"/>
        <v>4.1830632860385606</v>
      </c>
      <c r="AN56">
        <f t="shared" si="38"/>
        <v>1489.4257949509354</v>
      </c>
      <c r="AO56">
        <f t="shared" si="39"/>
        <v>-4927.14855016398</v>
      </c>
      <c r="AQ56">
        <f t="shared" si="23"/>
        <v>20.618556701030929</v>
      </c>
      <c r="AR56">
        <f t="shared" si="24"/>
        <v>-453.60824742268039</v>
      </c>
      <c r="AT56">
        <f t="shared" si="52"/>
        <v>-1705512.8686278772</v>
      </c>
      <c r="AU56">
        <f t="shared" si="53"/>
        <v>-7261826.1971258651</v>
      </c>
      <c r="AV56">
        <f t="shared" si="42"/>
        <v>-1.8014756579581586</v>
      </c>
      <c r="AW56">
        <f t="shared" si="25"/>
        <v>-2186639.9383718679</v>
      </c>
      <c r="AX56">
        <f t="shared" si="26"/>
        <v>-806696.43096196034</v>
      </c>
      <c r="AY56">
        <f t="shared" si="50"/>
        <v>-2.7881625267453756</v>
      </c>
      <c r="BA56">
        <f t="shared" si="27"/>
        <v>3.2005074570512355</v>
      </c>
      <c r="BB56">
        <f t="shared" si="43"/>
        <v>10.104376868426716</v>
      </c>
      <c r="BC56">
        <f t="shared" si="44"/>
        <v>0.98668686878721701</v>
      </c>
      <c r="BD56">
        <f t="shared" si="28"/>
        <v>-123.46700665291567</v>
      </c>
      <c r="BF56">
        <f t="shared" si="29"/>
        <v>12.29049565552139</v>
      </c>
      <c r="BG56">
        <f t="shared" si="30"/>
        <v>-115.03481520174982</v>
      </c>
      <c r="BH56">
        <f t="shared" si="45"/>
        <v>64.965184798250178</v>
      </c>
      <c r="BI56">
        <f t="shared" si="46"/>
        <v>64.965184798250178</v>
      </c>
      <c r="BJ56">
        <f t="shared" si="31"/>
        <v>0</v>
      </c>
      <c r="BK56">
        <f t="shared" si="47"/>
        <v>0</v>
      </c>
      <c r="BM56">
        <f t="shared" si="48"/>
        <v>2.1861187870946739</v>
      </c>
      <c r="BN56">
        <f t="shared" si="32"/>
        <v>-171.56780854883417</v>
      </c>
      <c r="BQ56" s="47">
        <f t="shared" si="49"/>
        <v>27.006337668711854</v>
      </c>
      <c r="BR56" s="529"/>
      <c r="BS56" s="529"/>
      <c r="BT56" s="529">
        <v>288.40300000000002</v>
      </c>
      <c r="BU56" s="529">
        <v>25.784400000000002</v>
      </c>
      <c r="BV56" s="529">
        <v>-268.05989999999997</v>
      </c>
      <c r="BW56" s="49"/>
      <c r="BY56" s="529"/>
      <c r="BZ56" s="529"/>
      <c r="CA56" s="529"/>
      <c r="CC56" s="529"/>
    </row>
    <row r="57" spans="1:81">
      <c r="A57">
        <f t="shared" si="54"/>
        <v>11500</v>
      </c>
      <c r="B57">
        <f t="shared" si="33"/>
        <v>11.5</v>
      </c>
      <c r="C57">
        <f t="shared" si="0"/>
        <v>1.0016693332923776</v>
      </c>
      <c r="D57">
        <f t="shared" si="1"/>
        <v>5.774104896089019E-2</v>
      </c>
      <c r="F57">
        <f t="shared" si="2"/>
        <v>7.778580804737957E-2</v>
      </c>
      <c r="G57">
        <f t="shared" si="3"/>
        <v>8.731090744640993E-2</v>
      </c>
      <c r="H57">
        <f t="shared" si="4"/>
        <v>-3.0542817425535902</v>
      </c>
      <c r="J57">
        <f t="shared" si="5"/>
        <v>15</v>
      </c>
      <c r="M57">
        <f t="shared" si="6"/>
        <v>0.13095450591182306</v>
      </c>
      <c r="N57">
        <f t="shared" si="7"/>
        <v>-1.5707963250000001</v>
      </c>
      <c r="O57">
        <f t="shared" si="8"/>
        <v>5.6920322943607946</v>
      </c>
      <c r="P57">
        <f t="shared" si="9"/>
        <v>1.3941956168758631</v>
      </c>
      <c r="Q57">
        <f t="shared" si="10"/>
        <v>4.4860785031194839</v>
      </c>
      <c r="R57">
        <f t="shared" si="11"/>
        <v>1.3459958773483336</v>
      </c>
      <c r="S57">
        <f t="shared" si="12"/>
        <v>0.99810507809244509</v>
      </c>
      <c r="T57">
        <f t="shared" si="13"/>
        <v>-6.1571432742551571E-2</v>
      </c>
      <c r="U57">
        <f t="shared" si="14"/>
        <v>0.99541538403268492</v>
      </c>
      <c r="V57">
        <f t="shared" si="15"/>
        <v>-9.5792728050555567E-2</v>
      </c>
      <c r="X57">
        <f t="shared" si="34"/>
        <v>11.783025778484856</v>
      </c>
      <c r="Y57">
        <f t="shared" si="16"/>
        <v>-113.70402949252184</v>
      </c>
      <c r="Z57">
        <f t="shared" si="35"/>
        <v>66.29597050747816</v>
      </c>
      <c r="AC57">
        <v>1</v>
      </c>
      <c r="AD57">
        <f t="shared" si="17"/>
        <v>5.6035017301724999</v>
      </c>
      <c r="AE57">
        <f t="shared" si="18"/>
        <v>-3.3200992836670395E-5</v>
      </c>
      <c r="AF57">
        <f t="shared" si="19"/>
        <v>3.4553120920290001E-4</v>
      </c>
      <c r="AG57">
        <f t="shared" si="36"/>
        <v>15793.166479260115</v>
      </c>
      <c r="AH57">
        <f t="shared" si="37"/>
        <v>-4411.6096217842432</v>
      </c>
      <c r="AJ57">
        <f t="shared" si="20"/>
        <v>22100</v>
      </c>
      <c r="AK57">
        <f t="shared" si="21"/>
        <v>1362.4508013365341</v>
      </c>
      <c r="AL57">
        <v>1</v>
      </c>
      <c r="AM57">
        <f t="shared" si="22"/>
        <v>4.3732025263130403</v>
      </c>
      <c r="AN57">
        <f t="shared" si="38"/>
        <v>1394.2068192993993</v>
      </c>
      <c r="AO57">
        <f t="shared" si="39"/>
        <v>-4734.6979830264663</v>
      </c>
      <c r="AQ57">
        <f t="shared" si="23"/>
        <v>18.867924528301888</v>
      </c>
      <c r="AR57">
        <f t="shared" si="24"/>
        <v>-433.96226415094338</v>
      </c>
      <c r="AT57">
        <f t="shared" si="52"/>
        <v>-1616487.8268259901</v>
      </c>
      <c r="AU57">
        <f t="shared" si="53"/>
        <v>-6936876.2008446576</v>
      </c>
      <c r="AV57">
        <f t="shared" si="42"/>
        <v>-1.7997388693729546</v>
      </c>
      <c r="AW57">
        <f t="shared" si="25"/>
        <v>-2010918.3464144312</v>
      </c>
      <c r="AX57">
        <f t="shared" si="26"/>
        <v>-722738.01740763721</v>
      </c>
      <c r="AY57">
        <f t="shared" si="50"/>
        <v>-2.7965621864219892</v>
      </c>
      <c r="BA57">
        <f t="shared" si="27"/>
        <v>3.3332795862452911</v>
      </c>
      <c r="BB57">
        <f t="shared" si="43"/>
        <v>10.457434852095098</v>
      </c>
      <c r="BC57">
        <f t="shared" si="44"/>
        <v>0.9968233170490346</v>
      </c>
      <c r="BD57">
        <f t="shared" si="28"/>
        <v>-122.88623094759717</v>
      </c>
      <c r="BF57">
        <f t="shared" si="29"/>
        <v>11.811754940415289</v>
      </c>
      <c r="BG57">
        <f t="shared" si="30"/>
        <v>-114.57536602584672</v>
      </c>
      <c r="BH57">
        <f t="shared" si="45"/>
        <v>65.424633974153281</v>
      </c>
      <c r="BI57">
        <f t="shared" si="46"/>
        <v>65.424633974153281</v>
      </c>
      <c r="BJ57">
        <f t="shared" si="31"/>
        <v>0</v>
      </c>
      <c r="BK57">
        <f t="shared" si="47"/>
        <v>0</v>
      </c>
      <c r="BM57">
        <f t="shared" si="48"/>
        <v>1.3543200883201891</v>
      </c>
      <c r="BN57">
        <f t="shared" si="32"/>
        <v>-171.68913507824956</v>
      </c>
      <c r="BQ57" s="47">
        <f t="shared" si="49"/>
        <v>27.359395652380236</v>
      </c>
      <c r="BR57" s="529"/>
      <c r="BS57" s="529"/>
      <c r="BT57" s="529">
        <v>295.12099999999998</v>
      </c>
      <c r="BU57" s="529">
        <v>25.581099999999999</v>
      </c>
      <c r="BV57" s="529">
        <v>-265.88</v>
      </c>
      <c r="BW57" s="49"/>
      <c r="BY57" s="529"/>
      <c r="BZ57" s="529"/>
      <c r="CA57" s="529"/>
      <c r="CC57" s="529"/>
    </row>
    <row r="58" spans="1:81">
      <c r="A58">
        <f t="shared" si="54"/>
        <v>12000</v>
      </c>
      <c r="B58">
        <f t="shared" si="33"/>
        <v>12</v>
      </c>
      <c r="C58">
        <f t="shared" si="0"/>
        <v>1.0018175138008432</v>
      </c>
      <c r="D58">
        <f t="shared" si="1"/>
        <v>6.0245585174724378E-2</v>
      </c>
      <c r="F58">
        <f t="shared" si="2"/>
        <v>7.1003549039933903E-2</v>
      </c>
      <c r="G58">
        <f t="shared" si="3"/>
        <v>8.3153450451644045E-2</v>
      </c>
      <c r="H58">
        <f t="shared" si="4"/>
        <v>-3.058439199548356</v>
      </c>
      <c r="J58">
        <f t="shared" si="5"/>
        <v>15</v>
      </c>
      <c r="M58">
        <f t="shared" si="6"/>
        <v>0.12549806816549708</v>
      </c>
      <c r="N58">
        <f t="shared" si="7"/>
        <v>-1.5707963250000001</v>
      </c>
      <c r="O58">
        <f t="shared" si="8"/>
        <v>5.9320279360563024</v>
      </c>
      <c r="P58">
        <f t="shared" si="9"/>
        <v>1.4014110914349958</v>
      </c>
      <c r="Q58">
        <f t="shared" si="10"/>
        <v>4.6716258496033367</v>
      </c>
      <c r="R58">
        <f t="shared" si="11"/>
        <v>1.3550687077052619</v>
      </c>
      <c r="S58">
        <f t="shared" si="12"/>
        <v>0.99793724077050805</v>
      </c>
      <c r="T58">
        <f t="shared" si="13"/>
        <v>-6.4241245044683717E-2</v>
      </c>
      <c r="U58">
        <f t="shared" si="14"/>
        <v>0.99501109852523939</v>
      </c>
      <c r="V58">
        <f t="shared" si="15"/>
        <v>-9.9930527787283729E-2</v>
      </c>
      <c r="X58">
        <f t="shared" si="34"/>
        <v>11.327987434780349</v>
      </c>
      <c r="Y58">
        <f t="shared" si="16"/>
        <v>-113.25553118790285</v>
      </c>
      <c r="Z58">
        <f t="shared" si="35"/>
        <v>66.744468812097153</v>
      </c>
      <c r="AC58">
        <v>1</v>
      </c>
      <c r="AD58">
        <f t="shared" si="17"/>
        <v>5.8471322401800006</v>
      </c>
      <c r="AE58">
        <f t="shared" si="18"/>
        <v>-3.615079749323658E-5</v>
      </c>
      <c r="AF58">
        <f t="shared" si="19"/>
        <v>3.6055430525520004E-4</v>
      </c>
      <c r="AG58">
        <f t="shared" si="36"/>
        <v>15780.340373071447</v>
      </c>
      <c r="AH58">
        <f t="shared" si="37"/>
        <v>-4355.7152592857619</v>
      </c>
      <c r="AJ58">
        <f t="shared" si="20"/>
        <v>22100</v>
      </c>
      <c r="AK58">
        <f t="shared" si="21"/>
        <v>1421.6877926989921</v>
      </c>
      <c r="AL58">
        <v>1</v>
      </c>
      <c r="AM58">
        <f t="shared" si="22"/>
        <v>4.56334176658752</v>
      </c>
      <c r="AN58">
        <f t="shared" si="38"/>
        <v>1309.9125691027384</v>
      </c>
      <c r="AO58">
        <f t="shared" si="39"/>
        <v>-4555.8909444654955</v>
      </c>
      <c r="AQ58">
        <f t="shared" si="23"/>
        <v>17.331022530329289</v>
      </c>
      <c r="AR58">
        <f t="shared" si="24"/>
        <v>-415.94454072790296</v>
      </c>
      <c r="AT58">
        <f t="shared" si="52"/>
        <v>-1538246.548523169</v>
      </c>
      <c r="AU58">
        <f t="shared" si="53"/>
        <v>-6639235.4283015691</v>
      </c>
      <c r="AV58">
        <f t="shared" si="42"/>
        <v>-1.7984695108434927</v>
      </c>
      <c r="AW58">
        <f t="shared" si="25"/>
        <v>-1855009.2007107895</v>
      </c>
      <c r="AX58">
        <f t="shared" si="26"/>
        <v>-651155.01589073159</v>
      </c>
      <c r="AY58">
        <f t="shared" si="50"/>
        <v>-2.8040047885324695</v>
      </c>
      <c r="BA58">
        <f t="shared" si="27"/>
        <v>3.4665246157067942</v>
      </c>
      <c r="BB58">
        <f t="shared" si="43"/>
        <v>10.797885769205388</v>
      </c>
      <c r="BC58">
        <f t="shared" si="44"/>
        <v>1.0055352776889768</v>
      </c>
      <c r="BD58">
        <f t="shared" si="28"/>
        <v>-122.38707237107403</v>
      </c>
      <c r="BF58">
        <f t="shared" si="29"/>
        <v>11.361084486234741</v>
      </c>
      <c r="BG58">
        <f t="shared" si="30"/>
        <v>-114.17091283404862</v>
      </c>
      <c r="BH58">
        <f t="shared" si="45"/>
        <v>65.829087165951378</v>
      </c>
      <c r="BI58">
        <f t="shared" si="46"/>
        <v>65.829087165951378</v>
      </c>
      <c r="BJ58">
        <f t="shared" si="31"/>
        <v>0</v>
      </c>
      <c r="BK58">
        <f t="shared" si="47"/>
        <v>0</v>
      </c>
      <c r="BM58">
        <f t="shared" si="48"/>
        <v>0.56319871702935298</v>
      </c>
      <c r="BN58">
        <f t="shared" si="32"/>
        <v>-171.78384046297461</v>
      </c>
      <c r="BQ58" s="47">
        <f t="shared" si="49"/>
        <v>27.699846569490525</v>
      </c>
      <c r="BR58" s="529"/>
      <c r="BS58" s="529"/>
      <c r="BT58" s="529">
        <v>301.995</v>
      </c>
      <c r="BU58" s="529">
        <v>24.917000000000002</v>
      </c>
      <c r="BV58" s="529">
        <v>-267.13580000000002</v>
      </c>
      <c r="BW58" s="49"/>
      <c r="BY58" s="529"/>
      <c r="BZ58" s="529"/>
      <c r="CA58" s="529"/>
      <c r="CC58" s="529"/>
    </row>
    <row r="59" spans="1:81">
      <c r="A59">
        <f t="shared" si="54"/>
        <v>12500</v>
      </c>
      <c r="B59">
        <f t="shared" si="33"/>
        <v>12.5</v>
      </c>
      <c r="C59">
        <f t="shared" si="0"/>
        <v>1.0019719765299895</v>
      </c>
      <c r="D59">
        <f t="shared" si="1"/>
        <v>6.2749364897807955E-2</v>
      </c>
      <c r="F59">
        <f t="shared" si="2"/>
        <v>6.5086803512242289E-2</v>
      </c>
      <c r="G59">
        <f t="shared" si="3"/>
        <v>7.9392166902510872E-2</v>
      </c>
      <c r="H59">
        <f t="shared" si="4"/>
        <v>-3.0622004830974894</v>
      </c>
      <c r="J59">
        <f t="shared" si="5"/>
        <v>15</v>
      </c>
      <c r="M59">
        <f t="shared" si="6"/>
        <v>0.12047814543887721</v>
      </c>
      <c r="N59">
        <f t="shared" si="7"/>
        <v>-1.5707963250000001</v>
      </c>
      <c r="O59">
        <f t="shared" si="8"/>
        <v>6.1723083914425079</v>
      </c>
      <c r="P59">
        <f t="shared" si="9"/>
        <v>1.4080651110175111</v>
      </c>
      <c r="Q59">
        <f t="shared" si="10"/>
        <v>4.8575283511882628</v>
      </c>
      <c r="R59">
        <f t="shared" si="11"/>
        <v>1.3634477317987586</v>
      </c>
      <c r="S59">
        <f t="shared" si="12"/>
        <v>0.99776235155306281</v>
      </c>
      <c r="T59">
        <f t="shared" si="13"/>
        <v>-6.6910140591932912E-2</v>
      </c>
      <c r="U59">
        <f t="shared" si="14"/>
        <v>0.99459013342557223</v>
      </c>
      <c r="V59">
        <f t="shared" si="15"/>
        <v>-0.10406489705542181</v>
      </c>
      <c r="X59">
        <f t="shared" si="34"/>
        <v>10.897645431989861</v>
      </c>
      <c r="Y59">
        <f t="shared" si="16"/>
        <v>-112.85604925436083</v>
      </c>
      <c r="Z59">
        <f t="shared" si="35"/>
        <v>67.143950745639174</v>
      </c>
      <c r="AC59">
        <v>1</v>
      </c>
      <c r="AD59">
        <f t="shared" si="17"/>
        <v>6.0907627501875004</v>
      </c>
      <c r="AE59">
        <f t="shared" si="18"/>
        <v>-3.922612575220982E-5</v>
      </c>
      <c r="AF59">
        <f t="shared" si="19"/>
        <v>3.7557740130750002E-4</v>
      </c>
      <c r="AG59">
        <f t="shared" si="36"/>
        <v>15766.990637923034</v>
      </c>
      <c r="AH59">
        <f t="shared" si="37"/>
        <v>-4309.3060228402092</v>
      </c>
      <c r="AJ59">
        <f t="shared" si="20"/>
        <v>22100</v>
      </c>
      <c r="AK59">
        <f t="shared" si="21"/>
        <v>1480.9247840614501</v>
      </c>
      <c r="AL59">
        <v>1</v>
      </c>
      <c r="AM59">
        <f t="shared" si="22"/>
        <v>4.7534810068620006</v>
      </c>
      <c r="AN59">
        <f t="shared" si="38"/>
        <v>1234.957808017012</v>
      </c>
      <c r="AO59">
        <f t="shared" si="39"/>
        <v>-4389.4237006233452</v>
      </c>
      <c r="AQ59">
        <f t="shared" si="23"/>
        <v>15.974440894568691</v>
      </c>
      <c r="AR59">
        <f t="shared" si="24"/>
        <v>-399.36102236421726</v>
      </c>
      <c r="AT59">
        <f t="shared" si="52"/>
        <v>-1469099.9989310256</v>
      </c>
      <c r="AU59">
        <f t="shared" si="53"/>
        <v>-6365560.2551264549</v>
      </c>
      <c r="AV59">
        <f t="shared" si="42"/>
        <v>-1.7976137525044138</v>
      </c>
      <c r="AW59">
        <f t="shared" si="25"/>
        <v>-1716102.899179853</v>
      </c>
      <c r="AX59">
        <f t="shared" si="26"/>
        <v>-589716.37817331764</v>
      </c>
      <c r="AY59">
        <f t="shared" si="50"/>
        <v>-2.8105976773698047</v>
      </c>
      <c r="BA59">
        <f t="shared" si="27"/>
        <v>3.6001794193931236</v>
      </c>
      <c r="BB59">
        <f t="shared" si="43"/>
        <v>11.126482898183006</v>
      </c>
      <c r="BC59">
        <f t="shared" si="44"/>
        <v>1.0129839248653909</v>
      </c>
      <c r="BD59">
        <f t="shared" si="28"/>
        <v>-121.96029632429578</v>
      </c>
      <c r="BF59">
        <f t="shared" si="29"/>
        <v>10.935278450887056</v>
      </c>
      <c r="BG59">
        <f t="shared" si="30"/>
        <v>-113.81618644930693</v>
      </c>
      <c r="BH59">
        <f t="shared" si="45"/>
        <v>66.183813550693074</v>
      </c>
      <c r="BI59">
        <f t="shared" si="46"/>
        <v>66.183813550693074</v>
      </c>
      <c r="BJ59">
        <f t="shared" si="31"/>
        <v>0</v>
      </c>
      <c r="BK59">
        <f t="shared" si="47"/>
        <v>0</v>
      </c>
      <c r="BM59">
        <f t="shared" si="48"/>
        <v>-0.1912044472959486</v>
      </c>
      <c r="BN59">
        <f t="shared" si="32"/>
        <v>-171.85589012501114</v>
      </c>
      <c r="BQ59" s="47">
        <f t="shared" si="49"/>
        <v>28.028443698468145</v>
      </c>
      <c r="BR59" s="529"/>
      <c r="BS59" s="529"/>
      <c r="BT59" s="529">
        <v>309.02999999999997</v>
      </c>
      <c r="BU59" s="529">
        <v>24.825199999999999</v>
      </c>
      <c r="BV59" s="529">
        <v>-265.03610000000003</v>
      </c>
      <c r="BW59" s="49"/>
      <c r="BY59" s="529"/>
      <c r="BZ59" s="529"/>
      <c r="CA59" s="529"/>
      <c r="CC59" s="529"/>
    </row>
    <row r="60" spans="1:81">
      <c r="A60">
        <f t="shared" si="54"/>
        <v>13000</v>
      </c>
      <c r="B60">
        <f t="shared" si="33"/>
        <v>13</v>
      </c>
      <c r="C60">
        <f t="shared" si="0"/>
        <v>1.0021327185749047</v>
      </c>
      <c r="D60">
        <f t="shared" si="1"/>
        <v>6.5252357095491278E-2</v>
      </c>
      <c r="F60">
        <f t="shared" si="2"/>
        <v>5.9892100885672157E-2</v>
      </c>
      <c r="G60">
        <f t="shared" si="3"/>
        <v>7.5971222156591411E-2</v>
      </c>
      <c r="H60">
        <f t="shared" si="4"/>
        <v>-3.0656214278434089</v>
      </c>
      <c r="J60">
        <f t="shared" si="5"/>
        <v>15</v>
      </c>
      <c r="M60">
        <f t="shared" si="6"/>
        <v>0.115844370614305</v>
      </c>
      <c r="N60">
        <f t="shared" si="7"/>
        <v>-1.5707963250000001</v>
      </c>
      <c r="O60">
        <f t="shared" si="8"/>
        <v>6.4128416458543445</v>
      </c>
      <c r="P60">
        <f t="shared" si="9"/>
        <v>1.414220227608465</v>
      </c>
      <c r="Q60">
        <f t="shared" si="10"/>
        <v>5.0437467370891795</v>
      </c>
      <c r="R60">
        <f t="shared" si="11"/>
        <v>1.3712085497968711</v>
      </c>
      <c r="S60">
        <f t="shared" si="12"/>
        <v>0.99758042161929938</v>
      </c>
      <c r="T60">
        <f t="shared" si="13"/>
        <v>-6.9578081855420734E-2</v>
      </c>
      <c r="U60">
        <f t="shared" si="14"/>
        <v>0.99415255303865757</v>
      </c>
      <c r="V60">
        <f t="shared" si="15"/>
        <v>-0.10819569896207176</v>
      </c>
      <c r="X60">
        <f t="shared" si="34"/>
        <v>10.489314375995543</v>
      </c>
      <c r="Y60">
        <f t="shared" si="16"/>
        <v>-112.50085903047085</v>
      </c>
      <c r="Z60">
        <f t="shared" si="35"/>
        <v>67.499140969529151</v>
      </c>
      <c r="AC60">
        <v>1</v>
      </c>
      <c r="AD60">
        <f t="shared" si="17"/>
        <v>6.334393260195001</v>
      </c>
      <c r="AE60">
        <f t="shared" si="18"/>
        <v>-4.2426977613590148E-5</v>
      </c>
      <c r="AF60">
        <f t="shared" si="19"/>
        <v>3.9060049735980005E-4</v>
      </c>
      <c r="AG60">
        <f t="shared" si="36"/>
        <v>15753.119983235185</v>
      </c>
      <c r="AH60">
        <f t="shared" si="37"/>
        <v>-4271.262530769689</v>
      </c>
      <c r="AJ60">
        <f t="shared" si="20"/>
        <v>22100</v>
      </c>
      <c r="AK60">
        <f t="shared" si="21"/>
        <v>1540.161775423908</v>
      </c>
      <c r="AL60">
        <v>1</v>
      </c>
      <c r="AM60">
        <f t="shared" si="22"/>
        <v>4.9436202471364803</v>
      </c>
      <c r="AN60">
        <f t="shared" si="38"/>
        <v>1168.0305729177217</v>
      </c>
      <c r="AO60">
        <f t="shared" si="39"/>
        <v>-4234.1378141265641</v>
      </c>
      <c r="AQ60">
        <f t="shared" si="23"/>
        <v>14.771048744460856</v>
      </c>
      <c r="AR60">
        <f t="shared" si="24"/>
        <v>-384.04726735598229</v>
      </c>
      <c r="AT60">
        <f t="shared" si="52"/>
        <v>-1407676.599952389</v>
      </c>
      <c r="AU60">
        <f t="shared" si="53"/>
        <v>-6113033.7089347783</v>
      </c>
      <c r="AV60">
        <f t="shared" si="42"/>
        <v>-1.7971255349222122</v>
      </c>
      <c r="AW60">
        <f t="shared" si="25"/>
        <v>-1591860.036976431</v>
      </c>
      <c r="AX60">
        <f t="shared" si="26"/>
        <v>-536657.39944116585</v>
      </c>
      <c r="AY60">
        <f t="shared" si="50"/>
        <v>-2.8164325959228691</v>
      </c>
      <c r="BA60">
        <f t="shared" si="27"/>
        <v>3.7341900150722998</v>
      </c>
      <c r="BB60">
        <f t="shared" si="43"/>
        <v>11.44392826689298</v>
      </c>
      <c r="BC60">
        <f t="shared" si="44"/>
        <v>1.0193070610006569</v>
      </c>
      <c r="BD60">
        <f t="shared" si="28"/>
        <v>-121.59800731004441</v>
      </c>
      <c r="BF60">
        <f t="shared" si="29"/>
        <v>10.531649229679411</v>
      </c>
      <c r="BG60">
        <f t="shared" si="30"/>
        <v>-113.50649224192284</v>
      </c>
      <c r="BH60">
        <f t="shared" si="45"/>
        <v>66.493507758077158</v>
      </c>
      <c r="BI60">
        <f t="shared" si="46"/>
        <v>66.493507758077158</v>
      </c>
      <c r="BJ60">
        <f t="shared" si="31"/>
        <v>0</v>
      </c>
      <c r="BK60">
        <f t="shared" si="47"/>
        <v>0</v>
      </c>
      <c r="BM60">
        <f t="shared" si="48"/>
        <v>-0.91227903721356707</v>
      </c>
      <c r="BN60">
        <f t="shared" si="32"/>
        <v>-171.90848493187843</v>
      </c>
      <c r="BQ60" s="47">
        <f t="shared" si="49"/>
        <v>28.345889067178117</v>
      </c>
      <c r="BR60" s="529"/>
      <c r="BS60" s="529"/>
      <c r="BT60" s="529">
        <v>316.22800000000001</v>
      </c>
      <c r="BU60" s="529">
        <v>24.722000000000001</v>
      </c>
      <c r="BV60" s="529">
        <v>-265.21839999999997</v>
      </c>
      <c r="BW60" s="49"/>
      <c r="BY60" s="529"/>
      <c r="BZ60" s="529"/>
      <c r="CA60" s="529"/>
      <c r="CC60" s="529"/>
    </row>
    <row r="61" spans="1:81">
      <c r="A61">
        <f t="shared" si="54"/>
        <v>13500</v>
      </c>
      <c r="B61">
        <f t="shared" si="33"/>
        <v>13.5</v>
      </c>
      <c r="C61">
        <f t="shared" si="0"/>
        <v>1.0022997369144864</v>
      </c>
      <c r="D61">
        <f t="shared" si="1"/>
        <v>6.7754530792114229E-2</v>
      </c>
      <c r="F61">
        <f t="shared" si="2"/>
        <v>5.5304892131852704E-2</v>
      </c>
      <c r="G61">
        <f t="shared" si="3"/>
        <v>7.2845016229920553E-2</v>
      </c>
      <c r="H61">
        <f t="shared" si="4"/>
        <v>-3.0687476337700796</v>
      </c>
      <c r="J61">
        <f t="shared" si="5"/>
        <v>15</v>
      </c>
      <c r="M61">
        <f t="shared" si="6"/>
        <v>0.11155383836933075</v>
      </c>
      <c r="N61">
        <f t="shared" si="7"/>
        <v>-1.5707963250000001</v>
      </c>
      <c r="O61">
        <f t="shared" si="8"/>
        <v>6.6536002826551828</v>
      </c>
      <c r="P61">
        <f t="shared" si="9"/>
        <v>1.4199301053770241</v>
      </c>
      <c r="Q61">
        <f t="shared" si="10"/>
        <v>5.2302472670593723</v>
      </c>
      <c r="R61">
        <f t="shared" si="11"/>
        <v>1.3784163049018283</v>
      </c>
      <c r="S61">
        <f t="shared" si="12"/>
        <v>0.99739146258735734</v>
      </c>
      <c r="T61">
        <f t="shared" si="13"/>
        <v>-7.2245031387439942E-2</v>
      </c>
      <c r="U61">
        <f t="shared" si="14"/>
        <v>0.99369842405317088</v>
      </c>
      <c r="V61">
        <f t="shared" si="15"/>
        <v>-0.11232279733741279</v>
      </c>
      <c r="X61">
        <f t="shared" si="34"/>
        <v>10.100722376917799</v>
      </c>
      <c r="Y61">
        <f t="shared" si="16"/>
        <v>-112.18575786912216</v>
      </c>
      <c r="Z61">
        <f t="shared" si="35"/>
        <v>67.814242130877844</v>
      </c>
      <c r="AC61">
        <v>1</v>
      </c>
      <c r="AD61">
        <f t="shared" si="17"/>
        <v>6.5780237702025008</v>
      </c>
      <c r="AE61">
        <f t="shared" si="18"/>
        <v>-4.575335307737753E-5</v>
      </c>
      <c r="AF61">
        <f t="shared" si="19"/>
        <v>4.0562359341210003E-4</v>
      </c>
      <c r="AG61">
        <f t="shared" si="36"/>
        <v>15738.731216818593</v>
      </c>
      <c r="AH61">
        <f t="shared" si="37"/>
        <v>-4240.6303634450596</v>
      </c>
      <c r="AJ61">
        <f t="shared" si="20"/>
        <v>22100</v>
      </c>
      <c r="AK61">
        <f t="shared" si="21"/>
        <v>1599.3987667863662</v>
      </c>
      <c r="AL61">
        <v>1</v>
      </c>
      <c r="AM61">
        <f t="shared" si="22"/>
        <v>5.13375948741096</v>
      </c>
      <c r="AN61">
        <f t="shared" si="38"/>
        <v>1108.0383681462572</v>
      </c>
      <c r="AO61">
        <f t="shared" si="39"/>
        <v>-4089.0037180998393</v>
      </c>
      <c r="AQ61">
        <f t="shared" si="23"/>
        <v>13.698630136986301</v>
      </c>
      <c r="AR61">
        <f t="shared" si="24"/>
        <v>-369.86301369863014</v>
      </c>
      <c r="AT61">
        <f t="shared" si="52"/>
        <v>-1352853.2684410687</v>
      </c>
      <c r="AU61">
        <f t="shared" si="53"/>
        <v>-5879265.38654174</v>
      </c>
      <c r="AV61">
        <f t="shared" si="42"/>
        <v>-1.7969652296762519</v>
      </c>
      <c r="AW61">
        <f t="shared" si="25"/>
        <v>-1480322.3036010517</v>
      </c>
      <c r="AX61">
        <f t="shared" si="26"/>
        <v>-490570.14608675888</v>
      </c>
      <c r="AY61">
        <f t="shared" si="50"/>
        <v>-2.8215883816376421</v>
      </c>
      <c r="BA61">
        <f t="shared" si="27"/>
        <v>3.8685098475002406</v>
      </c>
      <c r="BB61">
        <f t="shared" si="43"/>
        <v>11.75087413430056</v>
      </c>
      <c r="BC61">
        <f t="shared" si="44"/>
        <v>1.0246231519613902</v>
      </c>
      <c r="BD61">
        <f t="shared" si="28"/>
        <v>-121.2934177341387</v>
      </c>
      <c r="BF61">
        <f t="shared" si="29"/>
        <v>10.147922634741759</v>
      </c>
      <c r="BG61">
        <f t="shared" si="30"/>
        <v>-113.23765707911988</v>
      </c>
      <c r="BH61">
        <f t="shared" si="45"/>
        <v>66.762342920880116</v>
      </c>
      <c r="BI61">
        <f t="shared" si="46"/>
        <v>66.762342920880116</v>
      </c>
      <c r="BJ61">
        <f t="shared" si="31"/>
        <v>0</v>
      </c>
      <c r="BK61">
        <f t="shared" si="47"/>
        <v>0</v>
      </c>
      <c r="BM61">
        <f t="shared" si="48"/>
        <v>-1.602951499558801</v>
      </c>
      <c r="BN61">
        <f t="shared" si="32"/>
        <v>-171.94423934498121</v>
      </c>
      <c r="BQ61" s="47">
        <f t="shared" si="49"/>
        <v>28.652834934585698</v>
      </c>
      <c r="BR61" s="529"/>
      <c r="BS61" s="529"/>
      <c r="BT61" s="529">
        <v>323.59399999999999</v>
      </c>
      <c r="BU61" s="529">
        <v>24.5962</v>
      </c>
      <c r="BV61" s="529">
        <v>-266.99490000000003</v>
      </c>
      <c r="BW61" s="49"/>
      <c r="BY61" s="529"/>
      <c r="BZ61" s="529"/>
      <c r="CA61" s="529"/>
      <c r="CC61" s="529"/>
    </row>
    <row r="62" spans="1:81">
      <c r="A62">
        <f t="shared" si="54"/>
        <v>14000</v>
      </c>
      <c r="B62">
        <f t="shared" si="33"/>
        <v>14</v>
      </c>
      <c r="C62">
        <f t="shared" si="0"/>
        <v>1.002473028411724</v>
      </c>
      <c r="D62">
        <f t="shared" si="1"/>
        <v>7.0255855073267204E-2</v>
      </c>
      <c r="F62">
        <f t="shared" si="2"/>
        <v>5.1232750626586145E-2</v>
      </c>
      <c r="G62">
        <f t="shared" si="3"/>
        <v>6.9975911642837327E-2</v>
      </c>
      <c r="H62">
        <f t="shared" si="4"/>
        <v>-3.0716167383571631</v>
      </c>
      <c r="J62">
        <f t="shared" si="5"/>
        <v>15</v>
      </c>
      <c r="M62">
        <f t="shared" si="6"/>
        <v>0.10756977271328322</v>
      </c>
      <c r="N62">
        <f t="shared" si="7"/>
        <v>-1.5707963250000001</v>
      </c>
      <c r="O62">
        <f t="shared" si="8"/>
        <v>6.8945606907697474</v>
      </c>
      <c r="P62">
        <f t="shared" si="9"/>
        <v>1.4252410333326868</v>
      </c>
      <c r="Q62">
        <f t="shared" si="10"/>
        <v>5.4170007995800251</v>
      </c>
      <c r="R62">
        <f t="shared" si="11"/>
        <v>1.3851274077338815</v>
      </c>
      <c r="S62">
        <f t="shared" si="12"/>
        <v>0.99719548651227541</v>
      </c>
      <c r="T62">
        <f t="shared" si="13"/>
        <v>-7.4910951824547295E-2</v>
      </c>
      <c r="U62">
        <f t="shared" si="14"/>
        <v>0.99322781551369188</v>
      </c>
      <c r="V62">
        <f t="shared" si="15"/>
        <v>-0.11644605676030756</v>
      </c>
      <c r="X62">
        <f t="shared" si="34"/>
        <v>9.7299311268541562</v>
      </c>
      <c r="Y62">
        <f t="shared" si="16"/>
        <v>-111.90700985514236</v>
      </c>
      <c r="Z62">
        <f t="shared" si="35"/>
        <v>68.092990144857637</v>
      </c>
      <c r="AC62">
        <v>1</v>
      </c>
      <c r="AD62">
        <f t="shared" si="17"/>
        <v>6.8216542802100015</v>
      </c>
      <c r="AE62">
        <f t="shared" si="18"/>
        <v>-4.9205252143572E-5</v>
      </c>
      <c r="AF62">
        <f t="shared" si="19"/>
        <v>4.2064668946440001E-4</v>
      </c>
      <c r="AG62">
        <f t="shared" si="36"/>
        <v>15723.827243475464</v>
      </c>
      <c r="AH62">
        <f t="shared" si="37"/>
        <v>-4216.5906177357128</v>
      </c>
      <c r="AJ62">
        <f t="shared" si="20"/>
        <v>22100</v>
      </c>
      <c r="AK62">
        <f t="shared" si="21"/>
        <v>1658.6357581488239</v>
      </c>
      <c r="AL62">
        <v>1</v>
      </c>
      <c r="AM62">
        <f t="shared" si="22"/>
        <v>5.3238987276854406</v>
      </c>
      <c r="AN62">
        <f t="shared" si="38"/>
        <v>1054.066135252059</v>
      </c>
      <c r="AO62">
        <f t="shared" si="39"/>
        <v>-3953.1055982159223</v>
      </c>
      <c r="AQ62">
        <f t="shared" si="23"/>
        <v>12.738853503184714</v>
      </c>
      <c r="AR62">
        <f t="shared" si="24"/>
        <v>-356.68789808917199</v>
      </c>
      <c r="AT62">
        <f t="shared" si="52"/>
        <v>-1303703.3127786561</v>
      </c>
      <c r="AU62">
        <f t="shared" si="53"/>
        <v>-5662213.4195547607</v>
      </c>
      <c r="AV62">
        <f t="shared" si="42"/>
        <v>-1.7970985643380899</v>
      </c>
      <c r="AW62">
        <f t="shared" si="25"/>
        <v>-1379841.929762261</v>
      </c>
      <c r="AX62">
        <f t="shared" si="26"/>
        <v>-450322.22793835809</v>
      </c>
      <c r="AY62">
        <f t="shared" si="50"/>
        <v>-2.8261331277643711</v>
      </c>
      <c r="BA62">
        <f t="shared" si="27"/>
        <v>4.0030984367791662</v>
      </c>
      <c r="BB62">
        <f t="shared" si="43"/>
        <v>12.047925392031569</v>
      </c>
      <c r="BC62">
        <f t="shared" si="44"/>
        <v>1.0290345634262812</v>
      </c>
      <c r="BD62">
        <f t="shared" si="28"/>
        <v>-121.040662475216</v>
      </c>
      <c r="BF62">
        <f t="shared" si="29"/>
        <v>9.7821579731497685</v>
      </c>
      <c r="BG62">
        <f t="shared" si="30"/>
        <v>-113.00597407953911</v>
      </c>
      <c r="BH62">
        <f t="shared" si="45"/>
        <v>66.994025920460885</v>
      </c>
      <c r="BI62">
        <f t="shared" si="46"/>
        <v>66.994025920460885</v>
      </c>
      <c r="BJ62">
        <f t="shared" si="31"/>
        <v>0</v>
      </c>
      <c r="BK62">
        <f t="shared" si="47"/>
        <v>0</v>
      </c>
      <c r="BM62">
        <f t="shared" si="48"/>
        <v>-2.265767418881802</v>
      </c>
      <c r="BN62">
        <f t="shared" si="32"/>
        <v>-171.96531160432312</v>
      </c>
      <c r="BQ62" s="47">
        <f t="shared" si="49"/>
        <v>28.949886192316704</v>
      </c>
      <c r="BR62" s="529"/>
      <c r="BS62" s="529"/>
      <c r="BT62" s="529">
        <v>331.13099999999997</v>
      </c>
      <c r="BU62" s="529">
        <v>24.386800000000001</v>
      </c>
      <c r="BV62" s="529">
        <v>-265.09339999999997</v>
      </c>
      <c r="BW62" s="49"/>
      <c r="BY62" s="529"/>
      <c r="BZ62" s="529"/>
      <c r="CA62" s="529"/>
      <c r="CC62" s="529"/>
    </row>
    <row r="63" spans="1:81">
      <c r="A63">
        <f t="shared" si="54"/>
        <v>14500</v>
      </c>
      <c r="B63">
        <f t="shared" si="33"/>
        <v>14.5</v>
      </c>
      <c r="C63">
        <f t="shared" si="0"/>
        <v>1.0026525898139904</v>
      </c>
      <c r="D63">
        <f t="shared" si="1"/>
        <v>7.2756299088040863E-2</v>
      </c>
      <c r="F63">
        <f t="shared" si="2"/>
        <v>4.7600383893784147E-2</v>
      </c>
      <c r="G63">
        <f t="shared" si="3"/>
        <v>6.7332545586105103E-2</v>
      </c>
      <c r="H63">
        <f t="shared" si="4"/>
        <v>-3.0742601044138951</v>
      </c>
      <c r="J63">
        <f t="shared" si="5"/>
        <v>15</v>
      </c>
      <c r="M63">
        <f t="shared" si="6"/>
        <v>0.10386047020592863</v>
      </c>
      <c r="N63">
        <f t="shared" si="7"/>
        <v>-1.5707963250000001</v>
      </c>
      <c r="O63">
        <f t="shared" si="8"/>
        <v>7.1357024298157752</v>
      </c>
      <c r="P63">
        <f t="shared" si="9"/>
        <v>1.4301931414686491</v>
      </c>
      <c r="Q63">
        <f t="shared" si="10"/>
        <v>5.6039820406656871</v>
      </c>
      <c r="R63">
        <f t="shared" si="11"/>
        <v>1.391390934815</v>
      </c>
      <c r="S63">
        <f t="shared" si="12"/>
        <v>0.99699250588387078</v>
      </c>
      <c r="T63">
        <f t="shared" si="13"/>
        <v>-7.7575805890638408E-2</v>
      </c>
      <c r="U63">
        <f t="shared" si="14"/>
        <v>0.9927407987920317</v>
      </c>
      <c r="V63">
        <f t="shared" si="15"/>
        <v>-0.12056534258353611</v>
      </c>
      <c r="X63">
        <f t="shared" si="34"/>
        <v>9.3752741767792678</v>
      </c>
      <c r="Y63">
        <f t="shared" si="16"/>
        <v>-111.66129270545252</v>
      </c>
      <c r="Z63">
        <f t="shared" si="35"/>
        <v>68.338707294547476</v>
      </c>
      <c r="AC63">
        <v>1</v>
      </c>
      <c r="AD63">
        <f t="shared" si="17"/>
        <v>7.0652847902175013</v>
      </c>
      <c r="AE63">
        <f t="shared" si="18"/>
        <v>-5.2782674812173544E-5</v>
      </c>
      <c r="AF63">
        <f t="shared" si="19"/>
        <v>4.356697855167001E-4</v>
      </c>
      <c r="AG63">
        <f t="shared" si="36"/>
        <v>15708.411063558133</v>
      </c>
      <c r="AH63">
        <f t="shared" si="37"/>
        <v>-4198.4365539933078</v>
      </c>
      <c r="AJ63">
        <f t="shared" si="20"/>
        <v>22100</v>
      </c>
      <c r="AK63">
        <f t="shared" si="21"/>
        <v>1717.8727495112821</v>
      </c>
      <c r="AL63">
        <v>1</v>
      </c>
      <c r="AM63">
        <f t="shared" si="22"/>
        <v>5.5140379679599203</v>
      </c>
      <c r="AN63">
        <f t="shared" si="38"/>
        <v>1005.3431909406827</v>
      </c>
      <c r="AO63">
        <f t="shared" si="39"/>
        <v>-3825.6277761656224</v>
      </c>
      <c r="AQ63">
        <f t="shared" si="23"/>
        <v>11.876484560570072</v>
      </c>
      <c r="AR63">
        <f t="shared" si="24"/>
        <v>-344.41805225653206</v>
      </c>
      <c r="AT63">
        <f t="shared" si="52"/>
        <v>-1259456.6389815651</v>
      </c>
      <c r="AU63">
        <f t="shared" si="53"/>
        <v>-5460123.0094676856</v>
      </c>
      <c r="AV63">
        <f t="shared" si="42"/>
        <v>-1.7974957537051721</v>
      </c>
      <c r="AW63">
        <f t="shared" si="25"/>
        <v>-1289025.5468743346</v>
      </c>
      <c r="AX63">
        <f t="shared" si="26"/>
        <v>-414995.96325099247</v>
      </c>
      <c r="AY63">
        <f t="shared" si="50"/>
        <v>-2.8301259287195832</v>
      </c>
      <c r="BA63">
        <f t="shared" si="27"/>
        <v>4.1379203041406383</v>
      </c>
      <c r="BB63">
        <f t="shared" si="43"/>
        <v>12.335642438990373</v>
      </c>
      <c r="BC63">
        <f t="shared" si="44"/>
        <v>1.0326301750144111</v>
      </c>
      <c r="BD63">
        <f t="shared" si="28"/>
        <v>-120.83464910621242</v>
      </c>
      <c r="BF63">
        <f t="shared" si="29"/>
        <v>9.4326863242320851</v>
      </c>
      <c r="BG63">
        <f t="shared" si="30"/>
        <v>-112.80814954034848</v>
      </c>
      <c r="BH63">
        <f t="shared" si="45"/>
        <v>67.191850459651519</v>
      </c>
      <c r="BI63">
        <f t="shared" si="46"/>
        <v>67.191850459651519</v>
      </c>
      <c r="BJ63">
        <f t="shared" si="31"/>
        <v>0</v>
      </c>
      <c r="BK63">
        <f t="shared" si="47"/>
        <v>0</v>
      </c>
      <c r="BM63">
        <f t="shared" si="48"/>
        <v>-2.9029561147582887</v>
      </c>
      <c r="BN63">
        <f t="shared" si="32"/>
        <v>-171.97350043413607</v>
      </c>
      <c r="BQ63" s="47">
        <f t="shared" si="49"/>
        <v>29.237603239275511</v>
      </c>
      <c r="BR63" s="529"/>
      <c r="BS63" s="529"/>
      <c r="BT63" s="529">
        <v>338.84399999999999</v>
      </c>
      <c r="BU63" s="529">
        <v>24.136900000000001</v>
      </c>
      <c r="BV63" s="529">
        <v>-266.42009999999999</v>
      </c>
      <c r="BW63" s="49"/>
      <c r="BY63" s="529"/>
      <c r="BZ63" s="529"/>
      <c r="CA63" s="529"/>
      <c r="CC63" s="529"/>
    </row>
    <row r="64" spans="1:81">
      <c r="A64">
        <f t="shared" si="54"/>
        <v>15000</v>
      </c>
      <c r="B64">
        <f t="shared" si="33"/>
        <v>15</v>
      </c>
      <c r="C64">
        <f t="shared" si="0"/>
        <v>1.0028384177533465</v>
      </c>
      <c r="D64">
        <f t="shared" si="1"/>
        <v>7.5255832051264057E-2</v>
      </c>
      <c r="F64">
        <f t="shared" si="2"/>
        <v>4.4345921219905854E-2</v>
      </c>
      <c r="G64">
        <f t="shared" si="3"/>
        <v>6.4888557467690192E-2</v>
      </c>
      <c r="H64">
        <f t="shared" si="4"/>
        <v>-3.0767040925323101</v>
      </c>
      <c r="J64">
        <f t="shared" si="5"/>
        <v>15</v>
      </c>
      <c r="M64">
        <f t="shared" si="6"/>
        <v>0.10039845453239768</v>
      </c>
      <c r="N64">
        <f t="shared" si="7"/>
        <v>-1.5707963250000001</v>
      </c>
      <c r="O64">
        <f t="shared" si="8"/>
        <v>7.3770077176225808</v>
      </c>
      <c r="P64">
        <f t="shared" si="9"/>
        <v>1.4348213855672922</v>
      </c>
      <c r="Q64">
        <f t="shared" si="10"/>
        <v>5.7911689340702868</v>
      </c>
      <c r="R64">
        <f t="shared" si="11"/>
        <v>1.3972497698534481</v>
      </c>
      <c r="S64">
        <f t="shared" si="12"/>
        <v>0.99678253362454428</v>
      </c>
      <c r="T64">
        <f t="shared" si="13"/>
        <v>-8.0239556400004505E-2</v>
      </c>
      <c r="U64">
        <f t="shared" si="14"/>
        <v>0.9922374475577056</v>
      </c>
      <c r="V64">
        <f t="shared" si="15"/>
        <v>-0.12468052095864675</v>
      </c>
      <c r="X64">
        <f t="shared" si="34"/>
        <v>9.0353087078037113</v>
      </c>
      <c r="Y64">
        <f t="shared" si="16"/>
        <v>-111.44564886074974</v>
      </c>
      <c r="Z64">
        <f t="shared" si="35"/>
        <v>68.554351139250258</v>
      </c>
      <c r="AC64">
        <v>1</v>
      </c>
      <c r="AD64">
        <f t="shared" si="17"/>
        <v>7.3089153002250011</v>
      </c>
      <c r="AE64">
        <f t="shared" si="18"/>
        <v>-5.6485621083182136E-5</v>
      </c>
      <c r="AF64">
        <f t="shared" si="19"/>
        <v>4.5069288156900008E-4</v>
      </c>
      <c r="AG64">
        <f t="shared" si="36"/>
        <v>15692.485771486465</v>
      </c>
      <c r="AH64">
        <f t="shared" si="37"/>
        <v>-4185.554913967746</v>
      </c>
      <c r="AJ64">
        <f t="shared" si="20"/>
        <v>22100</v>
      </c>
      <c r="AK64">
        <f t="shared" si="21"/>
        <v>1777.1097408737401</v>
      </c>
      <c r="AL64">
        <v>1</v>
      </c>
      <c r="AM64">
        <f t="shared" si="22"/>
        <v>5.7041772082344</v>
      </c>
      <c r="AN64">
        <f t="shared" si="38"/>
        <v>961.21704345604371</v>
      </c>
      <c r="AO64">
        <f t="shared" si="39"/>
        <v>-3705.8426105746798</v>
      </c>
      <c r="AQ64">
        <f t="shared" si="23"/>
        <v>11.098779134295228</v>
      </c>
      <c r="AR64">
        <f t="shared" si="24"/>
        <v>-332.96337402885683</v>
      </c>
      <c r="AT64">
        <f t="shared" si="52"/>
        <v>-1219469.0526919635</v>
      </c>
      <c r="AU64">
        <f t="shared" si="53"/>
        <v>-5271477.5589185543</v>
      </c>
      <c r="AV64">
        <f t="shared" si="42"/>
        <v>-1.7981307931029007</v>
      </c>
      <c r="AW64">
        <f t="shared" si="25"/>
        <v>-1206689.2866207028</v>
      </c>
      <c r="AX64">
        <f t="shared" si="26"/>
        <v>-383842.37635864568</v>
      </c>
      <c r="AY64">
        <f t="shared" si="50"/>
        <v>-2.8336182991128691</v>
      </c>
      <c r="BA64">
        <f t="shared" si="27"/>
        <v>4.2729441107034489</v>
      </c>
      <c r="BB64">
        <f t="shared" si="43"/>
        <v>12.614544247301909</v>
      </c>
      <c r="BC64">
        <f t="shared" si="44"/>
        <v>1.0354875060099684</v>
      </c>
      <c r="BD64">
        <f t="shared" si="28"/>
        <v>-120.67093609930801</v>
      </c>
      <c r="BF64">
        <f t="shared" si="29"/>
        <v>9.0980623112606445</v>
      </c>
      <c r="BG64">
        <f t="shared" si="30"/>
        <v>-112.64125404825923</v>
      </c>
      <c r="BH64">
        <f t="shared" si="45"/>
        <v>67.358745951740772</v>
      </c>
      <c r="BI64">
        <f t="shared" si="46"/>
        <v>67.358745951740772</v>
      </c>
      <c r="BJ64">
        <f t="shared" si="31"/>
        <v>0</v>
      </c>
      <c r="BK64">
        <f t="shared" si="47"/>
        <v>0</v>
      </c>
      <c r="BM64">
        <f t="shared" si="48"/>
        <v>-3.516481936041262</v>
      </c>
      <c r="BN64">
        <f t="shared" si="32"/>
        <v>-171.97031794895122</v>
      </c>
      <c r="BQ64" s="47">
        <f t="shared" si="49"/>
        <v>29.516505047587046</v>
      </c>
      <c r="BR64" s="529"/>
      <c r="BS64" s="529"/>
      <c r="BT64" s="529">
        <v>346.73700000000002</v>
      </c>
      <c r="BU64" s="529">
        <v>24.040400000000002</v>
      </c>
      <c r="BV64" s="529">
        <v>-265.87940000000003</v>
      </c>
      <c r="BW64" s="49"/>
      <c r="BY64" s="529"/>
      <c r="BZ64" s="529"/>
      <c r="CA64" s="529"/>
      <c r="CC64" s="529"/>
    </row>
    <row r="65" spans="1:81">
      <c r="A65">
        <f t="shared" si="54"/>
        <v>15500</v>
      </c>
      <c r="B65">
        <f t="shared" si="33"/>
        <v>15.5</v>
      </c>
      <c r="C65">
        <f t="shared" si="0"/>
        <v>1.0030305087468545</v>
      </c>
      <c r="D65">
        <f t="shared" si="1"/>
        <v>7.7754423245729454E-2</v>
      </c>
      <c r="F65">
        <f t="shared" si="2"/>
        <v>4.1418114681801961E-2</v>
      </c>
      <c r="G65">
        <f t="shared" si="3"/>
        <v>6.2621616667411867E-2</v>
      </c>
      <c r="H65">
        <f t="shared" si="4"/>
        <v>-3.0789710333325884</v>
      </c>
      <c r="J65">
        <f t="shared" si="5"/>
        <v>15</v>
      </c>
      <c r="M65">
        <f t="shared" si="6"/>
        <v>9.7159794708771938E-2</v>
      </c>
      <c r="N65">
        <f t="shared" si="7"/>
        <v>-1.5707963250000001</v>
      </c>
      <c r="O65">
        <f t="shared" si="8"/>
        <v>7.6184610135945769</v>
      </c>
      <c r="P65">
        <f t="shared" si="9"/>
        <v>1.4391563500873223</v>
      </c>
      <c r="Q65">
        <f t="shared" si="10"/>
        <v>5.9785421630329179</v>
      </c>
      <c r="R65">
        <f t="shared" si="11"/>
        <v>1.4027415406966068</v>
      </c>
      <c r="S65">
        <f t="shared" si="12"/>
        <v>0.99656558308701215</v>
      </c>
      <c r="T65">
        <f t="shared" si="13"/>
        <v>-8.2902166260369822E-2</v>
      </c>
      <c r="U65">
        <f t="shared" si="14"/>
        <v>0.99171783774757627</v>
      </c>
      <c r="V65">
        <f t="shared" si="15"/>
        <v>-0.12879145886041285</v>
      </c>
      <c r="X65">
        <f t="shared" si="34"/>
        <v>8.7087774401933693</v>
      </c>
      <c r="Y65">
        <f t="shared" si="16"/>
        <v>-111.25744150702292</v>
      </c>
      <c r="Z65">
        <f t="shared" si="35"/>
        <v>68.742558492977082</v>
      </c>
      <c r="AC65">
        <v>1</v>
      </c>
      <c r="AD65">
        <f t="shared" si="17"/>
        <v>7.5525458102325009</v>
      </c>
      <c r="AE65">
        <f t="shared" si="18"/>
        <v>-6.031409095659783E-5</v>
      </c>
      <c r="AF65">
        <f t="shared" si="19"/>
        <v>4.6571597762130006E-4</v>
      </c>
      <c r="AG65">
        <f t="shared" si="36"/>
        <v>15676.054554225313</v>
      </c>
      <c r="AH65">
        <f t="shared" si="37"/>
        <v>-4177.4108549183602</v>
      </c>
      <c r="AJ65">
        <f t="shared" si="20"/>
        <v>22100</v>
      </c>
      <c r="AK65">
        <f t="shared" si="21"/>
        <v>1836.3467322361982</v>
      </c>
      <c r="AL65">
        <v>1</v>
      </c>
      <c r="AM65">
        <f t="shared" si="22"/>
        <v>5.8943164485088806</v>
      </c>
      <c r="AN65">
        <f t="shared" si="38"/>
        <v>921.13252115083219</v>
      </c>
      <c r="AO65">
        <f t="shared" si="39"/>
        <v>-3593.0998384396053</v>
      </c>
      <c r="AQ65">
        <f t="shared" si="23"/>
        <v>10.395010395010395</v>
      </c>
      <c r="AR65">
        <f t="shared" si="24"/>
        <v>-322.24532224532226</v>
      </c>
      <c r="AT65">
        <f t="shared" si="52"/>
        <v>-1183198.357050352</v>
      </c>
      <c r="AU65">
        <f t="shared" si="53"/>
        <v>-5094959.480622693</v>
      </c>
      <c r="AV65">
        <f t="shared" si="42"/>
        <v>-1.7989808799276297</v>
      </c>
      <c r="AW65">
        <f t="shared" si="25"/>
        <v>-1131822.6843578562</v>
      </c>
      <c r="AX65">
        <f t="shared" si="26"/>
        <v>-356246.0952497893</v>
      </c>
      <c r="AY65">
        <f t="shared" si="50"/>
        <v>-2.8366553348681403</v>
      </c>
      <c r="BA65">
        <f t="shared" si="27"/>
        <v>4.4081419613231096</v>
      </c>
      <c r="BB65">
        <f t="shared" si="43"/>
        <v>12.885111444762558</v>
      </c>
      <c r="BC65">
        <f t="shared" si="44"/>
        <v>1.0376744549405106</v>
      </c>
      <c r="BD65">
        <f t="shared" si="28"/>
        <v>-120.5456331554341</v>
      </c>
      <c r="BF65">
        <f t="shared" si="29"/>
        <v>8.7770260109266331</v>
      </c>
      <c r="BG65">
        <f t="shared" si="30"/>
        <v>-112.50267851446068</v>
      </c>
      <c r="BH65">
        <f t="shared" si="45"/>
        <v>67.497321485539317</v>
      </c>
      <c r="BI65">
        <f t="shared" si="46"/>
        <v>67.497321485539317</v>
      </c>
      <c r="BJ65">
        <f t="shared" si="31"/>
        <v>0</v>
      </c>
      <c r="BK65">
        <f t="shared" si="47"/>
        <v>0</v>
      </c>
      <c r="BM65">
        <f t="shared" si="48"/>
        <v>-4.1080854338359272</v>
      </c>
      <c r="BN65">
        <f t="shared" si="32"/>
        <v>-171.95704535902658</v>
      </c>
      <c r="BQ65" s="47">
        <f t="shared" si="49"/>
        <v>29.787072245047696</v>
      </c>
      <c r="BR65" s="529"/>
      <c r="BS65" s="529"/>
      <c r="BT65" s="529">
        <v>354.81299999999999</v>
      </c>
      <c r="BU65" s="529">
        <v>23.629000000000001</v>
      </c>
      <c r="BV65" s="529">
        <v>-265.95490000000001</v>
      </c>
      <c r="BW65" s="49"/>
      <c r="BY65" s="529"/>
      <c r="BZ65" s="529"/>
      <c r="CA65" s="529"/>
      <c r="CC65" s="529"/>
    </row>
    <row r="66" spans="1:81">
      <c r="A66">
        <f t="shared" si="54"/>
        <v>16000</v>
      </c>
      <c r="B66">
        <f t="shared" si="33"/>
        <v>16</v>
      </c>
      <c r="C66">
        <f t="shared" si="0"/>
        <v>1.0032288591969014</v>
      </c>
      <c r="D66">
        <f t="shared" si="1"/>
        <v>8.0252042024406778E-2</v>
      </c>
      <c r="F66">
        <f t="shared" si="2"/>
        <v>3.8774203684381808E-2</v>
      </c>
      <c r="G66">
        <f t="shared" si="3"/>
        <v>6.0512670546877374E-2</v>
      </c>
      <c r="H66">
        <f t="shared" si="4"/>
        <v>-3.081079979453123</v>
      </c>
      <c r="J66">
        <f t="shared" si="5"/>
        <v>15</v>
      </c>
      <c r="M66">
        <f t="shared" si="6"/>
        <v>9.4123551124122823E-2</v>
      </c>
      <c r="N66">
        <f t="shared" si="7"/>
        <v>-1.5707963250000001</v>
      </c>
      <c r="O66">
        <f t="shared" si="8"/>
        <v>7.8600486777290968</v>
      </c>
      <c r="P66">
        <f t="shared" si="9"/>
        <v>1.4432249069244099</v>
      </c>
      <c r="Q66">
        <f t="shared" si="10"/>
        <v>6.1660847406411943</v>
      </c>
      <c r="R66">
        <f t="shared" si="11"/>
        <v>1.4078993929136994</v>
      </c>
      <c r="S66">
        <f t="shared" si="12"/>
        <v>0.99634166805196889</v>
      </c>
      <c r="T66">
        <f t="shared" si="13"/>
        <v>-8.5563598475909719E-2</v>
      </c>
      <c r="U66">
        <f t="shared" si="14"/>
        <v>0.99118204753468964</v>
      </c>
      <c r="V66">
        <f t="shared" si="15"/>
        <v>-0.13289802411088567</v>
      </c>
      <c r="X66">
        <f t="shared" si="34"/>
        <v>8.3945782505921063</v>
      </c>
      <c r="Y66">
        <f t="shared" si="16"/>
        <v>-111.09431559560477</v>
      </c>
      <c r="Z66">
        <f t="shared" si="35"/>
        <v>68.905684404395231</v>
      </c>
      <c r="AC66">
        <v>1</v>
      </c>
      <c r="AD66">
        <f t="shared" si="17"/>
        <v>7.7961763202400016</v>
      </c>
      <c r="AE66">
        <f t="shared" si="18"/>
        <v>-6.426808443242057E-5</v>
      </c>
      <c r="AF66">
        <f t="shared" si="19"/>
        <v>4.8073907367360004E-4</v>
      </c>
      <c r="AG66">
        <f t="shared" si="36"/>
        <v>15659.120689723517</v>
      </c>
      <c r="AH66">
        <f t="shared" si="37"/>
        <v>-4173.5357088674191</v>
      </c>
      <c r="AJ66">
        <f t="shared" si="20"/>
        <v>22100</v>
      </c>
      <c r="AK66">
        <f t="shared" si="21"/>
        <v>1895.583723598656</v>
      </c>
      <c r="AL66">
        <v>1</v>
      </c>
      <c r="AM66">
        <f t="shared" si="22"/>
        <v>6.0844556887833603</v>
      </c>
      <c r="AN66">
        <f t="shared" si="38"/>
        <v>884.6150313396206</v>
      </c>
      <c r="AO66">
        <f t="shared" si="39"/>
        <v>-3486.8172362189684</v>
      </c>
      <c r="AQ66">
        <f t="shared" si="23"/>
        <v>9.7560975609756095</v>
      </c>
      <c r="AR66">
        <f t="shared" si="24"/>
        <v>-312.19512195121951</v>
      </c>
      <c r="AT66">
        <f t="shared" si="52"/>
        <v>-1150185.5804295989</v>
      </c>
      <c r="AU66">
        <f t="shared" si="53"/>
        <v>-4929418.5149270231</v>
      </c>
      <c r="AV66">
        <f t="shared" si="42"/>
        <v>-1.8000259373460006</v>
      </c>
      <c r="AW66">
        <f t="shared" si="25"/>
        <v>-1063559.5105012504</v>
      </c>
      <c r="AX66">
        <f t="shared" si="26"/>
        <v>-331698.33703535091</v>
      </c>
      <c r="AY66">
        <f t="shared" si="50"/>
        <v>-2.8392766690859661</v>
      </c>
      <c r="BA66">
        <f t="shared" si="27"/>
        <v>4.5434888375748956</v>
      </c>
      <c r="BB66">
        <f t="shared" si="43"/>
        <v>13.14778930833822</v>
      </c>
      <c r="BC66">
        <f t="shared" si="44"/>
        <v>1.0392507317399655</v>
      </c>
      <c r="BD66">
        <f t="shared" si="28"/>
        <v>-120.45531914737775</v>
      </c>
      <c r="BF66">
        <f t="shared" si="29"/>
        <v>8.4684725710461795</v>
      </c>
      <c r="BG66">
        <f t="shared" si="30"/>
        <v>-112.39009520345519</v>
      </c>
      <c r="BH66">
        <f t="shared" si="45"/>
        <v>67.609904796544811</v>
      </c>
      <c r="BI66">
        <f t="shared" si="46"/>
        <v>67.609904796544811</v>
      </c>
      <c r="BJ66">
        <f t="shared" si="31"/>
        <v>0</v>
      </c>
      <c r="BK66">
        <f t="shared" si="47"/>
        <v>0</v>
      </c>
      <c r="BM66">
        <f t="shared" si="48"/>
        <v>-4.6793167372920399</v>
      </c>
      <c r="BN66">
        <f t="shared" si="32"/>
        <v>-171.93477605607745</v>
      </c>
      <c r="BQ66" s="47">
        <f t="shared" si="49"/>
        <v>30.049750108623357</v>
      </c>
      <c r="BR66" s="529"/>
      <c r="BS66" s="529"/>
      <c r="BT66" s="529">
        <v>363.07799999999997</v>
      </c>
      <c r="BU66" s="529">
        <v>23.6126</v>
      </c>
      <c r="BV66" s="529">
        <v>-265.39159999999998</v>
      </c>
      <c r="BW66" s="49"/>
      <c r="BY66" s="529"/>
      <c r="BZ66" s="529"/>
      <c r="CA66" s="529"/>
      <c r="CC66" s="529"/>
    </row>
    <row r="67" spans="1:81">
      <c r="A67">
        <f t="shared" si="54"/>
        <v>16500</v>
      </c>
      <c r="B67">
        <f t="shared" si="33"/>
        <v>16.5</v>
      </c>
      <c r="C67">
        <f t="shared" si="0"/>
        <v>1.0034334653915342</v>
      </c>
      <c r="D67">
        <f t="shared" si="1"/>
        <v>8.2748657812642845E-2</v>
      </c>
      <c r="F67">
        <f t="shared" si="2"/>
        <v>3.6378267927017566E-2</v>
      </c>
      <c r="G67">
        <f t="shared" si="3"/>
        <v>5.8545356288507697E-2</v>
      </c>
      <c r="H67">
        <f t="shared" si="4"/>
        <v>-3.0830472937114926</v>
      </c>
      <c r="J67">
        <f t="shared" si="5"/>
        <v>15</v>
      </c>
      <c r="M67">
        <f t="shared" si="6"/>
        <v>9.12713223021797E-2</v>
      </c>
      <c r="N67">
        <f t="shared" si="7"/>
        <v>-1.5707963250000001</v>
      </c>
      <c r="O67">
        <f t="shared" si="8"/>
        <v>8.1017586897965792</v>
      </c>
      <c r="P67">
        <f t="shared" si="9"/>
        <v>1.4470507591786648</v>
      </c>
      <c r="Q67">
        <f t="shared" si="10"/>
        <v>6.3537816710804869</v>
      </c>
      <c r="R67">
        <f t="shared" si="11"/>
        <v>1.4127526319568728</v>
      </c>
      <c r="S67">
        <f t="shared" si="12"/>
        <v>0.99611080272567576</v>
      </c>
      <c r="T67">
        <f t="shared" si="13"/>
        <v>-8.8223816150248283E-2</v>
      </c>
      <c r="U67">
        <f t="shared" si="14"/>
        <v>0.99063015729633197</v>
      </c>
      <c r="V67">
        <f t="shared" si="15"/>
        <v>-0.13700008540303302</v>
      </c>
      <c r="X67">
        <f t="shared" si="34"/>
        <v>8.0917397154356188</v>
      </c>
      <c r="Y67">
        <f t="shared" si="16"/>
        <v>-110.95416359501185</v>
      </c>
      <c r="Z67">
        <f t="shared" si="35"/>
        <v>69.045836404988151</v>
      </c>
      <c r="AC67">
        <v>1</v>
      </c>
      <c r="AD67">
        <f t="shared" si="17"/>
        <v>8.0398068302475014</v>
      </c>
      <c r="AE67">
        <f t="shared" si="18"/>
        <v>-6.8347601510650399E-5</v>
      </c>
      <c r="AF67">
        <f t="shared" si="19"/>
        <v>4.9576216972590007E-4</v>
      </c>
      <c r="AG67">
        <f t="shared" si="36"/>
        <v>15641.687545315706</v>
      </c>
      <c r="AH67">
        <f t="shared" si="37"/>
        <v>-4173.5169677131717</v>
      </c>
      <c r="AJ67">
        <f t="shared" si="20"/>
        <v>22100</v>
      </c>
      <c r="AK67">
        <f t="shared" si="21"/>
        <v>1954.8207149611139</v>
      </c>
      <c r="AL67">
        <v>1</v>
      </c>
      <c r="AM67">
        <f t="shared" si="22"/>
        <v>6.27459492905784</v>
      </c>
      <c r="AN67">
        <f t="shared" si="38"/>
        <v>851.25705150840622</v>
      </c>
      <c r="AO67">
        <f t="shared" si="39"/>
        <v>-3386.4724637582613</v>
      </c>
      <c r="AQ67">
        <f t="shared" si="23"/>
        <v>9.1743119266055047</v>
      </c>
      <c r="AR67">
        <f t="shared" si="24"/>
        <v>-302.75229357798167</v>
      </c>
      <c r="AT67">
        <f t="shared" si="52"/>
        <v>-1120040.1136625593</v>
      </c>
      <c r="AU67">
        <f t="shared" si="53"/>
        <v>-4773845.9262672616</v>
      </c>
      <c r="AV67">
        <f t="shared" si="42"/>
        <v>-1.8012482198953863</v>
      </c>
      <c r="AW67">
        <f t="shared" si="25"/>
        <v>-1001154.0803377862</v>
      </c>
      <c r="AX67">
        <f t="shared" si="26"/>
        <v>-309775.94988689845</v>
      </c>
      <c r="AY67">
        <f t="shared" si="50"/>
        <v>-2.8415172634566566</v>
      </c>
      <c r="BA67">
        <f t="shared" si="27"/>
        <v>4.6789621325974711</v>
      </c>
      <c r="BB67">
        <f t="shared" si="43"/>
        <v>13.402990608179957</v>
      </c>
      <c r="BC67">
        <f t="shared" si="44"/>
        <v>1.0402690435612703</v>
      </c>
      <c r="BD67">
        <f t="shared" si="28"/>
        <v>-120.39697417772204</v>
      </c>
      <c r="BF67">
        <f t="shared" si="29"/>
        <v>8.1714277544845348</v>
      </c>
      <c r="BG67">
        <f t="shared" si="30"/>
        <v>-112.30142349001368</v>
      </c>
      <c r="BH67">
        <f t="shared" si="45"/>
        <v>67.698576509986324</v>
      </c>
      <c r="BI67">
        <f t="shared" si="46"/>
        <v>67.698576509986324</v>
      </c>
      <c r="BJ67">
        <f t="shared" si="31"/>
        <v>0</v>
      </c>
      <c r="BK67">
        <f t="shared" si="47"/>
        <v>0</v>
      </c>
      <c r="BM67">
        <f t="shared" si="48"/>
        <v>-5.2315628536954204</v>
      </c>
      <c r="BN67">
        <f t="shared" si="32"/>
        <v>-171.90444931229163</v>
      </c>
      <c r="BQ67" s="47">
        <f t="shared" si="49"/>
        <v>30.304951408465094</v>
      </c>
      <c r="BR67" s="529"/>
      <c r="BS67" s="529"/>
      <c r="BT67" s="529">
        <v>371.53500000000003</v>
      </c>
      <c r="BU67" s="529">
        <v>23.315999999999999</v>
      </c>
      <c r="BV67" s="529">
        <v>-265.2439</v>
      </c>
      <c r="BW67" s="49"/>
      <c r="BY67" s="529"/>
      <c r="BZ67" s="529"/>
      <c r="CA67" s="529"/>
      <c r="CC67" s="529"/>
    </row>
    <row r="68" spans="1:81">
      <c r="A68">
        <f t="shared" si="54"/>
        <v>17000</v>
      </c>
      <c r="B68">
        <f t="shared" si="33"/>
        <v>17</v>
      </c>
      <c r="C68">
        <f t="shared" si="0"/>
        <v>1.0036443235048034</v>
      </c>
      <c r="D68">
        <f t="shared" si="1"/>
        <v>8.5244240110348396E-2</v>
      </c>
      <c r="F68">
        <f t="shared" si="2"/>
        <v>3.4199944328399255E-2</v>
      </c>
      <c r="G68">
        <f t="shared" si="3"/>
        <v>5.6705536135434428E-2</v>
      </c>
      <c r="H68">
        <f t="shared" si="4"/>
        <v>-3.0848871138645659</v>
      </c>
      <c r="J68">
        <f t="shared" si="5"/>
        <v>15</v>
      </c>
      <c r="M68">
        <f t="shared" si="6"/>
        <v>8.8586871646233231E-2</v>
      </c>
      <c r="N68">
        <f t="shared" si="7"/>
        <v>-1.5707963250000001</v>
      </c>
      <c r="O68">
        <f t="shared" si="8"/>
        <v>8.3435804166994654</v>
      </c>
      <c r="P68">
        <f t="shared" si="9"/>
        <v>1.4506548925595344</v>
      </c>
      <c r="Q68">
        <f t="shared" si="10"/>
        <v>6.541619667951724</v>
      </c>
      <c r="R68">
        <f t="shared" si="11"/>
        <v>1.4173272589796615</v>
      </c>
      <c r="S68">
        <f t="shared" si="12"/>
        <v>0.99587300173748283</v>
      </c>
      <c r="T68">
        <f t="shared" si="13"/>
        <v>-9.088278248943539E-2</v>
      </c>
      <c r="U68">
        <f t="shared" si="14"/>
        <v>0.99006224958132627</v>
      </c>
      <c r="V68">
        <f t="shared" si="15"/>
        <v>-0.14109751232395451</v>
      </c>
      <c r="X68">
        <f t="shared" si="34"/>
        <v>7.7994012574351599</v>
      </c>
      <c r="Y68">
        <f t="shared" si="16"/>
        <v>-110.83509555738046</v>
      </c>
      <c r="Z68">
        <f t="shared" si="35"/>
        <v>69.164904442619545</v>
      </c>
      <c r="AC68">
        <v>1</v>
      </c>
      <c r="AD68">
        <f t="shared" si="17"/>
        <v>8.2834373402550003</v>
      </c>
      <c r="AE68">
        <f t="shared" si="18"/>
        <v>-7.2552642191287296E-5</v>
      </c>
      <c r="AF68">
        <f t="shared" si="19"/>
        <v>5.1078526577820005E-4</v>
      </c>
      <c r="AG68">
        <f t="shared" si="36"/>
        <v>15623.758576088499</v>
      </c>
      <c r="AH68">
        <f t="shared" si="37"/>
        <v>-4176.9900359272724</v>
      </c>
      <c r="AJ68">
        <f t="shared" si="20"/>
        <v>22100</v>
      </c>
      <c r="AK68">
        <f t="shared" si="21"/>
        <v>2014.0577063235721</v>
      </c>
      <c r="AL68">
        <v>1</v>
      </c>
      <c r="AM68">
        <f t="shared" si="22"/>
        <v>6.4647341693323206</v>
      </c>
      <c r="AN68">
        <f t="shared" si="38"/>
        <v>820.70716615736524</v>
      </c>
      <c r="AO68">
        <f t="shared" si="39"/>
        <v>-3291.5959537498452</v>
      </c>
      <c r="AQ68">
        <f t="shared" si="23"/>
        <v>8.6430423509075194</v>
      </c>
      <c r="AR68">
        <f t="shared" si="24"/>
        <v>-293.86343993085563</v>
      </c>
      <c r="AT68">
        <f t="shared" si="52"/>
        <v>-1092427.853461009</v>
      </c>
      <c r="AU68">
        <f t="shared" si="53"/>
        <v>-4627353.3415984111</v>
      </c>
      <c r="AV68">
        <f t="shared" si="42"/>
        <v>-1.8026319851502082</v>
      </c>
      <c r="AW68">
        <f t="shared" si="25"/>
        <v>-943961.91750233551</v>
      </c>
      <c r="AX68">
        <f t="shared" si="26"/>
        <v>-290125.02962645318</v>
      </c>
      <c r="AY68">
        <f t="shared" si="50"/>
        <v>-2.8434080670855213</v>
      </c>
      <c r="BA68">
        <f t="shared" si="27"/>
        <v>4.8145412669188978</v>
      </c>
      <c r="BB68">
        <f t="shared" si="43"/>
        <v>13.651098270595687</v>
      </c>
      <c r="BC68">
        <f t="shared" si="44"/>
        <v>1.0407760819353131</v>
      </c>
      <c r="BD68">
        <f t="shared" si="28"/>
        <v>-120.36792301880502</v>
      </c>
      <c r="BF68">
        <f t="shared" si="29"/>
        <v>7.8850280861785995</v>
      </c>
      <c r="BG68">
        <f t="shared" si="30"/>
        <v>-112.23479992780183</v>
      </c>
      <c r="BH68">
        <f t="shared" si="45"/>
        <v>67.765200072198169</v>
      </c>
      <c r="BI68">
        <f t="shared" si="46"/>
        <v>67.765200072198169</v>
      </c>
      <c r="BJ68">
        <f t="shared" si="31"/>
        <v>0</v>
      </c>
      <c r="BK68">
        <f t="shared" si="47"/>
        <v>0</v>
      </c>
      <c r="BM68">
        <f t="shared" si="48"/>
        <v>-5.7660701844170861</v>
      </c>
      <c r="BN68">
        <f t="shared" si="32"/>
        <v>-171.86687690899683</v>
      </c>
      <c r="BQ68" s="47">
        <f t="shared" si="49"/>
        <v>30.553059070880828</v>
      </c>
      <c r="BR68" s="529"/>
      <c r="BS68" s="529"/>
      <c r="BT68" s="529">
        <v>380.18900000000002</v>
      </c>
      <c r="BU68" s="529">
        <v>23.2133</v>
      </c>
      <c r="BV68" s="529">
        <v>-265.49869999999999</v>
      </c>
      <c r="BW68" s="49"/>
      <c r="BY68" s="529"/>
      <c r="BZ68" s="529"/>
      <c r="CA68" s="529"/>
      <c r="CC68" s="529"/>
    </row>
    <row r="69" spans="1:81">
      <c r="A69">
        <f t="shared" si="54"/>
        <v>17500</v>
      </c>
      <c r="B69">
        <f t="shared" si="33"/>
        <v>17.5</v>
      </c>
      <c r="C69">
        <f t="shared" si="0"/>
        <v>1.0038614295971187</v>
      </c>
      <c r="D69">
        <f t="shared" si="1"/>
        <v>8.7738758494171232E-2</v>
      </c>
      <c r="F69">
        <f t="shared" si="2"/>
        <v>3.221341822203766E-2</v>
      </c>
      <c r="G69">
        <f t="shared" si="3"/>
        <v>5.4980926661972442E-2</v>
      </c>
      <c r="H69">
        <f t="shared" si="4"/>
        <v>-3.0866117233380277</v>
      </c>
      <c r="J69">
        <f t="shared" si="5"/>
        <v>15</v>
      </c>
      <c r="M69">
        <f t="shared" si="6"/>
        <v>8.6055818170626575E-2</v>
      </c>
      <c r="N69">
        <f t="shared" si="7"/>
        <v>-1.5707963250000001</v>
      </c>
      <c r="O69">
        <f t="shared" si="8"/>
        <v>8.5855044186687337</v>
      </c>
      <c r="P69">
        <f t="shared" si="9"/>
        <v>1.4540559521351386</v>
      </c>
      <c r="Q69">
        <f t="shared" si="10"/>
        <v>6.7295869188154196</v>
      </c>
      <c r="R69">
        <f t="shared" si="11"/>
        <v>1.4216464201218502</v>
      </c>
      <c r="S69">
        <f t="shared" si="12"/>
        <v>0.99562828013727911</v>
      </c>
      <c r="T69">
        <f t="shared" si="13"/>
        <v>-9.3540460804902248E-2</v>
      </c>
      <c r="U69">
        <f t="shared" si="14"/>
        <v>0.98947840907660178</v>
      </c>
      <c r="V69">
        <f t="shared" si="15"/>
        <v>-0.14519017537766365</v>
      </c>
      <c r="X69">
        <f t="shared" si="34"/>
        <v>7.5167969015660301</v>
      </c>
      <c r="Y69">
        <f t="shared" si="16"/>
        <v>-110.7354130327807</v>
      </c>
      <c r="Z69">
        <f t="shared" si="35"/>
        <v>69.264586967219302</v>
      </c>
      <c r="AC69">
        <v>1</v>
      </c>
      <c r="AD69">
        <f t="shared" si="17"/>
        <v>8.5270678502624992</v>
      </c>
      <c r="AE69">
        <f t="shared" si="18"/>
        <v>-7.6883206474331246E-5</v>
      </c>
      <c r="AF69">
        <f t="shared" si="19"/>
        <v>5.2580836183050014E-4</v>
      </c>
      <c r="AG69">
        <f t="shared" si="36"/>
        <v>15605.337323212323</v>
      </c>
      <c r="AH69">
        <f t="shared" si="37"/>
        <v>-4183.6313973098167</v>
      </c>
      <c r="AJ69">
        <f t="shared" si="20"/>
        <v>22100</v>
      </c>
      <c r="AK69">
        <f t="shared" si="21"/>
        <v>2073.2946976860303</v>
      </c>
      <c r="AL69">
        <v>1</v>
      </c>
      <c r="AM69">
        <f t="shared" si="22"/>
        <v>6.6548734096068003</v>
      </c>
      <c r="AN69">
        <f t="shared" si="38"/>
        <v>792.66112066450887</v>
      </c>
      <c r="AO69">
        <f t="shared" si="39"/>
        <v>-3201.7647170533373</v>
      </c>
      <c r="AQ69">
        <f t="shared" si="23"/>
        <v>8.1566068515497552</v>
      </c>
      <c r="AR69">
        <f t="shared" si="24"/>
        <v>-285.48123980424145</v>
      </c>
      <c r="AT69">
        <f t="shared" si="52"/>
        <v>-1067061.6768566989</v>
      </c>
      <c r="AU69">
        <f t="shared" si="53"/>
        <v>-4489155.2831137124</v>
      </c>
      <c r="AV69">
        <f t="shared" si="42"/>
        <v>-1.8041632189935584</v>
      </c>
      <c r="AW69">
        <f t="shared" si="25"/>
        <v>-891423.89447019051</v>
      </c>
      <c r="AX69">
        <f t="shared" si="26"/>
        <v>-272448.02007838315</v>
      </c>
      <c r="AY69">
        <f t="shared" si="50"/>
        <v>-2.8449765677757934</v>
      </c>
      <c r="BA69">
        <f t="shared" si="27"/>
        <v>4.9502073691431328</v>
      </c>
      <c r="BB69">
        <f t="shared" si="43"/>
        <v>13.892467846906593</v>
      </c>
      <c r="BC69">
        <f t="shared" si="44"/>
        <v>1.0408133487822351</v>
      </c>
      <c r="BD69">
        <f t="shared" si="28"/>
        <v>-120.36578778575819</v>
      </c>
      <c r="BF69">
        <f t="shared" si="29"/>
        <v>7.6085046096936892</v>
      </c>
      <c r="BG69">
        <f t="shared" si="30"/>
        <v>-112.18855216353138</v>
      </c>
      <c r="BH69">
        <f t="shared" si="45"/>
        <v>67.811447836468616</v>
      </c>
      <c r="BI69">
        <f t="shared" si="46"/>
        <v>67.811447836468616</v>
      </c>
      <c r="BJ69">
        <f t="shared" si="31"/>
        <v>0</v>
      </c>
      <c r="BK69">
        <f t="shared" si="47"/>
        <v>0</v>
      </c>
      <c r="BM69">
        <f t="shared" si="48"/>
        <v>-6.2839632372129053</v>
      </c>
      <c r="BN69">
        <f t="shared" si="32"/>
        <v>-171.82276437777318</v>
      </c>
      <c r="BQ69" s="47">
        <f t="shared" si="49"/>
        <v>30.794428647191729</v>
      </c>
      <c r="BR69" s="529"/>
      <c r="BS69" s="529"/>
      <c r="BT69" s="529">
        <v>389.04500000000002</v>
      </c>
      <c r="BU69" s="529">
        <v>22.955200000000001</v>
      </c>
      <c r="BV69" s="529">
        <v>-266.06720000000001</v>
      </c>
      <c r="BW69" s="49"/>
      <c r="BY69" s="529"/>
      <c r="BZ69" s="529"/>
      <c r="CA69" s="529"/>
      <c r="CC69" s="529"/>
    </row>
    <row r="70" spans="1:81">
      <c r="A70">
        <f t="shared" si="54"/>
        <v>18000</v>
      </c>
      <c r="B70">
        <f t="shared" si="33"/>
        <v>18</v>
      </c>
      <c r="C70">
        <f t="shared" si="0"/>
        <v>1.0040847796156116</v>
      </c>
      <c r="D70">
        <f t="shared" si="1"/>
        <v>9.0232182619655057E-2</v>
      </c>
      <c r="F70">
        <f t="shared" si="2"/>
        <v>3.0396623391173362E-2</v>
      </c>
      <c r="G70">
        <f t="shared" si="3"/>
        <v>5.3360800463482697E-2</v>
      </c>
      <c r="H70">
        <f t="shared" si="4"/>
        <v>-3.0882318495365175</v>
      </c>
      <c r="J70">
        <f t="shared" si="5"/>
        <v>15</v>
      </c>
      <c r="M70">
        <f t="shared" si="6"/>
        <v>8.3665378776998062E-2</v>
      </c>
      <c r="N70">
        <f t="shared" si="7"/>
        <v>-1.5707963250000001</v>
      </c>
      <c r="O70">
        <f t="shared" si="8"/>
        <v>8.8275222869638181</v>
      </c>
      <c r="P70">
        <f t="shared" si="9"/>
        <v>1.4572705583762395</v>
      </c>
      <c r="Q70">
        <f t="shared" si="10"/>
        <v>6.9176728873975195</v>
      </c>
      <c r="R70">
        <f t="shared" si="11"/>
        <v>1.4257307850007899</v>
      </c>
      <c r="S70">
        <f t="shared" si="12"/>
        <v>0.99537665339287651</v>
      </c>
      <c r="T70">
        <f t="shared" si="13"/>
        <v>-9.6196814516394932E-2</v>
      </c>
      <c r="U70">
        <f t="shared" si="14"/>
        <v>0.98887872257305476</v>
      </c>
      <c r="V70">
        <f t="shared" si="15"/>
        <v>-0.14927794600742894</v>
      </c>
      <c r="X70">
        <f t="shared" si="34"/>
        <v>7.243241886600198</v>
      </c>
      <c r="Y70">
        <f t="shared" si="16"/>
        <v>-110.65358636851219</v>
      </c>
      <c r="Z70">
        <f t="shared" si="35"/>
        <v>69.346413631487806</v>
      </c>
      <c r="AC70">
        <v>1</v>
      </c>
      <c r="AD70">
        <f t="shared" si="17"/>
        <v>8.7706983602699999</v>
      </c>
      <c r="AE70">
        <f t="shared" si="18"/>
        <v>-8.1339294359782292E-5</v>
      </c>
      <c r="AF70">
        <f t="shared" si="19"/>
        <v>5.4083145788280012E-4</v>
      </c>
      <c r="AG70">
        <f t="shared" si="36"/>
        <v>15586.42741224053</v>
      </c>
      <c r="AH70">
        <f t="shared" si="37"/>
        <v>-4193.1529208366601</v>
      </c>
      <c r="AJ70">
        <f t="shared" si="20"/>
        <v>22100</v>
      </c>
      <c r="AK70">
        <f t="shared" si="21"/>
        <v>2132.5316890484883</v>
      </c>
      <c r="AL70">
        <v>1</v>
      </c>
      <c r="AM70">
        <f t="shared" si="22"/>
        <v>6.84501264988128</v>
      </c>
      <c r="AN70">
        <f t="shared" si="38"/>
        <v>766.85448269449012</v>
      </c>
      <c r="AO70">
        <f t="shared" si="39"/>
        <v>-3116.5969456134621</v>
      </c>
      <c r="AQ70">
        <f t="shared" si="23"/>
        <v>7.7101002313030067</v>
      </c>
      <c r="AR70">
        <f t="shared" si="24"/>
        <v>-277.56360832690825</v>
      </c>
      <c r="AT70">
        <f t="shared" si="52"/>
        <v>-1043693.7373776349</v>
      </c>
      <c r="AU70">
        <f t="shared" si="53"/>
        <v>-4358554.6627717484</v>
      </c>
      <c r="AV70">
        <f t="shared" si="42"/>
        <v>-1.8058294046275616</v>
      </c>
      <c r="AW70">
        <f t="shared" si="25"/>
        <v>-843053.16360984731</v>
      </c>
      <c r="AX70">
        <f t="shared" si="26"/>
        <v>-256493.48706405476</v>
      </c>
      <c r="AY70">
        <f t="shared" si="50"/>
        <v>-2.8462472555851233</v>
      </c>
      <c r="BA70">
        <f t="shared" si="27"/>
        <v>5.0859430089468045</v>
      </c>
      <c r="BB70">
        <f t="shared" si="43"/>
        <v>14.12742978671675</v>
      </c>
      <c r="BC70">
        <f t="shared" si="44"/>
        <v>1.0404178509575617</v>
      </c>
      <c r="BD70">
        <f t="shared" si="28"/>
        <v>-120.38844814194448</v>
      </c>
      <c r="BF70">
        <f t="shared" si="29"/>
        <v>7.3411694993552601</v>
      </c>
      <c r="BG70">
        <f t="shared" si="30"/>
        <v>-112.1611762341862</v>
      </c>
      <c r="BH70">
        <f t="shared" si="45"/>
        <v>67.8388237658138</v>
      </c>
      <c r="BI70">
        <f t="shared" si="46"/>
        <v>67.8388237658138</v>
      </c>
      <c r="BJ70">
        <f t="shared" si="31"/>
        <v>0</v>
      </c>
      <c r="BK70">
        <f t="shared" si="47"/>
        <v>0</v>
      </c>
      <c r="BM70">
        <f t="shared" si="48"/>
        <v>-6.7862602873614879</v>
      </c>
      <c r="BN70">
        <f t="shared" si="32"/>
        <v>-171.77272809224175</v>
      </c>
      <c r="BQ70" s="47">
        <f t="shared" si="49"/>
        <v>31.029390587001885</v>
      </c>
      <c r="BR70" s="529"/>
      <c r="BS70" s="529"/>
      <c r="BT70" s="529">
        <v>398.10700000000003</v>
      </c>
      <c r="BU70" s="529">
        <v>22.738499999999998</v>
      </c>
      <c r="BV70" s="529">
        <v>-265.2319</v>
      </c>
      <c r="BW70" s="49"/>
      <c r="BY70" s="529"/>
      <c r="BZ70" s="529"/>
      <c r="CA70" s="529"/>
      <c r="CC70" s="529"/>
    </row>
    <row r="71" spans="1:81">
      <c r="A71">
        <f t="shared" si="54"/>
        <v>18500</v>
      </c>
      <c r="B71">
        <f t="shared" si="33"/>
        <v>18.5</v>
      </c>
      <c r="C71">
        <f t="shared" si="0"/>
        <v>1.004314369394512</v>
      </c>
      <c r="D71">
        <f t="shared" si="1"/>
        <v>9.2724482223384003E-2</v>
      </c>
      <c r="F71">
        <f t="shared" si="2"/>
        <v>2.8730602657688922E-2</v>
      </c>
      <c r="G71">
        <f t="shared" si="3"/>
        <v>5.1835744174906578E-2</v>
      </c>
      <c r="H71">
        <f t="shared" si="4"/>
        <v>-3.0897569058250935</v>
      </c>
      <c r="J71">
        <f t="shared" si="5"/>
        <v>15</v>
      </c>
      <c r="M71">
        <f t="shared" si="6"/>
        <v>8.1404152323565668E-2</v>
      </c>
      <c r="N71">
        <f t="shared" si="7"/>
        <v>-1.5707963250000001</v>
      </c>
      <c r="O71">
        <f t="shared" si="8"/>
        <v>9.0696265072779276</v>
      </c>
      <c r="P71">
        <f t="shared" si="9"/>
        <v>1.460313573557297</v>
      </c>
      <c r="Q71">
        <f t="shared" si="10"/>
        <v>7.1058681466490876</v>
      </c>
      <c r="R71">
        <f t="shared" si="11"/>
        <v>1.4295988669880257</v>
      </c>
      <c r="S71">
        <f t="shared" si="12"/>
        <v>0.99511813738732502</v>
      </c>
      <c r="T71">
        <f t="shared" si="13"/>
        <v>-9.8851807154885618E-2</v>
      </c>
      <c r="U71">
        <f t="shared" si="14"/>
        <v>0.98826327893073174</v>
      </c>
      <c r="V71">
        <f t="shared" si="15"/>
        <v>-0.15336069661766449</v>
      </c>
      <c r="X71">
        <f t="shared" si="34"/>
        <v>6.9781215544309241</v>
      </c>
      <c r="Y71">
        <f t="shared" si="16"/>
        <v>-110.58823496076383</v>
      </c>
      <c r="Z71">
        <f t="shared" si="35"/>
        <v>69.411765039236172</v>
      </c>
      <c r="AC71">
        <v>1</v>
      </c>
      <c r="AD71">
        <f t="shared" si="17"/>
        <v>9.0143288702775006</v>
      </c>
      <c r="AE71">
        <f t="shared" si="18"/>
        <v>-8.5920905847640391E-5</v>
      </c>
      <c r="AF71">
        <f t="shared" si="19"/>
        <v>5.5585455393510009E-4</v>
      </c>
      <c r="AG71">
        <f t="shared" si="36"/>
        <v>15567.03255137712</v>
      </c>
      <c r="AH71">
        <f t="shared" si="37"/>
        <v>-4205.297090085458</v>
      </c>
      <c r="AJ71">
        <f t="shared" si="20"/>
        <v>22100</v>
      </c>
      <c r="AK71">
        <f t="shared" si="21"/>
        <v>2191.7686804109462</v>
      </c>
      <c r="AL71">
        <v>1</v>
      </c>
      <c r="AM71">
        <f t="shared" si="22"/>
        <v>7.0351518901557606</v>
      </c>
      <c r="AN71">
        <f t="shared" si="38"/>
        <v>743.05659202138145</v>
      </c>
      <c r="AO71">
        <f t="shared" si="39"/>
        <v>-3035.7473074409727</v>
      </c>
      <c r="AQ71">
        <f t="shared" si="23"/>
        <v>7.2992700729927007</v>
      </c>
      <c r="AR71">
        <f t="shared" si="24"/>
        <v>-270.07299270072991</v>
      </c>
      <c r="AT71">
        <f t="shared" si="52"/>
        <v>-1022109.1954874803</v>
      </c>
      <c r="AU71">
        <f t="shared" si="53"/>
        <v>-4234930.6678178022</v>
      </c>
      <c r="AV71">
        <f t="shared" si="42"/>
        <v>-1.8076193274628958</v>
      </c>
      <c r="AW71">
        <f t="shared" si="25"/>
        <v>-798424.33871044626</v>
      </c>
      <c r="AX71">
        <f t="shared" si="26"/>
        <v>-242047.95943485806</v>
      </c>
      <c r="AY71">
        <f t="shared" si="50"/>
        <v>-2.8472420144312758</v>
      </c>
      <c r="BA71">
        <f t="shared" si="27"/>
        <v>5.2217319725416873</v>
      </c>
      <c r="BB71">
        <f t="shared" si="43"/>
        <v>14.356291521191878</v>
      </c>
      <c r="BC71">
        <f t="shared" si="44"/>
        <v>1.03962268696838</v>
      </c>
      <c r="BD71">
        <f t="shared" si="28"/>
        <v>-120.43400768259744</v>
      </c>
      <c r="BF71">
        <f t="shared" si="29"/>
        <v>7.0824049502042978</v>
      </c>
      <c r="BG71">
        <f t="shared" si="30"/>
        <v>-112.15131681505535</v>
      </c>
      <c r="BH71">
        <f t="shared" si="45"/>
        <v>67.848683184944647</v>
      </c>
      <c r="BI71">
        <f t="shared" si="46"/>
        <v>67.848683184944647</v>
      </c>
      <c r="BJ71">
        <f t="shared" si="31"/>
        <v>0</v>
      </c>
      <c r="BK71">
        <f t="shared" si="47"/>
        <v>0</v>
      </c>
      <c r="BM71">
        <f t="shared" si="48"/>
        <v>-7.27388657098758</v>
      </c>
      <c r="BN71">
        <f t="shared" si="32"/>
        <v>-171.71730913245793</v>
      </c>
      <c r="BQ71" s="47">
        <f t="shared" si="49"/>
        <v>31.258252321477013</v>
      </c>
      <c r="BR71" s="529"/>
      <c r="BS71" s="529"/>
      <c r="BT71" s="529">
        <v>407.38</v>
      </c>
      <c r="BU71" s="529">
        <v>22.7593</v>
      </c>
      <c r="BV71" s="529">
        <v>-265.7319</v>
      </c>
      <c r="BW71" s="49"/>
      <c r="BY71" s="529"/>
      <c r="BZ71" s="529"/>
      <c r="CA71" s="529"/>
      <c r="CC71" s="529"/>
    </row>
    <row r="72" spans="1:81">
      <c r="A72">
        <f t="shared" si="54"/>
        <v>19000</v>
      </c>
      <c r="B72">
        <f t="shared" si="33"/>
        <v>19</v>
      </c>
      <c r="C72">
        <f t="shared" si="0"/>
        <v>1.0045501946555313</v>
      </c>
      <c r="D72">
        <f t="shared" si="1"/>
        <v>9.5215627125112209E-2</v>
      </c>
      <c r="F72">
        <f t="shared" si="2"/>
        <v>2.7198993011570114E-2</v>
      </c>
      <c r="G72">
        <f t="shared" si="3"/>
        <v>5.0397460705740228E-2</v>
      </c>
      <c r="H72">
        <f t="shared" si="4"/>
        <v>-3.0911951892942602</v>
      </c>
      <c r="J72">
        <f t="shared" si="5"/>
        <v>15</v>
      </c>
      <c r="M72">
        <f t="shared" si="6"/>
        <v>7.9261937788735012E-2</v>
      </c>
      <c r="N72">
        <f t="shared" si="7"/>
        <v>-1.5707963250000001</v>
      </c>
      <c r="O72">
        <f t="shared" si="8"/>
        <v>9.3118103442352744</v>
      </c>
      <c r="P72">
        <f t="shared" si="9"/>
        <v>1.46319832734171</v>
      </c>
      <c r="Q72">
        <f t="shared" si="10"/>
        <v>7.2941642372155204</v>
      </c>
      <c r="R72">
        <f t="shared" si="11"/>
        <v>1.4332672953793624</v>
      </c>
      <c r="S72">
        <f t="shared" si="12"/>
        <v>0.99485274841616178</v>
      </c>
      <c r="T72">
        <f t="shared" si="13"/>
        <v>-0.10150540236546052</v>
      </c>
      <c r="U72">
        <f t="shared" si="14"/>
        <v>0.98763216904336015</v>
      </c>
      <c r="V72">
        <f t="shared" si="15"/>
        <v>-0.15743830059536304</v>
      </c>
      <c r="X72">
        <f t="shared" si="34"/>
        <v>6.7208820704092904</v>
      </c>
      <c r="Y72">
        <f t="shared" si="16"/>
        <v>-110.53811006770778</v>
      </c>
      <c r="Z72">
        <f t="shared" si="35"/>
        <v>69.461889932292223</v>
      </c>
      <c r="AC72">
        <v>1</v>
      </c>
      <c r="AD72">
        <f t="shared" si="17"/>
        <v>9.2579593802849995</v>
      </c>
      <c r="AE72">
        <f t="shared" si="18"/>
        <v>-9.0628040937905572E-5</v>
      </c>
      <c r="AF72">
        <f t="shared" si="19"/>
        <v>5.7087764998740007E-4</v>
      </c>
      <c r="AG72">
        <f t="shared" si="36"/>
        <v>15547.156529714672</v>
      </c>
      <c r="AH72">
        <f t="shared" si="37"/>
        <v>-4219.8329860981185</v>
      </c>
      <c r="AJ72">
        <f t="shared" si="20"/>
        <v>22100</v>
      </c>
      <c r="AK72">
        <f t="shared" si="21"/>
        <v>2251.0056717734042</v>
      </c>
      <c r="AL72">
        <v>1</v>
      </c>
      <c r="AM72">
        <f t="shared" si="22"/>
        <v>7.2252911304302403</v>
      </c>
      <c r="AN72">
        <f t="shared" si="38"/>
        <v>721.06554857418109</v>
      </c>
      <c r="AO72">
        <f t="shared" si="39"/>
        <v>-2958.9028407984415</v>
      </c>
      <c r="AQ72">
        <f t="shared" si="23"/>
        <v>6.9204152249134951</v>
      </c>
      <c r="AR72">
        <f t="shared" si="24"/>
        <v>-262.97577854671277</v>
      </c>
      <c r="AT72">
        <f t="shared" si="52"/>
        <v>-1002121.0861039017</v>
      </c>
      <c r="AU72">
        <f t="shared" si="53"/>
        <v>-4117728.5890329103</v>
      </c>
      <c r="AV72">
        <f t="shared" si="42"/>
        <v>-1.8095229095905241</v>
      </c>
      <c r="AW72">
        <f t="shared" si="25"/>
        <v>-757164.50002499763</v>
      </c>
      <c r="AX72">
        <f t="shared" si="26"/>
        <v>-228929.3793501046</v>
      </c>
      <c r="AY72">
        <f t="shared" si="50"/>
        <v>-2.8479804543804716</v>
      </c>
      <c r="BA72">
        <f t="shared" si="27"/>
        <v>5.3575590728257376</v>
      </c>
      <c r="BB72">
        <f t="shared" si="43"/>
        <v>14.579339366039568</v>
      </c>
      <c r="BC72">
        <f t="shared" si="44"/>
        <v>1.0384575447899476</v>
      </c>
      <c r="BD72">
        <f t="shared" si="28"/>
        <v>-120.50076541203057</v>
      </c>
      <c r="BF72">
        <f t="shared" si="29"/>
        <v>6.8316538989976099</v>
      </c>
      <c r="BG72">
        <f t="shared" si="30"/>
        <v>-112.15775002792167</v>
      </c>
      <c r="BH72">
        <f t="shared" si="45"/>
        <v>67.842249972078335</v>
      </c>
      <c r="BI72">
        <f t="shared" si="46"/>
        <v>67.842249972078335</v>
      </c>
      <c r="BJ72">
        <f t="shared" si="31"/>
        <v>0</v>
      </c>
      <c r="BK72">
        <f t="shared" si="47"/>
        <v>0</v>
      </c>
      <c r="BM72">
        <f t="shared" si="48"/>
        <v>-7.7476854670419595</v>
      </c>
      <c r="BN72">
        <f t="shared" si="32"/>
        <v>-171.65698461589113</v>
      </c>
      <c r="BQ72" s="47">
        <f t="shared" si="49"/>
        <v>31.481300166324708</v>
      </c>
      <c r="BR72" s="529"/>
      <c r="BS72" s="529"/>
      <c r="BT72" s="529">
        <v>416.86900000000003</v>
      </c>
      <c r="BU72" s="529">
        <v>22.4206</v>
      </c>
      <c r="BV72" s="529">
        <v>-265.24939999999998</v>
      </c>
      <c r="BW72" s="49"/>
      <c r="BY72" s="529"/>
      <c r="BZ72" s="529"/>
      <c r="CA72" s="529"/>
      <c r="CC72" s="529"/>
    </row>
    <row r="73" spans="1:81">
      <c r="A73">
        <f t="shared" si="54"/>
        <v>19500</v>
      </c>
      <c r="B73">
        <f t="shared" si="33"/>
        <v>19.5</v>
      </c>
      <c r="C73">
        <f t="shared" ref="C73:C136" si="55">SQRT((A73/Fesr)^2+1)</f>
        <v>1.004792251008257</v>
      </c>
      <c r="D73">
        <f t="shared" ref="D73:D136" si="56">ATAN(A73/Fesr)</f>
        <v>9.7705587229878266E-2</v>
      </c>
      <c r="F73">
        <f t="shared" ref="F73:F136" si="57">(Ro/(Ro+Rdcr))/SQRT((A73/(Q*Fo))^2+(1-(A73^2/Fo^2))^2)</f>
        <v>2.5787608153441336E-2</v>
      </c>
      <c r="G73">
        <f t="shared" ref="G73:G136" si="58">-ATAN(A73*Fo/(Q*(Fo^2-A73^2)))</f>
        <v>4.9038606480818071E-2</v>
      </c>
      <c r="H73">
        <f t="shared" ref="H73:H136" si="59">IF(G73&gt;0,G73-Pi,G73)</f>
        <v>-3.0925540435191823</v>
      </c>
      <c r="J73">
        <f t="shared" ref="J73:J136" si="60">Vin/Vramp</f>
        <v>15</v>
      </c>
      <c r="M73">
        <f t="shared" ref="M73:M136" si="61">1/(2*Pi*_Rfb1*(Cc1ea_u+Cc2ea_u)*A73)</f>
        <v>7.7229580409536674E-2</v>
      </c>
      <c r="N73">
        <f t="shared" ref="N73:N136" si="62">-Pi/2</f>
        <v>-1.5707963250000001</v>
      </c>
      <c r="O73">
        <f t="shared" ref="O73:O136" si="63">SQRT(1+(A73/Fz1_u)^2)</f>
        <v>9.5540677432865557</v>
      </c>
      <c r="P73">
        <f t="shared" ref="P73:P136" si="64">ATAN2(Fz1_u,A73)</f>
        <v>1.4659368086364191</v>
      </c>
      <c r="Q73">
        <f t="shared" ref="Q73:Q136" si="65">SQRT(1+(A73/Fz2_u)^2)</f>
        <v>7.4825535469363622</v>
      </c>
      <c r="R73">
        <f t="shared" ref="R73:R136" si="66">ATAN2(Fz2_u,A73)</f>
        <v>1.436751047624139</v>
      </c>
      <c r="S73">
        <f t="shared" ref="S73:S136" si="67">1/SQRT(1+(A73/Fp1_u)^2)</f>
        <v>0.9945805031845949</v>
      </c>
      <c r="T73">
        <f t="shared" ref="T73:T136" si="68">-ATAN2(Fp1_u,A73)</f>
        <v>-0.10415756391018435</v>
      </c>
      <c r="U73">
        <f t="shared" ref="U73:U136" si="69">1/SQRT(1+(A73/Fp2_u)^2)</f>
        <v>0.98698548580225232</v>
      </c>
      <c r="V73">
        <f t="shared" ref="V73:V136" si="70">-ATAN2(Fp2_u,A73)</f>
        <v>-0.16151063233106311</v>
      </c>
      <c r="X73">
        <f t="shared" si="34"/>
        <v>6.4710226262340989</v>
      </c>
      <c r="Y73">
        <f t="shared" ref="Y73:Y136" si="71">(180/Pi)*(D73+H73+N73+P73+R73+T73+V73)</f>
        <v>-110.50207983794422</v>
      </c>
      <c r="Z73">
        <f t="shared" si="35"/>
        <v>69.497920162055777</v>
      </c>
      <c r="AC73">
        <v>1</v>
      </c>
      <c r="AD73">
        <f t="shared" ref="AD73:AD136" si="72">Rcea1_u*Cc1ea_u*A73*2*Pi</f>
        <v>9.5015898902925002</v>
      </c>
      <c r="AE73">
        <f t="shared" ref="AE73:AE136" si="73">-Rcea1_u*Cc1ea_u*Cc2ea_u*(A73*2*Pi)^2</f>
        <v>-9.5460699630577834E-5</v>
      </c>
      <c r="AF73">
        <f t="shared" ref="AF73:AF136" si="74">(Cc2ea_u+Cc1ea_u)*A73*2*Pi</f>
        <v>5.8590074603970005E-4</v>
      </c>
      <c r="AG73">
        <f t="shared" si="36"/>
        <v>15526.803215443984</v>
      </c>
      <c r="AH73">
        <f t="shared" si="37"/>
        <v>-4236.5528884382011</v>
      </c>
      <c r="AJ73">
        <f t="shared" ref="AJ73:AJ136" si="75">_Rfb1</f>
        <v>22100</v>
      </c>
      <c r="AK73">
        <f t="shared" ref="AK73:AK136" si="76">_Rfb1*Rcea2_u*Cc3ea_u*A73*2*Pi</f>
        <v>2310.2426631358621</v>
      </c>
      <c r="AL73">
        <v>1</v>
      </c>
      <c r="AM73">
        <f t="shared" ref="AM73:AM136" si="77">(_Rfb1+Rcea2_u)*Cc3ea_u*A73*2*Pi</f>
        <v>7.41543037070472</v>
      </c>
      <c r="AN73">
        <f t="shared" si="38"/>
        <v>700.70404144125553</v>
      </c>
      <c r="AO73">
        <f t="shared" si="39"/>
        <v>-2885.7793666431635</v>
      </c>
      <c r="AQ73">
        <f t="shared" ref="AQ73:AQ136" si="78">Eadcg/(1+(Eadcg*A73/GBP)^2)</f>
        <v>6.5703022339027592</v>
      </c>
      <c r="AR73">
        <f t="shared" ref="AR73:AR136" si="79">-(A73*Eadcg*Eadcg/GBP)/(1+(Eadcg*A73/GBP)^2)</f>
        <v>-256.2417871222076</v>
      </c>
      <c r="AT73">
        <f t="shared" si="52"/>
        <v>-983566.09351935505</v>
      </c>
      <c r="AU73">
        <f t="shared" si="53"/>
        <v>-4006451.2371271583</v>
      </c>
      <c r="AV73">
        <f t="shared" si="42"/>
        <v>-1.8115310687627597</v>
      </c>
      <c r="AW73">
        <f t="shared" si="25"/>
        <v>-718945.6836956715</v>
      </c>
      <c r="AX73">
        <f t="shared" si="26"/>
        <v>-216981.8137249467</v>
      </c>
      <c r="AY73">
        <f t="shared" si="50"/>
        <v>-2.8484801947925962</v>
      </c>
      <c r="BA73">
        <f t="shared" ref="BA73:BA136" si="80">SQRT(AT73^2+AU73^2)/SQRT(AW73^2+AX73^2)</f>
        <v>5.4934099880370928</v>
      </c>
      <c r="BB73">
        <f t="shared" si="43"/>
        <v>14.796840256041987</v>
      </c>
      <c r="BC73">
        <f t="shared" si="44"/>
        <v>1.0369491260298365</v>
      </c>
      <c r="BD73">
        <f t="shared" ref="BD73:BD136" si="81">BC73*180/Pi-180</f>
        <v>-120.58719144082204</v>
      </c>
      <c r="BF73">
        <f t="shared" ref="BF73:BF136" si="82">20*LOG(BA73*J73*F73*C73)</f>
        <v>6.5884122277957138</v>
      </c>
      <c r="BG73">
        <f t="shared" ref="BG73:BG136" si="83">(180/Pi)*(D73+H73+BC73)</f>
        <v>-112.17936846354161</v>
      </c>
      <c r="BH73">
        <f t="shared" si="45"/>
        <v>67.820631536458393</v>
      </c>
      <c r="BI73">
        <f t="shared" si="46"/>
        <v>67.820631536458393</v>
      </c>
      <c r="BJ73">
        <f t="shared" ref="BJ73:BJ136" si="84">SUM((BF74&lt;0)*(BF73&gt;0))*A73</f>
        <v>0</v>
      </c>
      <c r="BK73">
        <f t="shared" si="47"/>
        <v>0</v>
      </c>
      <c r="BM73">
        <f t="shared" si="48"/>
        <v>-8.2084280282462743</v>
      </c>
      <c r="BN73">
        <f t="shared" ref="BN73:BN136" si="85">(H73+D73)*180/Pi</f>
        <v>-171.59217702271954</v>
      </c>
      <c r="BQ73" s="47">
        <f t="shared" si="49"/>
        <v>31.698801056327124</v>
      </c>
      <c r="BR73" s="529"/>
      <c r="BS73" s="529"/>
      <c r="BT73" s="529">
        <v>426.58</v>
      </c>
      <c r="BU73" s="529">
        <v>22.373699999999999</v>
      </c>
      <c r="BV73" s="529">
        <v>-265.14060000000001</v>
      </c>
      <c r="BW73" s="49"/>
      <c r="BY73" s="529"/>
      <c r="BZ73" s="529"/>
      <c r="CA73" s="529"/>
      <c r="CC73" s="529"/>
    </row>
    <row r="74" spans="1:81">
      <c r="A74">
        <f t="shared" si="54"/>
        <v>20000</v>
      </c>
      <c r="B74">
        <f t="shared" ref="B74:B137" si="86">A74/1000</f>
        <v>20</v>
      </c>
      <c r="C74">
        <f t="shared" si="55"/>
        <v>1.0050405339505561</v>
      </c>
      <c r="D74">
        <f t="shared" si="56"/>
        <v>0.1001943325301041</v>
      </c>
      <c r="F74">
        <f t="shared" si="57"/>
        <v>2.4484097826783582E-2</v>
      </c>
      <c r="G74">
        <f t="shared" si="58"/>
        <v>4.7752656616092092E-2</v>
      </c>
      <c r="H74">
        <f t="shared" si="59"/>
        <v>-3.093839993383908</v>
      </c>
      <c r="J74">
        <f t="shared" si="60"/>
        <v>15</v>
      </c>
      <c r="M74">
        <f t="shared" si="61"/>
        <v>7.5298840899298253E-2</v>
      </c>
      <c r="N74">
        <f t="shared" si="62"/>
        <v>-1.5707963250000001</v>
      </c>
      <c r="O74">
        <f t="shared" si="63"/>
        <v>9.7963932470283837</v>
      </c>
      <c r="P74">
        <f t="shared" si="64"/>
        <v>1.468539829434929</v>
      </c>
      <c r="Q74">
        <f t="shared" si="65"/>
        <v>7.6710292078345184</v>
      </c>
      <c r="R74">
        <f t="shared" si="66"/>
        <v>1.4400636482439912</v>
      </c>
      <c r="S74">
        <f t="shared" si="67"/>
        <v>0.99430141880462308</v>
      </c>
      <c r="T74">
        <f t="shared" si="68"/>
        <v>-0.10680825567094057</v>
      </c>
      <c r="U74">
        <f t="shared" si="69"/>
        <v>0.98632332405961176</v>
      </c>
      <c r="V74">
        <f t="shared" si="70"/>
        <v>-0.16557756723934353</v>
      </c>
      <c r="X74">
        <f t="shared" ref="X74:X137" si="87">20*LOG(C74*J74*O74*Q74*F74*M74*S74*U74)</f>
        <v>6.2280888514373656</v>
      </c>
      <c r="Y74">
        <f t="shared" si="71"/>
        <v>-110.47911625185723</v>
      </c>
      <c r="Z74">
        <f t="shared" ref="Z74:Z137" si="88">Y74+180</f>
        <v>69.520883748142765</v>
      </c>
      <c r="AC74">
        <v>1</v>
      </c>
      <c r="AD74">
        <f t="shared" si="72"/>
        <v>9.7452204003000009</v>
      </c>
      <c r="AE74">
        <f t="shared" si="73"/>
        <v>-1.0041888192565714E-4</v>
      </c>
      <c r="AF74">
        <f t="shared" si="74"/>
        <v>6.0092384209200003E-4</v>
      </c>
      <c r="AG74">
        <f t="shared" ref="AG74:AG137" si="89">AC74*AE74/(AE74^2+AF74^2)+AD74*AF74/(AE74^2+AF74^2)</f>
        <v>15505.97655403685</v>
      </c>
      <c r="AH74">
        <f t="shared" ref="AH74:AH137" si="90">AD74*AE74/(AE74^2+AF74^2)-AC74*AF74/(AE74^2+AF74^2)</f>
        <v>-4255.2693862500291</v>
      </c>
      <c r="AJ74">
        <f t="shared" si="75"/>
        <v>22100</v>
      </c>
      <c r="AK74">
        <f t="shared" si="76"/>
        <v>2369.4796544983201</v>
      </c>
      <c r="AL74">
        <v>1</v>
      </c>
      <c r="AM74">
        <f t="shared" si="77"/>
        <v>7.6055696109792006</v>
      </c>
      <c r="AN74">
        <f t="shared" ref="AN74:AN137" si="91">AJ74*AL74/(AL74^2+AM74^2)+AK74*AM74/(AL74^2+AM74^2)</f>
        <v>681.81586244469054</v>
      </c>
      <c r="AO74">
        <f t="shared" ref="AO74:AO137" si="92">AK74*AL74/(AL74^2+AM74^2)-AJ74*AM74/(AL74^2+AM74^2)</f>
        <v>-2816.1183491945931</v>
      </c>
      <c r="AQ74">
        <f t="shared" si="78"/>
        <v>6.2460961898813245</v>
      </c>
      <c r="AR74">
        <f t="shared" si="79"/>
        <v>-249.84384759525295</v>
      </c>
      <c r="AT74">
        <f t="shared" si="52"/>
        <v>-966301.0549404393</v>
      </c>
      <c r="AU74">
        <f t="shared" si="53"/>
        <v>-3900651.6648827228</v>
      </c>
      <c r="AV74">
        <f t="shared" ref="AV74:AV137" si="93">ATAN2(AT74,AU74)</f>
        <v>-1.8136355977752876</v>
      </c>
      <c r="AW74">
        <f t="shared" ref="AW74:AW137" si="94">AG74-AH74*AO74/_Rfb2+AG74*AN74/_Rfb2+AN74-AO74*AR74+AQ74*AN74</f>
        <v>-683478.58492159122</v>
      </c>
      <c r="AX74">
        <f t="shared" ref="AX74:AX137" si="95">AH74+AH74*AN74/_Rfb2+AG74*AO74/_Rfb2+AO74+AO74*AQ74+AN74*AR74</f>
        <v>-206071.16031136311</v>
      </c>
      <c r="AY74">
        <f t="shared" si="50"/>
        <v>-2.8487571065611288</v>
      </c>
      <c r="BA74">
        <f t="shared" si="80"/>
        <v>5.6292711239603328</v>
      </c>
      <c r="BB74">
        <f t="shared" ref="BB74:BB137" si="96">20*LOG(BA74)</f>
        <v>15.009043323903226</v>
      </c>
      <c r="BC74">
        <f t="shared" ref="BC74:BC137" si="97">AV74-AY74</f>
        <v>1.0351215087858412</v>
      </c>
      <c r="BD74">
        <f t="shared" si="81"/>
        <v>-120.69190619558796</v>
      </c>
      <c r="BF74">
        <f t="shared" si="82"/>
        <v>6.3522221761814617</v>
      </c>
      <c r="BG74">
        <f t="shared" si="83"/>
        <v>-112.21516811615703</v>
      </c>
      <c r="BH74">
        <f t="shared" ref="BH74:BH137" si="98">IF(BG74&gt;180,BG74-180,BG74+180)</f>
        <v>67.784831883842969</v>
      </c>
      <c r="BI74">
        <f t="shared" ref="BI74:BI137" si="99">IF(BH74&gt;180,BH74-360,BH74)</f>
        <v>67.784831883842969</v>
      </c>
      <c r="BJ74">
        <f t="shared" si="84"/>
        <v>0</v>
      </c>
      <c r="BK74">
        <f t="shared" ref="BK74:BK137" si="100">IF(BJ74&gt;0,BI74,0)</f>
        <v>0</v>
      </c>
      <c r="BM74">
        <f t="shared" ref="BM74:BM137" si="101">20*LOG(J74*F74*C74)</f>
        <v>-8.6568211477217645</v>
      </c>
      <c r="BN74">
        <f t="shared" si="85"/>
        <v>-171.52326192056907</v>
      </c>
      <c r="BQ74" s="47">
        <f t="shared" ref="BQ74:BQ137" si="102">20*LOG(BA74*7)</f>
        <v>31.911004124188359</v>
      </c>
      <c r="BR74" s="529"/>
      <c r="BS74" s="529"/>
      <c r="BT74" s="529">
        <v>436.51600000000002</v>
      </c>
      <c r="BU74" s="529">
        <v>22.074100000000001</v>
      </c>
      <c r="BV74" s="529">
        <v>-264.9151</v>
      </c>
      <c r="BW74" s="49"/>
      <c r="BY74" s="529"/>
      <c r="BZ74" s="529"/>
      <c r="CA74" s="529"/>
      <c r="CC74" s="529"/>
    </row>
    <row r="75" spans="1:81">
      <c r="A75">
        <f t="shared" si="54"/>
        <v>20500</v>
      </c>
      <c r="B75">
        <f t="shared" si="86"/>
        <v>20.5</v>
      </c>
      <c r="C75">
        <f t="shared" si="55"/>
        <v>1.005295038868989</v>
      </c>
      <c r="D75">
        <f t="shared" si="56"/>
        <v>0.10268183310767777</v>
      </c>
      <c r="F75">
        <f t="shared" si="57"/>
        <v>2.3277668125315277E-2</v>
      </c>
      <c r="G75">
        <f t="shared" si="58"/>
        <v>4.6533792553046856E-2</v>
      </c>
      <c r="H75">
        <f t="shared" si="59"/>
        <v>-3.0950588574469533</v>
      </c>
      <c r="J75">
        <f t="shared" si="60"/>
        <v>15</v>
      </c>
      <c r="M75">
        <f t="shared" si="61"/>
        <v>7.3462283804193423E-2</v>
      </c>
      <c r="N75">
        <f t="shared" si="62"/>
        <v>-1.5707963250000001</v>
      </c>
      <c r="O75">
        <f t="shared" si="63"/>
        <v>10.038781923537885</v>
      </c>
      <c r="P75">
        <f t="shared" si="64"/>
        <v>1.4710171652899109</v>
      </c>
      <c r="Q75">
        <f t="shared" si="65"/>
        <v>7.8595850077160527</v>
      </c>
      <c r="R75">
        <f t="shared" si="66"/>
        <v>1.4432173398509125</v>
      </c>
      <c r="S75">
        <f t="shared" si="67"/>
        <v>0.99401551279208966</v>
      </c>
      <c r="T75">
        <f t="shared" si="68"/>
        <v>-0.10945744165224705</v>
      </c>
      <c r="U75">
        <f t="shared" si="69"/>
        <v>0.9856457805912674</v>
      </c>
      <c r="V75">
        <f t="shared" si="70"/>
        <v>-0.16963898177883832</v>
      </c>
      <c r="X75">
        <f t="shared" si="87"/>
        <v>5.9916672164530071</v>
      </c>
      <c r="Y75">
        <f t="shared" si="71"/>
        <v>-110.46828371377707</v>
      </c>
      <c r="Z75">
        <f t="shared" si="88"/>
        <v>69.531716286222931</v>
      </c>
      <c r="AC75">
        <v>1</v>
      </c>
      <c r="AD75">
        <f t="shared" si="72"/>
        <v>9.9888509103074998</v>
      </c>
      <c r="AE75">
        <f t="shared" si="73"/>
        <v>-1.0550258782314353E-4</v>
      </c>
      <c r="AF75">
        <f t="shared" si="74"/>
        <v>6.1594693814430012E-4</v>
      </c>
      <c r="AG75">
        <f t="shared" si="89"/>
        <v>15484.680566403644</v>
      </c>
      <c r="AH75">
        <f t="shared" si="90"/>
        <v>-4275.812912237132</v>
      </c>
      <c r="AJ75">
        <f t="shared" si="75"/>
        <v>22100</v>
      </c>
      <c r="AK75">
        <f t="shared" si="76"/>
        <v>2428.716645860778</v>
      </c>
      <c r="AL75">
        <v>1</v>
      </c>
      <c r="AM75">
        <f t="shared" si="77"/>
        <v>7.7957088512536803</v>
      </c>
      <c r="AN75">
        <f t="shared" si="91"/>
        <v>664.26297964343371</v>
      </c>
      <c r="AO75">
        <f t="shared" si="92"/>
        <v>-2749.6841441056822</v>
      </c>
      <c r="AQ75">
        <f t="shared" si="78"/>
        <v>5.9453032104637336</v>
      </c>
      <c r="AR75">
        <f t="shared" si="79"/>
        <v>-243.75743162901307</v>
      </c>
      <c r="AT75">
        <f t="shared" si="52"/>
        <v>-950200.05252864899</v>
      </c>
      <c r="AU75">
        <f t="shared" si="53"/>
        <v>-3799926.9686967093</v>
      </c>
      <c r="AV75">
        <f t="shared" si="93"/>
        <v>-1.8158290609060019</v>
      </c>
      <c r="AW75">
        <f t="shared" si="94"/>
        <v>-650507.25789392111</v>
      </c>
      <c r="AX75">
        <f t="shared" si="95"/>
        <v>-196081.64292859857</v>
      </c>
      <c r="AY75">
        <f t="shared" ref="AY75:AY138" si="103">ATAN2(AW75,AX75)</f>
        <v>-2.8488255201521242</v>
      </c>
      <c r="BA75">
        <f t="shared" si="80"/>
        <v>5.7651294956989343</v>
      </c>
      <c r="BB75">
        <f t="shared" si="96"/>
        <v>15.216181336294678</v>
      </c>
      <c r="BC75">
        <f t="shared" si="97"/>
        <v>1.0329964592461223</v>
      </c>
      <c r="BD75">
        <f t="shared" si="81"/>
        <v>-120.81366256560921</v>
      </c>
      <c r="BF75">
        <f t="shared" si="82"/>
        <v>6.1226667450984866</v>
      </c>
      <c r="BG75">
        <f t="shared" si="83"/>
        <v>-112.26423696807653</v>
      </c>
      <c r="BH75">
        <f t="shared" si="98"/>
        <v>67.735763031923469</v>
      </c>
      <c r="BI75">
        <f t="shared" si="99"/>
        <v>67.735763031923469</v>
      </c>
      <c r="BJ75">
        <f t="shared" si="84"/>
        <v>0</v>
      </c>
      <c r="BK75">
        <f t="shared" si="100"/>
        <v>0</v>
      </c>
      <c r="BM75">
        <f t="shared" si="101"/>
        <v>-9.0935145911961914</v>
      </c>
      <c r="BN75">
        <f t="shared" si="85"/>
        <v>-171.45057440246734</v>
      </c>
      <c r="BQ75" s="47">
        <f t="shared" si="102"/>
        <v>32.118142136579813</v>
      </c>
      <c r="BR75" s="529"/>
      <c r="BS75" s="529"/>
      <c r="BT75" s="529">
        <v>446.68400000000003</v>
      </c>
      <c r="BU75" s="529">
        <v>21.761099999999999</v>
      </c>
      <c r="BV75" s="529">
        <v>-265.3082</v>
      </c>
      <c r="BW75" s="49"/>
      <c r="BY75" s="529"/>
      <c r="BZ75" s="529"/>
      <c r="CA75" s="529"/>
      <c r="CC75" s="529"/>
    </row>
    <row r="76" spans="1:81">
      <c r="A76">
        <f t="shared" si="54"/>
        <v>21000</v>
      </c>
      <c r="B76">
        <f t="shared" si="86"/>
        <v>21</v>
      </c>
      <c r="C76">
        <f t="shared" si="55"/>
        <v>1.0055557610392323</v>
      </c>
      <c r="D76">
        <f t="shared" si="56"/>
        <v>0.10516805913602037</v>
      </c>
      <c r="F76">
        <f t="shared" si="57"/>
        <v>2.2158850550189898E-2</v>
      </c>
      <c r="G76">
        <f t="shared" si="58"/>
        <v>4.5376807875029054E-2</v>
      </c>
      <c r="H76">
        <f t="shared" si="59"/>
        <v>-3.096215842124971</v>
      </c>
      <c r="J76">
        <f t="shared" si="60"/>
        <v>15</v>
      </c>
      <c r="M76">
        <f t="shared" si="61"/>
        <v>7.1713181808855483E-2</v>
      </c>
      <c r="N76">
        <f t="shared" si="62"/>
        <v>-1.5707963250000001</v>
      </c>
      <c r="O76">
        <f t="shared" si="63"/>
        <v>10.281229304761746</v>
      </c>
      <c r="P76">
        <f t="shared" si="64"/>
        <v>1.4733776762010979</v>
      </c>
      <c r="Q76">
        <f t="shared" si="65"/>
        <v>8.0482153140285675</v>
      </c>
      <c r="R76">
        <f t="shared" si="66"/>
        <v>1.4462232306993243</v>
      </c>
      <c r="S76">
        <f t="shared" si="67"/>
        <v>0.99372280306367666</v>
      </c>
      <c r="T76">
        <f t="shared" si="68"/>
        <v>-0.11210508598404628</v>
      </c>
      <c r="U76">
        <f t="shared" si="69"/>
        <v>0.98495295405886385</v>
      </c>
      <c r="V76">
        <f t="shared" si="70"/>
        <v>-0.17369475347176533</v>
      </c>
      <c r="X76">
        <f t="shared" si="87"/>
        <v>5.7613802541430426</v>
      </c>
      <c r="Y76">
        <f t="shared" si="71"/>
        <v>-110.46872906899027</v>
      </c>
      <c r="Z76">
        <f t="shared" si="88"/>
        <v>69.531270931009729</v>
      </c>
      <c r="AC76">
        <v>1</v>
      </c>
      <c r="AD76">
        <f t="shared" si="72"/>
        <v>10.232481420315001</v>
      </c>
      <c r="AE76">
        <f t="shared" si="73"/>
        <v>-1.1071181732303701E-4</v>
      </c>
      <c r="AF76">
        <f t="shared" si="74"/>
        <v>6.309700341966001E-4</v>
      </c>
      <c r="AG76">
        <f t="shared" si="89"/>
        <v>15462.919347027155</v>
      </c>
      <c r="AH76">
        <f t="shared" si="90"/>
        <v>-4298.0296290646547</v>
      </c>
      <c r="AJ76">
        <f t="shared" si="75"/>
        <v>22100</v>
      </c>
      <c r="AK76">
        <f t="shared" si="76"/>
        <v>2487.953637223236</v>
      </c>
      <c r="AL76">
        <v>1</v>
      </c>
      <c r="AM76">
        <f t="shared" si="77"/>
        <v>7.98584809152816</v>
      </c>
      <c r="AN76">
        <f t="shared" si="91"/>
        <v>647.92307091999055</v>
      </c>
      <c r="AO76">
        <f t="shared" si="92"/>
        <v>-2686.2615821402346</v>
      </c>
      <c r="AQ76">
        <f t="shared" si="78"/>
        <v>5.6657223796033991</v>
      </c>
      <c r="AR76">
        <f t="shared" si="79"/>
        <v>-237.96033994334277</v>
      </c>
      <c r="AT76">
        <f t="shared" si="52"/>
        <v>-935151.98342033057</v>
      </c>
      <c r="AU76">
        <f t="shared" si="53"/>
        <v>-3703912.9869926637</v>
      </c>
      <c r="AV76">
        <f t="shared" si="93"/>
        <v>-1.8181047046753904</v>
      </c>
      <c r="AW76">
        <f t="shared" si="94"/>
        <v>-619804.63776163978</v>
      </c>
      <c r="AX76">
        <f t="shared" si="95"/>
        <v>-186912.9364039498</v>
      </c>
      <c r="AY76">
        <f t="shared" si="103"/>
        <v>-2.848698404925349</v>
      </c>
      <c r="BA76">
        <f t="shared" si="80"/>
        <v>5.9009726257863928</v>
      </c>
      <c r="BB76">
        <f t="shared" si="96"/>
        <v>15.418471999617838</v>
      </c>
      <c r="BC76">
        <f t="shared" si="97"/>
        <v>1.0305937002499586</v>
      </c>
      <c r="BD76">
        <f t="shared" si="81"/>
        <v>-120.95133051543378</v>
      </c>
      <c r="BF76">
        <f t="shared" si="82"/>
        <v>5.8993649191848228</v>
      </c>
      <c r="BG76">
        <f t="shared" si="83"/>
        <v>-112.3257449984862</v>
      </c>
      <c r="BH76">
        <f t="shared" si="98"/>
        <v>67.674255001513799</v>
      </c>
      <c r="BI76">
        <f t="shared" si="99"/>
        <v>67.674255001513799</v>
      </c>
      <c r="BJ76">
        <f t="shared" si="84"/>
        <v>0</v>
      </c>
      <c r="BK76">
        <f t="shared" si="100"/>
        <v>0</v>
      </c>
      <c r="BM76">
        <f t="shared" si="101"/>
        <v>-9.5191070804330167</v>
      </c>
      <c r="BN76">
        <f t="shared" si="85"/>
        <v>-171.37441448305242</v>
      </c>
      <c r="BQ76" s="47">
        <f t="shared" si="102"/>
        <v>32.320432799902974</v>
      </c>
      <c r="BR76" s="529"/>
      <c r="BS76" s="529"/>
      <c r="BT76" s="529">
        <v>457.08800000000002</v>
      </c>
      <c r="BU76" s="529">
        <v>21.6126</v>
      </c>
      <c r="BV76" s="529">
        <v>-265.65139999999997</v>
      </c>
      <c r="BW76" s="49"/>
      <c r="BY76" s="529"/>
      <c r="BZ76" s="529"/>
      <c r="CA76" s="529"/>
      <c r="CC76" s="529"/>
    </row>
    <row r="77" spans="1:81">
      <c r="A77">
        <f t="shared" si="54"/>
        <v>21500</v>
      </c>
      <c r="B77">
        <f t="shared" si="86"/>
        <v>21.5</v>
      </c>
      <c r="C77">
        <f t="shared" si="55"/>
        <v>1.0058226956265115</v>
      </c>
      <c r="D77">
        <f t="shared" si="56"/>
        <v>0.10765298088213587</v>
      </c>
      <c r="F77">
        <f t="shared" si="57"/>
        <v>2.1119310294279835E-2</v>
      </c>
      <c r="G77">
        <f t="shared" si="58"/>
        <v>4.4277028939583796E-2</v>
      </c>
      <c r="H77">
        <f t="shared" si="59"/>
        <v>-3.0973156210604165</v>
      </c>
      <c r="J77">
        <f t="shared" si="60"/>
        <v>15</v>
      </c>
      <c r="M77">
        <f t="shared" si="61"/>
        <v>7.0045433394696058E-2</v>
      </c>
      <c r="N77">
        <f t="shared" si="62"/>
        <v>-1.5707963250000001</v>
      </c>
      <c r="O77">
        <f t="shared" si="63"/>
        <v>10.523731333355363</v>
      </c>
      <c r="P77">
        <f t="shared" si="64"/>
        <v>1.4756294110215211</v>
      </c>
      <c r="Q77">
        <f t="shared" si="65"/>
        <v>8.2369150080474434</v>
      </c>
      <c r="R77">
        <f t="shared" si="66"/>
        <v>1.449091422423902</v>
      </c>
      <c r="S77">
        <f t="shared" si="67"/>
        <v>0.99342330793383471</v>
      </c>
      <c r="T77">
        <f t="shared" si="68"/>
        <v>-0.11475115292447029</v>
      </c>
      <c r="U77">
        <f t="shared" si="69"/>
        <v>0.98424494497153725</v>
      </c>
      <c r="V77">
        <f t="shared" si="70"/>
        <v>-0.17774476092296299</v>
      </c>
      <c r="X77">
        <f t="shared" si="87"/>
        <v>5.5368824607401592</v>
      </c>
      <c r="Y77">
        <f t="shared" si="71"/>
        <v>-110.4796728514285</v>
      </c>
      <c r="Z77">
        <f t="shared" si="88"/>
        <v>69.520327148571496</v>
      </c>
      <c r="AC77">
        <v>1</v>
      </c>
      <c r="AD77">
        <f t="shared" si="72"/>
        <v>10.476111930322501</v>
      </c>
      <c r="AE77">
        <f t="shared" si="73"/>
        <v>-1.1604657042533755E-4</v>
      </c>
      <c r="AF77">
        <f t="shared" si="74"/>
        <v>6.4599313024890008E-4</v>
      </c>
      <c r="AG77">
        <f t="shared" si="89"/>
        <v>15440.69706207425</v>
      </c>
      <c r="AH77">
        <f t="shared" si="90"/>
        <v>-4321.7796108057846</v>
      </c>
      <c r="AJ77">
        <f t="shared" si="75"/>
        <v>22100</v>
      </c>
      <c r="AK77">
        <f t="shared" si="76"/>
        <v>2547.190628585694</v>
      </c>
      <c r="AL77">
        <v>1</v>
      </c>
      <c r="AM77">
        <f t="shared" si="77"/>
        <v>8.1759873318026397</v>
      </c>
      <c r="AN77">
        <f t="shared" si="91"/>
        <v>632.68743727552351</v>
      </c>
      <c r="AO77">
        <f t="shared" si="92"/>
        <v>-2625.6538435696634</v>
      </c>
      <c r="AQ77">
        <f t="shared" si="78"/>
        <v>5.4054054054054053</v>
      </c>
      <c r="AR77">
        <f t="shared" si="79"/>
        <v>-232.43243243243242</v>
      </c>
      <c r="AT77">
        <f t="shared" si="52"/>
        <v>-921058.52001391619</v>
      </c>
      <c r="AU77">
        <f t="shared" si="53"/>
        <v>-3612279.7474594512</v>
      </c>
      <c r="AV77">
        <f t="shared" si="93"/>
        <v>-1.8204563806807721</v>
      </c>
      <c r="AW77">
        <f t="shared" si="94"/>
        <v>-591168.74328826368</v>
      </c>
      <c r="AX77">
        <f t="shared" si="95"/>
        <v>-178477.7967488851</v>
      </c>
      <c r="AY77">
        <f t="shared" si="103"/>
        <v>-2.8483875242429808</v>
      </c>
      <c r="BA77">
        <f t="shared" si="80"/>
        <v>6.0367884560088001</v>
      </c>
      <c r="BB77">
        <f t="shared" si="96"/>
        <v>15.61611914735683</v>
      </c>
      <c r="BC77">
        <f t="shared" si="97"/>
        <v>1.0279311435622087</v>
      </c>
      <c r="BD77">
        <f t="shared" si="81"/>
        <v>-121.10388377653049</v>
      </c>
      <c r="BF77">
        <f t="shared" si="82"/>
        <v>5.6819675685617579</v>
      </c>
      <c r="BG77">
        <f t="shared" si="83"/>
        <v>-112.39893542241796</v>
      </c>
      <c r="BH77">
        <f t="shared" si="98"/>
        <v>67.601064577582036</v>
      </c>
      <c r="BI77">
        <f t="shared" si="99"/>
        <v>67.601064577582036</v>
      </c>
      <c r="BJ77">
        <f t="shared" si="84"/>
        <v>0</v>
      </c>
      <c r="BK77">
        <f t="shared" si="100"/>
        <v>0</v>
      </c>
      <c r="BM77">
        <f t="shared" si="101"/>
        <v>-9.934151578795074</v>
      </c>
      <c r="BN77">
        <f t="shared" si="85"/>
        <v>-171.29505164588747</v>
      </c>
      <c r="BQ77" s="47">
        <f t="shared" si="102"/>
        <v>32.518079947641965</v>
      </c>
      <c r="BR77" s="528"/>
      <c r="BS77" s="528"/>
      <c r="BT77" s="528">
        <v>467.73500000000001</v>
      </c>
      <c r="BU77" s="528">
        <v>21.3672</v>
      </c>
      <c r="BV77" s="528">
        <v>-265.05009999999999</v>
      </c>
      <c r="BW77" s="49"/>
      <c r="BY77" s="528"/>
      <c r="BZ77" s="528"/>
      <c r="CA77" s="528"/>
      <c r="CC77" s="528"/>
    </row>
    <row r="78" spans="1:81">
      <c r="A78">
        <f t="shared" si="54"/>
        <v>22000</v>
      </c>
      <c r="B78">
        <f t="shared" si="86"/>
        <v>22</v>
      </c>
      <c r="C78">
        <f t="shared" si="55"/>
        <v>1.006095837686042</v>
      </c>
      <c r="D78">
        <f t="shared" si="56"/>
        <v>0.11013656870864447</v>
      </c>
      <c r="F78">
        <f t="shared" si="57"/>
        <v>2.0151686282830868E-2</v>
      </c>
      <c r="G78">
        <f t="shared" si="58"/>
        <v>4.3230247658328239E-2</v>
      </c>
      <c r="H78">
        <f t="shared" si="59"/>
        <v>-3.0983624023416718</v>
      </c>
      <c r="J78">
        <f t="shared" si="60"/>
        <v>15</v>
      </c>
      <c r="M78">
        <f t="shared" si="61"/>
        <v>6.8453491726634771E-2</v>
      </c>
      <c r="N78">
        <f t="shared" si="62"/>
        <v>-1.5707963250000001</v>
      </c>
      <c r="O78">
        <f t="shared" si="63"/>
        <v>10.766284316653179</v>
      </c>
      <c r="P78">
        <f t="shared" si="64"/>
        <v>1.4777796979374438</v>
      </c>
      <c r="Q78">
        <f t="shared" si="65"/>
        <v>8.4256794277977871</v>
      </c>
      <c r="R78">
        <f t="shared" si="66"/>
        <v>1.451831120983152</v>
      </c>
      <c r="S78">
        <f t="shared" si="67"/>
        <v>0.99311704611165474</v>
      </c>
      <c r="T78">
        <f t="shared" si="68"/>
        <v>-0.11739560686257888</v>
      </c>
      <c r="U78">
        <f t="shared" si="69"/>
        <v>0.9835218556471006</v>
      </c>
      <c r="V78">
        <f t="shared" si="70"/>
        <v>-0.18178888383842945</v>
      </c>
      <c r="X78">
        <f t="shared" si="87"/>
        <v>5.3178567638315268</v>
      </c>
      <c r="Y78">
        <f t="shared" si="71"/>
        <v>-110.50040159548345</v>
      </c>
      <c r="Z78">
        <f t="shared" si="88"/>
        <v>69.499598404516547</v>
      </c>
      <c r="AC78">
        <v>1</v>
      </c>
      <c r="AD78">
        <f t="shared" si="72"/>
        <v>10.71974244033</v>
      </c>
      <c r="AE78">
        <f t="shared" si="73"/>
        <v>-1.2150684713004513E-4</v>
      </c>
      <c r="AF78">
        <f t="shared" si="74"/>
        <v>6.6101622630120006E-4</v>
      </c>
      <c r="AG78">
        <f t="shared" si="89"/>
        <v>15418.017947486907</v>
      </c>
      <c r="AH78">
        <f t="shared" si="90"/>
        <v>-4346.935272484955</v>
      </c>
      <c r="AJ78">
        <f t="shared" si="75"/>
        <v>22100</v>
      </c>
      <c r="AK78">
        <f t="shared" si="76"/>
        <v>2606.4276199481519</v>
      </c>
      <c r="AL78">
        <v>1</v>
      </c>
      <c r="AM78">
        <f t="shared" si="77"/>
        <v>8.3661265720771212</v>
      </c>
      <c r="AN78">
        <f t="shared" si="91"/>
        <v>618.45923082564718</v>
      </c>
      <c r="AO78">
        <f t="shared" si="92"/>
        <v>-2567.6805848086719</v>
      </c>
      <c r="AQ78">
        <f t="shared" si="78"/>
        <v>5.1626226122870422</v>
      </c>
      <c r="AR78">
        <f t="shared" si="79"/>
        <v>-227.15539494062983</v>
      </c>
      <c r="AT78">
        <f t="shared" si="52"/>
        <v>-907832.39051033091</v>
      </c>
      <c r="AU78">
        <f t="shared" si="53"/>
        <v>-3524727.5423949864</v>
      </c>
      <c r="AV78">
        <f t="shared" si="93"/>
        <v>-1.8228784786491377</v>
      </c>
      <c r="AW78">
        <f t="shared" si="94"/>
        <v>-564419.44538409694</v>
      </c>
      <c r="AX78">
        <f t="shared" si="95"/>
        <v>-170700.09881995499</v>
      </c>
      <c r="AY78">
        <f t="shared" si="103"/>
        <v>-2.8479035700845836</v>
      </c>
      <c r="BA78">
        <f t="shared" si="80"/>
        <v>6.1725652707896259</v>
      </c>
      <c r="BB78">
        <f t="shared" si="96"/>
        <v>15.809313820095241</v>
      </c>
      <c r="BC78">
        <f t="shared" si="97"/>
        <v>1.025025091435446</v>
      </c>
      <c r="BD78">
        <f t="shared" si="81"/>
        <v>-121.27038829862929</v>
      </c>
      <c r="BF78">
        <f t="shared" si="82"/>
        <v>5.4701539177041028</v>
      </c>
      <c r="BG78">
        <f t="shared" si="83"/>
        <v>-112.48311699340289</v>
      </c>
      <c r="BH78">
        <f t="shared" si="98"/>
        <v>67.516883006597112</v>
      </c>
      <c r="BI78">
        <f t="shared" si="99"/>
        <v>67.516883006597112</v>
      </c>
      <c r="BJ78">
        <f t="shared" si="84"/>
        <v>0</v>
      </c>
      <c r="BK78">
        <f t="shared" si="100"/>
        <v>0</v>
      </c>
      <c r="BM78">
        <f t="shared" si="101"/>
        <v>-10.339159902391138</v>
      </c>
      <c r="BN78">
        <f t="shared" si="85"/>
        <v>-171.2127286947736</v>
      </c>
      <c r="BQ78" s="47">
        <f t="shared" si="102"/>
        <v>32.711274620380372</v>
      </c>
      <c r="BR78" s="528"/>
      <c r="BS78" s="528"/>
      <c r="BT78" s="528">
        <v>478.63</v>
      </c>
      <c r="BU78" s="528">
        <v>21.195799999999998</v>
      </c>
      <c r="BV78" s="528">
        <v>-264.35129999999998</v>
      </c>
      <c r="BW78" s="49"/>
      <c r="BY78" s="528"/>
      <c r="BZ78" s="528"/>
      <c r="CA78" s="528"/>
      <c r="CC78" s="528"/>
    </row>
    <row r="79" spans="1:81">
      <c r="A79">
        <f t="shared" si="54"/>
        <v>22500</v>
      </c>
      <c r="B79">
        <f t="shared" si="86"/>
        <v>22.5</v>
      </c>
      <c r="C79">
        <f t="shared" si="55"/>
        <v>1.0063751821634812</v>
      </c>
      <c r="D79">
        <f t="shared" si="56"/>
        <v>0.11261879307579838</v>
      </c>
      <c r="F79">
        <f t="shared" si="57"/>
        <v>1.92494570700333E-2</v>
      </c>
      <c r="G79">
        <f t="shared" si="58"/>
        <v>4.2232664294240621E-2</v>
      </c>
      <c r="H79">
        <f t="shared" si="59"/>
        <v>-3.0993599857057594</v>
      </c>
      <c r="J79">
        <f t="shared" si="60"/>
        <v>15</v>
      </c>
      <c r="M79">
        <f t="shared" si="61"/>
        <v>6.6932303021598444E-2</v>
      </c>
      <c r="N79">
        <f t="shared" si="62"/>
        <v>-1.5707963250000001</v>
      </c>
      <c r="O79">
        <f t="shared" si="63"/>
        <v>11.008884886680939</v>
      </c>
      <c r="P79">
        <f t="shared" si="64"/>
        <v>1.4798352231357355</v>
      </c>
      <c r="Q79">
        <f t="shared" si="65"/>
        <v>8.6145043183932977</v>
      </c>
      <c r="R79">
        <f t="shared" si="66"/>
        <v>1.4544507333166736</v>
      </c>
      <c r="S79">
        <f t="shared" si="67"/>
        <v>0.99280403669767714</v>
      </c>
      <c r="T79">
        <f t="shared" si="68"/>
        <v>-0.12003841232107162</v>
      </c>
      <c r="U79">
        <f t="shared" si="69"/>
        <v>0.98278379017277073</v>
      </c>
      <c r="V79">
        <f t="shared" si="70"/>
        <v>-0.18582700304335853</v>
      </c>
      <c r="X79">
        <f t="shared" si="87"/>
        <v>5.1040114660158507</v>
      </c>
      <c r="Y79">
        <f t="shared" si="71"/>
        <v>-110.53026106919266</v>
      </c>
      <c r="Z79">
        <f t="shared" si="88"/>
        <v>69.469738930807338</v>
      </c>
      <c r="AC79">
        <v>1</v>
      </c>
      <c r="AD79">
        <f t="shared" si="72"/>
        <v>10.963372950337501</v>
      </c>
      <c r="AE79">
        <f t="shared" si="73"/>
        <v>-1.2709264743715983E-4</v>
      </c>
      <c r="AF79">
        <f t="shared" si="74"/>
        <v>6.7603932235350004E-4</v>
      </c>
      <c r="AG79">
        <f t="shared" si="89"/>
        <v>15394.886307054216</v>
      </c>
      <c r="AH79">
        <f t="shared" si="90"/>
        <v>-4373.380009116705</v>
      </c>
      <c r="AJ79">
        <f t="shared" si="75"/>
        <v>22100</v>
      </c>
      <c r="AK79">
        <f t="shared" si="76"/>
        <v>2665.6646113106099</v>
      </c>
      <c r="AL79">
        <v>1</v>
      </c>
      <c r="AM79">
        <f t="shared" si="77"/>
        <v>8.5562658123516009</v>
      </c>
      <c r="AN79">
        <f t="shared" si="91"/>
        <v>605.1519446791516</v>
      </c>
      <c r="AO79">
        <f t="shared" si="92"/>
        <v>-2512.1762842257017</v>
      </c>
      <c r="AQ79">
        <f t="shared" si="78"/>
        <v>4.9358341559723593</v>
      </c>
      <c r="AR79">
        <f t="shared" si="79"/>
        <v>-222.11253701875617</v>
      </c>
      <c r="AT79">
        <f t="shared" si="52"/>
        <v>-895395.92351035296</v>
      </c>
      <c r="AU79">
        <f t="shared" si="53"/>
        <v>-3440983.5332011669</v>
      </c>
      <c r="AV79">
        <f t="shared" si="93"/>
        <v>-1.8253658681706972</v>
      </c>
      <c r="AW79">
        <f t="shared" si="94"/>
        <v>-539395.7078572734</v>
      </c>
      <c r="AX79">
        <f t="shared" si="95"/>
        <v>-163513.20426874419</v>
      </c>
      <c r="AY79">
        <f t="shared" si="103"/>
        <v>-2.8472562802509489</v>
      </c>
      <c r="BA79">
        <f t="shared" si="80"/>
        <v>6.3082916303700047</v>
      </c>
      <c r="BB79">
        <f t="shared" si="96"/>
        <v>15.998235248409429</v>
      </c>
      <c r="BC79">
        <f t="shared" si="97"/>
        <v>1.0218904120802517</v>
      </c>
      <c r="BD79">
        <f t="shared" si="81"/>
        <v>-121.44999219601392</v>
      </c>
      <c r="BF79">
        <f t="shared" si="82"/>
        <v>5.2636284900250017</v>
      </c>
      <c r="BG79">
        <f t="shared" si="83"/>
        <v>-112.57765722712257</v>
      </c>
      <c r="BH79">
        <f t="shared" si="98"/>
        <v>67.422342772877428</v>
      </c>
      <c r="BI79">
        <f t="shared" si="99"/>
        <v>67.422342772877428</v>
      </c>
      <c r="BJ79">
        <f t="shared" si="84"/>
        <v>0</v>
      </c>
      <c r="BK79">
        <f t="shared" si="100"/>
        <v>0</v>
      </c>
      <c r="BM79">
        <f t="shared" si="101"/>
        <v>-10.734606758384428</v>
      </c>
      <c r="BN79">
        <f t="shared" si="85"/>
        <v>-171.12766503110865</v>
      </c>
      <c r="BQ79" s="47">
        <f t="shared" si="102"/>
        <v>32.900196048694568</v>
      </c>
      <c r="BR79" s="529"/>
      <c r="BS79" s="529"/>
      <c r="BT79" s="529">
        <v>489.779</v>
      </c>
      <c r="BU79" s="529">
        <v>20.944800000000001</v>
      </c>
      <c r="BV79" s="529">
        <v>-263.91079999999999</v>
      </c>
      <c r="BW79" s="49"/>
      <c r="BY79" s="529"/>
      <c r="BZ79" s="529"/>
      <c r="CA79" s="529"/>
      <c r="CC79" s="529"/>
    </row>
    <row r="80" spans="1:81">
      <c r="A80">
        <f t="shared" si="54"/>
        <v>23000</v>
      </c>
      <c r="B80">
        <f t="shared" si="86"/>
        <v>23</v>
      </c>
      <c r="C80">
        <f t="shared" si="55"/>
        <v>1.0066607238953877</v>
      </c>
      <c r="D80">
        <f t="shared" si="56"/>
        <v>0.11509962454348019</v>
      </c>
      <c r="F80">
        <f t="shared" si="57"/>
        <v>1.8406827901556504E-2</v>
      </c>
      <c r="G80">
        <f t="shared" si="58"/>
        <v>4.1280838564935425E-2</v>
      </c>
      <c r="H80">
        <f t="shared" si="59"/>
        <v>-3.100311811435065</v>
      </c>
      <c r="J80">
        <f t="shared" si="60"/>
        <v>15</v>
      </c>
      <c r="M80">
        <f t="shared" si="61"/>
        <v>6.547725295591153E-2</v>
      </c>
      <c r="N80">
        <f t="shared" si="62"/>
        <v>-1.5707963250000001</v>
      </c>
      <c r="O80">
        <f t="shared" si="63"/>
        <v>11.251529965306267</v>
      </c>
      <c r="P80">
        <f t="shared" si="64"/>
        <v>1.4818020994145951</v>
      </c>
      <c r="Q80">
        <f t="shared" si="65"/>
        <v>8.8033857886953353</v>
      </c>
      <c r="R80">
        <f t="shared" si="66"/>
        <v>1.4569579518070823</v>
      </c>
      <c r="S80">
        <f t="shared" si="67"/>
        <v>0.99248429918064451</v>
      </c>
      <c r="T80">
        <f t="shared" si="68"/>
        <v>-0.12267953395897228</v>
      </c>
      <c r="U80">
        <f t="shared" si="69"/>
        <v>0.982030854365463</v>
      </c>
      <c r="V80">
        <f t="shared" si="70"/>
        <v>-0.18985900049966831</v>
      </c>
      <c r="X80">
        <f t="shared" si="87"/>
        <v>4.895077589522816</v>
      </c>
      <c r="Y80">
        <f t="shared" si="71"/>
        <v>-110.56865030644205</v>
      </c>
      <c r="Z80">
        <f t="shared" si="88"/>
        <v>69.431349693557948</v>
      </c>
      <c r="AC80">
        <v>1</v>
      </c>
      <c r="AD80">
        <f t="shared" si="72"/>
        <v>11.207003460345</v>
      </c>
      <c r="AE80">
        <f t="shared" si="73"/>
        <v>-1.3280397134668158E-4</v>
      </c>
      <c r="AF80">
        <f t="shared" si="74"/>
        <v>6.9106241840580002E-4</v>
      </c>
      <c r="AG80">
        <f t="shared" si="89"/>
        <v>15371.306510466811</v>
      </c>
      <c r="AH80">
        <f t="shared" si="90"/>
        <v>-4401.0070123523419</v>
      </c>
      <c r="AJ80">
        <f t="shared" si="75"/>
        <v>22100</v>
      </c>
      <c r="AK80">
        <f t="shared" si="76"/>
        <v>2724.9016026730683</v>
      </c>
      <c r="AL80">
        <v>1</v>
      </c>
      <c r="AM80">
        <f t="shared" si="77"/>
        <v>8.7464050526260806</v>
      </c>
      <c r="AN80">
        <f t="shared" si="91"/>
        <v>592.6881215980261</v>
      </c>
      <c r="AO80">
        <f t="shared" si="92"/>
        <v>-2458.9887787033676</v>
      </c>
      <c r="AQ80">
        <f t="shared" si="78"/>
        <v>4.7236655644780345</v>
      </c>
      <c r="AR80">
        <f t="shared" si="79"/>
        <v>-217.28861596598961</v>
      </c>
      <c r="AT80">
        <f t="shared" si="52"/>
        <v>-883679.81132612622</v>
      </c>
      <c r="AU80">
        <f t="shared" si="53"/>
        <v>-3360798.8025216139</v>
      </c>
      <c r="AV80">
        <f t="shared" si="93"/>
        <v>-1.8279138478330736</v>
      </c>
      <c r="AW80">
        <f t="shared" si="94"/>
        <v>-515953.2236779076</v>
      </c>
      <c r="AX80">
        <f t="shared" si="95"/>
        <v>-156858.59848948909</v>
      </c>
      <c r="AY80">
        <f t="shared" si="103"/>
        <v>-2.846454540722656</v>
      </c>
      <c r="BA80">
        <f t="shared" si="80"/>
        <v>6.4439563123259234</v>
      </c>
      <c r="BB80">
        <f t="shared" si="96"/>
        <v>16.183051747978695</v>
      </c>
      <c r="BC80">
        <f t="shared" si="97"/>
        <v>1.0185406928895824</v>
      </c>
      <c r="BD80">
        <f t="shared" si="81"/>
        <v>-121.64191696841256</v>
      </c>
      <c r="BF80">
        <f t="shared" si="82"/>
        <v>5.0621184534656862</v>
      </c>
      <c r="BG80">
        <f t="shared" si="83"/>
        <v>-112.68197642376084</v>
      </c>
      <c r="BH80">
        <f t="shared" si="98"/>
        <v>67.318023576239156</v>
      </c>
      <c r="BI80">
        <f t="shared" si="99"/>
        <v>67.318023576239156</v>
      </c>
      <c r="BJ80">
        <f t="shared" si="84"/>
        <v>0</v>
      </c>
      <c r="BK80">
        <f t="shared" si="100"/>
        <v>0</v>
      </c>
      <c r="BM80">
        <f t="shared" si="101"/>
        <v>-11.120933294513009</v>
      </c>
      <c r="BN80">
        <f t="shared" si="85"/>
        <v>-171.04005945534828</v>
      </c>
      <c r="BQ80" s="47">
        <f t="shared" si="102"/>
        <v>33.085012548263833</v>
      </c>
      <c r="BR80" s="529"/>
      <c r="BS80" s="529"/>
      <c r="BT80" s="529">
        <v>501.18700000000001</v>
      </c>
      <c r="BU80" s="529">
        <v>20.7819</v>
      </c>
      <c r="BV80" s="529">
        <v>-264.7826</v>
      </c>
      <c r="BW80" s="49"/>
      <c r="BY80" s="529"/>
      <c r="BZ80" s="529"/>
      <c r="CA80" s="529"/>
      <c r="CC80" s="529"/>
    </row>
    <row r="81" spans="1:81">
      <c r="A81">
        <f t="shared" si="54"/>
        <v>23500</v>
      </c>
      <c r="B81">
        <f t="shared" si="86"/>
        <v>23.5</v>
      </c>
      <c r="C81">
        <f t="shared" si="55"/>
        <v>1.0069524576096909</v>
      </c>
      <c r="D81">
        <f t="shared" si="56"/>
        <v>0.11757903377318329</v>
      </c>
      <c r="F81">
        <f t="shared" si="57"/>
        <v>1.7618635192781021E-2</v>
      </c>
      <c r="G81">
        <f t="shared" si="58"/>
        <v>4.0371647668458605E-2</v>
      </c>
      <c r="H81">
        <f t="shared" si="59"/>
        <v>-3.1012210023315414</v>
      </c>
      <c r="J81">
        <f t="shared" si="60"/>
        <v>15</v>
      </c>
      <c r="M81">
        <f t="shared" si="61"/>
        <v>6.4084119914296384E-2</v>
      </c>
      <c r="N81">
        <f t="shared" si="62"/>
        <v>-1.5707963250000001</v>
      </c>
      <c r="O81">
        <f t="shared" si="63"/>
        <v>11.49421673377489</v>
      </c>
      <c r="P81">
        <f t="shared" si="64"/>
        <v>1.4836859262022504</v>
      </c>
      <c r="Q81">
        <f t="shared" si="65"/>
        <v>8.9923202733762508</v>
      </c>
      <c r="R81">
        <f t="shared" si="66"/>
        <v>1.4593598282966442</v>
      </c>
      <c r="S81">
        <f t="shared" si="67"/>
        <v>0.99215785343419705</v>
      </c>
      <c r="T81">
        <f t="shared" si="68"/>
        <v>-0.12531893657428589</v>
      </c>
      <c r="U81">
        <f t="shared" si="69"/>
        <v>0.98126315573168132</v>
      </c>
      <c r="V81">
        <f t="shared" si="70"/>
        <v>-0.19388475932301744</v>
      </c>
      <c r="X81">
        <f t="shared" si="87"/>
        <v>4.6908065603747424</v>
      </c>
      <c r="Y81">
        <f t="shared" si="71"/>
        <v>-110.61501633326588</v>
      </c>
      <c r="Z81">
        <f t="shared" si="88"/>
        <v>69.384983666734115</v>
      </c>
      <c r="AC81">
        <v>1</v>
      </c>
      <c r="AD81">
        <f t="shared" si="72"/>
        <v>11.4506339703525</v>
      </c>
      <c r="AE81">
        <f t="shared" si="73"/>
        <v>-1.3864081885861041E-4</v>
      </c>
      <c r="AF81">
        <f t="shared" si="74"/>
        <v>7.060855144581001E-4</v>
      </c>
      <c r="AG81">
        <f t="shared" si="89"/>
        <v>15347.282991355405</v>
      </c>
      <c r="AH81">
        <f t="shared" si="90"/>
        <v>-4429.7182382742985</v>
      </c>
      <c r="AJ81">
        <f t="shared" si="75"/>
        <v>22100</v>
      </c>
      <c r="AK81">
        <f t="shared" si="76"/>
        <v>2784.1385940355262</v>
      </c>
      <c r="AL81">
        <v>1</v>
      </c>
      <c r="AM81">
        <f t="shared" si="77"/>
        <v>8.9365442929005603</v>
      </c>
      <c r="AN81">
        <f t="shared" si="91"/>
        <v>580.9982461175814</v>
      </c>
      <c r="AO81">
        <f t="shared" si="92"/>
        <v>-2407.977966491781</v>
      </c>
      <c r="AQ81">
        <f t="shared" si="78"/>
        <v>4.5248868778280542</v>
      </c>
      <c r="AR81">
        <f t="shared" si="79"/>
        <v>-212.66968325791856</v>
      </c>
      <c r="AT81">
        <f t="shared" si="52"/>
        <v>-872622.05523772235</v>
      </c>
      <c r="AU81">
        <f t="shared" si="53"/>
        <v>-3283945.7865700382</v>
      </c>
      <c r="AV81">
        <f t="shared" si="93"/>
        <v>-1.8305181006864988</v>
      </c>
      <c r="AW81">
        <f t="shared" si="94"/>
        <v>-493962.38368685968</v>
      </c>
      <c r="AX81">
        <f t="shared" si="95"/>
        <v>-150684.74764980885</v>
      </c>
      <c r="AY81">
        <f t="shared" si="103"/>
        <v>-2.8455064753175145</v>
      </c>
      <c r="BA81">
        <f t="shared" si="80"/>
        <v>6.5795482602128113</v>
      </c>
      <c r="BB81">
        <f t="shared" si="96"/>
        <v>16.363921535404835</v>
      </c>
      <c r="BC81">
        <f t="shared" si="97"/>
        <v>1.0149883746310158</v>
      </c>
      <c r="BD81">
        <f t="shared" si="81"/>
        <v>-121.84544981234826</v>
      </c>
      <c r="BF81">
        <f t="shared" si="82"/>
        <v>4.8653713056711982</v>
      </c>
      <c r="BG81">
        <f t="shared" si="83"/>
        <v>-112.79554238418579</v>
      </c>
      <c r="BH81">
        <f t="shared" si="98"/>
        <v>67.204457615814206</v>
      </c>
      <c r="BI81">
        <f t="shared" si="99"/>
        <v>67.204457615814206</v>
      </c>
      <c r="BJ81">
        <f t="shared" si="84"/>
        <v>0</v>
      </c>
      <c r="BK81">
        <f t="shared" si="100"/>
        <v>0</v>
      </c>
      <c r="BM81">
        <f t="shared" si="101"/>
        <v>-11.498550229733638</v>
      </c>
      <c r="BN81">
        <f t="shared" si="85"/>
        <v>-170.95009257183753</v>
      </c>
      <c r="BQ81" s="47">
        <f t="shared" si="102"/>
        <v>33.265882335689973</v>
      </c>
      <c r="BR81" s="529"/>
      <c r="BS81" s="529"/>
      <c r="BT81" s="529">
        <v>512.86099999999999</v>
      </c>
      <c r="BU81" s="529">
        <v>20.634799999999998</v>
      </c>
      <c r="BV81" s="529">
        <v>-265.04300000000001</v>
      </c>
      <c r="BW81" s="49"/>
      <c r="BY81" s="529"/>
      <c r="BZ81" s="529"/>
      <c r="CA81" s="529"/>
      <c r="CC81" s="529"/>
    </row>
    <row r="82" spans="1:81">
      <c r="A82">
        <f t="shared" si="54"/>
        <v>24000</v>
      </c>
      <c r="B82">
        <f t="shared" si="86"/>
        <v>24</v>
      </c>
      <c r="C82">
        <f t="shared" si="55"/>
        <v>1.0072503779261694</v>
      </c>
      <c r="D82">
        <f t="shared" si="56"/>
        <v>0.12005699152997408</v>
      </c>
      <c r="F82">
        <f t="shared" si="57"/>
        <v>1.6880265406746007E-2</v>
      </c>
      <c r="G82">
        <f t="shared" si="58"/>
        <v>3.9502250106765356E-2</v>
      </c>
      <c r="H82">
        <f t="shared" si="59"/>
        <v>-3.102090399893235</v>
      </c>
      <c r="J82">
        <f t="shared" si="60"/>
        <v>15</v>
      </c>
      <c r="M82">
        <f t="shared" si="61"/>
        <v>6.2749034082748539E-2</v>
      </c>
      <c r="N82">
        <f t="shared" si="62"/>
        <v>-1.5707963250000001</v>
      </c>
      <c r="O82">
        <f t="shared" si="63"/>
        <v>11.736942606003046</v>
      </c>
      <c r="P82">
        <f t="shared" si="64"/>
        <v>1.4854918422100849</v>
      </c>
      <c r="Q82">
        <f t="shared" si="65"/>
        <v>9.1813044996192339</v>
      </c>
      <c r="R82">
        <f t="shared" si="66"/>
        <v>1.4616628391287152</v>
      </c>
      <c r="S82">
        <f t="shared" si="67"/>
        <v>0.99182471971350983</v>
      </c>
      <c r="T82">
        <f t="shared" si="68"/>
        <v>-0.12795658510662747</v>
      </c>
      <c r="U82">
        <f t="shared" si="69"/>
        <v>0.98048080342703303</v>
      </c>
      <c r="V82">
        <f t="shared" si="70"/>
        <v>-0.19790416379930564</v>
      </c>
      <c r="X82">
        <f t="shared" si="87"/>
        <v>4.4909681813374878</v>
      </c>
      <c r="Y82">
        <f t="shared" si="71"/>
        <v>-110.6688494981903</v>
      </c>
      <c r="Z82">
        <f t="shared" si="88"/>
        <v>69.331150501809702</v>
      </c>
      <c r="AC82">
        <v>1</v>
      </c>
      <c r="AD82">
        <f t="shared" si="72"/>
        <v>11.694264480360001</v>
      </c>
      <c r="AE82">
        <f t="shared" si="73"/>
        <v>-1.4460318997294632E-4</v>
      </c>
      <c r="AF82">
        <f t="shared" si="74"/>
        <v>7.2110861051040008E-4</v>
      </c>
      <c r="AG82">
        <f t="shared" si="89"/>
        <v>15322.820245314846</v>
      </c>
      <c r="AH82">
        <f t="shared" si="90"/>
        <v>-4459.4235042880446</v>
      </c>
      <c r="AJ82">
        <f t="shared" si="75"/>
        <v>22100</v>
      </c>
      <c r="AK82">
        <f t="shared" si="76"/>
        <v>2843.3755853979842</v>
      </c>
      <c r="AL82">
        <v>1</v>
      </c>
      <c r="AM82">
        <f t="shared" si="77"/>
        <v>9.12668353317504</v>
      </c>
      <c r="AN82">
        <f t="shared" si="91"/>
        <v>570.01979106382066</v>
      </c>
      <c r="AO82">
        <f t="shared" si="92"/>
        <v>-2359.0146552880651</v>
      </c>
      <c r="AQ82">
        <f t="shared" si="78"/>
        <v>4.3383947939262475</v>
      </c>
      <c r="AR82">
        <f t="shared" si="79"/>
        <v>-208.24295010845987</v>
      </c>
      <c r="AT82">
        <f t="shared" si="52"/>
        <v>-862167.06273540691</v>
      </c>
      <c r="AU82">
        <f t="shared" si="53"/>
        <v>-3210216.0315809138</v>
      </c>
      <c r="AV82">
        <f t="shared" si="93"/>
        <v>-1.8331746551427968</v>
      </c>
      <c r="AW82">
        <f t="shared" si="94"/>
        <v>-473306.52569661674</v>
      </c>
      <c r="AX82">
        <f t="shared" si="95"/>
        <v>-144946.13657470988</v>
      </c>
      <c r="AY82">
        <f t="shared" si="103"/>
        <v>-2.8444195244455024</v>
      </c>
      <c r="BA82">
        <f t="shared" si="80"/>
        <v>6.7150565383307548</v>
      </c>
      <c r="BB82">
        <f t="shared" si="96"/>
        <v>16.54099347243033</v>
      </c>
      <c r="BC82">
        <f t="shared" si="97"/>
        <v>1.0112448693027056</v>
      </c>
      <c r="BD82">
        <f t="shared" si="81"/>
        <v>-122.05993686849025</v>
      </c>
      <c r="BF82">
        <f t="shared" si="82"/>
        <v>4.6731528480002931</v>
      </c>
      <c r="BG82">
        <f t="shared" si="83"/>
        <v>-112.91786572995066</v>
      </c>
      <c r="BH82">
        <f t="shared" si="98"/>
        <v>67.082134270049337</v>
      </c>
      <c r="BI82">
        <f t="shared" si="99"/>
        <v>67.082134270049337</v>
      </c>
      <c r="BJ82">
        <f t="shared" si="84"/>
        <v>0</v>
      </c>
      <c r="BK82">
        <f t="shared" si="100"/>
        <v>0</v>
      </c>
      <c r="BM82">
        <f t="shared" si="101"/>
        <v>-11.867840624430039</v>
      </c>
      <c r="BN82">
        <f t="shared" si="85"/>
        <v>-170.85792886146041</v>
      </c>
      <c r="BQ82" s="47">
        <f t="shared" si="102"/>
        <v>33.442954272715468</v>
      </c>
      <c r="BR82" s="529"/>
      <c r="BS82" s="529"/>
      <c r="BT82" s="529">
        <v>524.80700000000002</v>
      </c>
      <c r="BU82" s="529">
        <v>20.243600000000001</v>
      </c>
      <c r="BV82" s="529">
        <v>-263.95569999999998</v>
      </c>
      <c r="BW82" s="49"/>
      <c r="BY82" s="529"/>
      <c r="BZ82" s="529"/>
      <c r="CA82" s="529"/>
      <c r="CC82" s="529"/>
    </row>
    <row r="83" spans="1:81">
      <c r="A83">
        <f t="shared" si="54"/>
        <v>24500</v>
      </c>
      <c r="B83">
        <f t="shared" si="86"/>
        <v>24.5</v>
      </c>
      <c r="C83">
        <f t="shared" si="55"/>
        <v>1.0075544793569382</v>
      </c>
      <c r="D83">
        <f t="shared" si="56"/>
        <v>0.12253346868443565</v>
      </c>
      <c r="F83">
        <f t="shared" si="57"/>
        <v>1.6187585893203977E-2</v>
      </c>
      <c r="G83">
        <f t="shared" si="58"/>
        <v>3.8670054387299993E-2</v>
      </c>
      <c r="H83">
        <f t="shared" si="59"/>
        <v>-3.1029225956127</v>
      </c>
      <c r="J83">
        <f t="shared" si="60"/>
        <v>15</v>
      </c>
      <c r="M83">
        <f t="shared" si="61"/>
        <v>6.1468441550447547E-2</v>
      </c>
      <c r="N83">
        <f t="shared" si="62"/>
        <v>-1.5707963250000001</v>
      </c>
      <c r="O83">
        <f t="shared" si="63"/>
        <v>11.979705205097558</v>
      </c>
      <c r="P83">
        <f t="shared" si="64"/>
        <v>1.4872245717510624</v>
      </c>
      <c r="Q83">
        <f t="shared" si="65"/>
        <v>9.3703354578087321</v>
      </c>
      <c r="R83">
        <f t="shared" si="66"/>
        <v>1.463872942453301</v>
      </c>
      <c r="S83">
        <f t="shared" si="67"/>
        <v>0.99148491865187538</v>
      </c>
      <c r="T83">
        <f t="shared" si="68"/>
        <v>-0.1305924446398225</v>
      </c>
      <c r="U83">
        <f t="shared" si="69"/>
        <v>0.9796839082153963</v>
      </c>
      <c r="V83">
        <f t="shared" si="70"/>
        <v>-0.20191709940065433</v>
      </c>
      <c r="X83">
        <f t="shared" si="87"/>
        <v>4.2953488515170841</v>
      </c>
      <c r="Y83">
        <f t="shared" si="71"/>
        <v>-110.72967932923704</v>
      </c>
      <c r="Z83">
        <f t="shared" si="88"/>
        <v>69.270320670762956</v>
      </c>
      <c r="AC83">
        <v>1</v>
      </c>
      <c r="AD83">
        <f t="shared" si="72"/>
        <v>11.9378949903675</v>
      </c>
      <c r="AE83">
        <f t="shared" si="73"/>
        <v>-1.5069108468968923E-4</v>
      </c>
      <c r="AF83">
        <f t="shared" si="74"/>
        <v>7.3613170656270006E-4</v>
      </c>
      <c r="AG83">
        <f t="shared" si="89"/>
        <v>15297.922827915345</v>
      </c>
      <c r="AH83">
        <f t="shared" si="90"/>
        <v>-4490.0396966615317</v>
      </c>
      <c r="AJ83">
        <f t="shared" si="75"/>
        <v>22100</v>
      </c>
      <c r="AK83">
        <f t="shared" si="76"/>
        <v>2902.6125767604422</v>
      </c>
      <c r="AL83">
        <v>1</v>
      </c>
      <c r="AM83">
        <f t="shared" si="77"/>
        <v>9.3168227734495197</v>
      </c>
      <c r="AN83">
        <f t="shared" si="91"/>
        <v>559.69639446109068</v>
      </c>
      <c r="AO83">
        <f t="shared" si="92"/>
        <v>-2311.9795373722336</v>
      </c>
      <c r="AQ83">
        <f t="shared" si="78"/>
        <v>4.1631973355537051</v>
      </c>
      <c r="AR83">
        <f t="shared" si="79"/>
        <v>-203.99666944213155</v>
      </c>
      <c r="AT83">
        <f t="shared" si="52"/>
        <v>-852264.87222522777</v>
      </c>
      <c r="AU83">
        <f t="shared" si="53"/>
        <v>-3139418.2275791569</v>
      </c>
      <c r="AV83">
        <f t="shared" si="93"/>
        <v>-1.8358798505528471</v>
      </c>
      <c r="AW83">
        <f t="shared" si="94"/>
        <v>-453880.4208658748</v>
      </c>
      <c r="AX83">
        <f t="shared" si="95"/>
        <v>-139602.45587221778</v>
      </c>
      <c r="AY83">
        <f t="shared" si="103"/>
        <v>-2.8432005144754329</v>
      </c>
      <c r="BA83">
        <f t="shared" si="80"/>
        <v>6.8504702917690192</v>
      </c>
      <c r="BB83">
        <f t="shared" si="96"/>
        <v>16.714407745495784</v>
      </c>
      <c r="BC83">
        <f t="shared" si="97"/>
        <v>1.0073206639225858</v>
      </c>
      <c r="BD83">
        <f t="shared" si="81"/>
        <v>-122.28477727497057</v>
      </c>
      <c r="BF83">
        <f t="shared" si="82"/>
        <v>4.4852454062272615</v>
      </c>
      <c r="BG83">
        <f t="shared" si="83"/>
        <v>-113.04849574976633</v>
      </c>
      <c r="BH83">
        <f t="shared" si="98"/>
        <v>66.951504250233668</v>
      </c>
      <c r="BI83">
        <f t="shared" si="99"/>
        <v>66.951504250233668</v>
      </c>
      <c r="BJ83">
        <f t="shared" si="84"/>
        <v>0</v>
      </c>
      <c r="BK83">
        <f t="shared" si="100"/>
        <v>0</v>
      </c>
      <c r="BM83">
        <f t="shared" si="101"/>
        <v>-12.229162339268525</v>
      </c>
      <c r="BN83">
        <f t="shared" si="85"/>
        <v>-170.76371847479575</v>
      </c>
      <c r="BQ83" s="47">
        <f t="shared" si="102"/>
        <v>33.616368545780922</v>
      </c>
      <c r="BR83" s="529"/>
      <c r="BS83" s="529"/>
      <c r="BT83" s="529">
        <v>537.03200000000004</v>
      </c>
      <c r="BU83" s="529">
        <v>20.2926</v>
      </c>
      <c r="BV83" s="529">
        <v>-264.56819999999999</v>
      </c>
      <c r="BW83" s="49"/>
      <c r="BY83" s="529"/>
      <c r="BZ83" s="529"/>
      <c r="CA83" s="529"/>
      <c r="CC83" s="529"/>
    </row>
    <row r="84" spans="1:81">
      <c r="A84">
        <f t="shared" si="54"/>
        <v>25000</v>
      </c>
      <c r="B84">
        <f t="shared" si="86"/>
        <v>25</v>
      </c>
      <c r="C84">
        <f t="shared" si="55"/>
        <v>1.0078647563069434</v>
      </c>
      <c r="D84">
        <f t="shared" si="56"/>
        <v>0.12500843621459273</v>
      </c>
      <c r="F84">
        <f t="shared" si="57"/>
        <v>1.5536885706869008E-2</v>
      </c>
      <c r="G84">
        <f t="shared" si="58"/>
        <v>3.7872691846984434E-2</v>
      </c>
      <c r="H84">
        <f t="shared" si="59"/>
        <v>-3.1037199581530159</v>
      </c>
      <c r="J84">
        <f t="shared" si="60"/>
        <v>15</v>
      </c>
      <c r="M84">
        <f t="shared" si="61"/>
        <v>6.0239072719438604E-2</v>
      </c>
      <c r="N84">
        <f t="shared" si="62"/>
        <v>-1.5707963250000001</v>
      </c>
      <c r="O84">
        <f t="shared" si="63"/>
        <v>12.222502342658251</v>
      </c>
      <c r="P84">
        <f t="shared" si="64"/>
        <v>1.4888884655930545</v>
      </c>
      <c r="Q84">
        <f t="shared" si="65"/>
        <v>9.5594103756660136</v>
      </c>
      <c r="R84">
        <f t="shared" si="66"/>
        <v>1.4659956288450637</v>
      </c>
      <c r="S84">
        <f t="shared" si="67"/>
        <v>0.99113847125723276</v>
      </c>
      <c r="T84">
        <f t="shared" si="68"/>
        <v>-0.13322648040447813</v>
      </c>
      <c r="U84">
        <f t="shared" si="69"/>
        <v>0.97887258242776731</v>
      </c>
      <c r="V84">
        <f t="shared" si="70"/>
        <v>-0.20592345280086466</v>
      </c>
      <c r="X84">
        <f t="shared" si="87"/>
        <v>4.1037499974450489</v>
      </c>
      <c r="Y84">
        <f t="shared" si="71"/>
        <v>-110.79707085099547</v>
      </c>
      <c r="Z84">
        <f t="shared" si="88"/>
        <v>69.202929149004532</v>
      </c>
      <c r="AC84">
        <v>1</v>
      </c>
      <c r="AD84">
        <f t="shared" si="72"/>
        <v>12.181525500375001</v>
      </c>
      <c r="AE84">
        <f t="shared" si="73"/>
        <v>-1.5690450300883928E-4</v>
      </c>
      <c r="AF84">
        <f t="shared" si="74"/>
        <v>7.5115480261500004E-4</v>
      </c>
      <c r="AG84">
        <f t="shared" si="89"/>
        <v>15272.59535270239</v>
      </c>
      <c r="AH84">
        <f t="shared" si="90"/>
        <v>-4521.4900732141768</v>
      </c>
      <c r="AJ84">
        <f t="shared" si="75"/>
        <v>22100</v>
      </c>
      <c r="AK84">
        <f t="shared" si="76"/>
        <v>2961.8495681229001</v>
      </c>
      <c r="AL84">
        <v>1</v>
      </c>
      <c r="AM84">
        <f t="shared" si="77"/>
        <v>9.5069620137240012</v>
      </c>
      <c r="AN84">
        <f t="shared" si="91"/>
        <v>549.97714692456861</v>
      </c>
      <c r="AO84">
        <f t="shared" si="92"/>
        <v>-2266.7622761052776</v>
      </c>
      <c r="AQ84">
        <f t="shared" si="78"/>
        <v>3.9984006397441023</v>
      </c>
      <c r="AR84">
        <f t="shared" si="79"/>
        <v>-199.92003198720511</v>
      </c>
      <c r="AT84">
        <f t="shared" si="52"/>
        <v>-842870.48503801052</v>
      </c>
      <c r="AU84">
        <f t="shared" si="53"/>
        <v>-3071376.4802412381</v>
      </c>
      <c r="AV84">
        <f t="shared" si="93"/>
        <v>-1.8386303068244527</v>
      </c>
      <c r="AW84">
        <f t="shared" si="94"/>
        <v>-435588.96150300006</v>
      </c>
      <c r="AX84">
        <f t="shared" si="95"/>
        <v>-134617.91271197813</v>
      </c>
      <c r="AY84">
        <f t="shared" si="103"/>
        <v>-2.8418557189926341</v>
      </c>
      <c r="BA84">
        <f t="shared" si="80"/>
        <v>6.9857787110244773</v>
      </c>
      <c r="BB84">
        <f t="shared" si="96"/>
        <v>16.884296486888225</v>
      </c>
      <c r="BC84">
        <f t="shared" si="97"/>
        <v>1.0032254121681814</v>
      </c>
      <c r="BD84">
        <f t="shared" si="81"/>
        <v>-122.5194179168096</v>
      </c>
      <c r="BF84">
        <f t="shared" si="82"/>
        <v>4.3014462627797494</v>
      </c>
      <c r="BG84">
        <f t="shared" si="83"/>
        <v>-113.18701670588753</v>
      </c>
      <c r="BH84">
        <f t="shared" si="98"/>
        <v>66.81298329411247</v>
      </c>
      <c r="BI84">
        <f t="shared" si="99"/>
        <v>66.81298329411247</v>
      </c>
      <c r="BJ84">
        <f t="shared" si="84"/>
        <v>0</v>
      </c>
      <c r="BK84">
        <f t="shared" si="100"/>
        <v>0</v>
      </c>
      <c r="BM84">
        <f t="shared" si="101"/>
        <v>-12.582850224108476</v>
      </c>
      <c r="BN84">
        <f t="shared" si="85"/>
        <v>-170.66759878907794</v>
      </c>
      <c r="BQ84" s="47">
        <f t="shared" si="102"/>
        <v>33.786257287173363</v>
      </c>
      <c r="BR84" s="529"/>
      <c r="BS84" s="529"/>
      <c r="BT84" s="529">
        <v>549.54100000000005</v>
      </c>
      <c r="BU84" s="529">
        <v>19.992000000000001</v>
      </c>
      <c r="BV84" s="529">
        <v>-264.47620000000001</v>
      </c>
      <c r="BW84" s="49"/>
      <c r="BY84" s="529"/>
      <c r="BZ84" s="529"/>
      <c r="CA84" s="529"/>
      <c r="CC84" s="529"/>
    </row>
    <row r="85" spans="1:81">
      <c r="A85">
        <f t="shared" si="54"/>
        <v>25500</v>
      </c>
      <c r="B85">
        <f t="shared" si="86"/>
        <v>25.5</v>
      </c>
      <c r="C85">
        <f t="shared" si="55"/>
        <v>1.0081812030744686</v>
      </c>
      <c r="D85">
        <f t="shared" si="56"/>
        <v>0.12748186520781746</v>
      </c>
      <c r="F85">
        <f t="shared" si="57"/>
        <v>1.4924824786224184E-2</v>
      </c>
      <c r="G85">
        <f t="shared" si="58"/>
        <v>3.7107992974529665E-2</v>
      </c>
      <c r="H85">
        <f t="shared" si="59"/>
        <v>-3.1044846570254707</v>
      </c>
      <c r="J85">
        <f t="shared" si="60"/>
        <v>15</v>
      </c>
      <c r="M85">
        <f t="shared" si="61"/>
        <v>5.9057914430822166E-2</v>
      </c>
      <c r="N85">
        <f t="shared" si="62"/>
        <v>-1.5707963250000001</v>
      </c>
      <c r="O85">
        <f t="shared" si="63"/>
        <v>12.465332000486164</v>
      </c>
      <c r="P85">
        <f t="shared" si="64"/>
        <v>1.4904875370831829</v>
      </c>
      <c r="Q85">
        <f t="shared" si="65"/>
        <v>9.7485266953678131</v>
      </c>
      <c r="R85">
        <f t="shared" si="66"/>
        <v>1.4680359661234674</v>
      </c>
      <c r="S85">
        <f t="shared" si="67"/>
        <v>0.99078539890864292</v>
      </c>
      <c r="T85">
        <f t="shared" si="68"/>
        <v>-0.135858657780525</v>
      </c>
      <c r="U85">
        <f t="shared" si="69"/>
        <v>0.97804693992081704</v>
      </c>
      <c r="V85">
        <f t="shared" si="70"/>
        <v>-0.20992311189034982</v>
      </c>
      <c r="X85">
        <f t="shared" si="87"/>
        <v>3.9159866861931265</v>
      </c>
      <c r="Y85">
        <f t="shared" si="71"/>
        <v>-110.87062130436865</v>
      </c>
      <c r="Z85">
        <f t="shared" si="88"/>
        <v>69.129378695631345</v>
      </c>
      <c r="AC85">
        <v>1</v>
      </c>
      <c r="AD85">
        <f t="shared" si="72"/>
        <v>12.425156010382501</v>
      </c>
      <c r="AE85">
        <f t="shared" si="73"/>
        <v>-1.6324344493039641E-4</v>
      </c>
      <c r="AF85">
        <f t="shared" si="74"/>
        <v>7.6617789866730002E-4</v>
      </c>
      <c r="AG85">
        <f t="shared" si="89"/>
        <v>15246.842489186783</v>
      </c>
      <c r="AH85">
        <f t="shared" si="90"/>
        <v>-4553.7036480884026</v>
      </c>
      <c r="AJ85">
        <f t="shared" si="75"/>
        <v>22100</v>
      </c>
      <c r="AK85">
        <f t="shared" si="76"/>
        <v>3021.0865594853581</v>
      </c>
      <c r="AL85">
        <v>1</v>
      </c>
      <c r="AM85">
        <f t="shared" si="77"/>
        <v>9.6971012539984809</v>
      </c>
      <c r="AN85">
        <f t="shared" si="91"/>
        <v>540.81597297291432</v>
      </c>
      <c r="AO85">
        <f t="shared" si="92"/>
        <v>-2223.2606902126986</v>
      </c>
      <c r="AQ85">
        <f t="shared" si="78"/>
        <v>3.8431975403535743</v>
      </c>
      <c r="AR85">
        <f t="shared" si="79"/>
        <v>-196.0030745580323</v>
      </c>
      <c r="AT85">
        <f t="shared" si="52"/>
        <v>-833943.28809885378</v>
      </c>
      <c r="AU85">
        <f t="shared" si="53"/>
        <v>-3005928.7878424842</v>
      </c>
      <c r="AV85">
        <f t="shared" si="93"/>
        <v>-1.8414228975397553</v>
      </c>
      <c r="AW85">
        <f t="shared" si="94"/>
        <v>-418346.0203975882</v>
      </c>
      <c r="AX85">
        <f t="shared" si="95"/>
        <v>-129960.6444531591</v>
      </c>
      <c r="AY85">
        <f t="shared" si="103"/>
        <v>-2.8403909130320932</v>
      </c>
      <c r="BA85">
        <f t="shared" si="80"/>
        <v>7.1209710006003295</v>
      </c>
      <c r="BB85">
        <f t="shared" si="96"/>
        <v>17.050784343103043</v>
      </c>
      <c r="BC85">
        <f t="shared" si="97"/>
        <v>0.99896801549233794</v>
      </c>
      <c r="BD85">
        <f t="shared" si="81"/>
        <v>-122.76334877832718</v>
      </c>
      <c r="BF85">
        <f t="shared" si="82"/>
        <v>4.1215662710544283</v>
      </c>
      <c r="BG85">
        <f t="shared" si="83"/>
        <v>-113.33304454304626</v>
      </c>
      <c r="BH85">
        <f t="shared" si="98"/>
        <v>66.666955456953744</v>
      </c>
      <c r="BI85">
        <f t="shared" si="99"/>
        <v>66.666955456953744</v>
      </c>
      <c r="BJ85">
        <f t="shared" si="84"/>
        <v>0</v>
      </c>
      <c r="BK85">
        <f t="shared" si="100"/>
        <v>0</v>
      </c>
      <c r="BM85">
        <f t="shared" si="101"/>
        <v>-12.929218072048613</v>
      </c>
      <c r="BN85">
        <f t="shared" si="85"/>
        <v>-170.56969576471906</v>
      </c>
      <c r="BQ85" s="47">
        <f t="shared" si="102"/>
        <v>33.952745143388178</v>
      </c>
      <c r="BR85" s="529"/>
      <c r="BS85" s="529"/>
      <c r="BT85" s="529">
        <v>562.34100000000001</v>
      </c>
      <c r="BU85" s="529">
        <v>19.682300000000001</v>
      </c>
      <c r="BV85" s="529">
        <v>-264.60399999999998</v>
      </c>
      <c r="BW85" s="49"/>
      <c r="BY85" s="529"/>
      <c r="BZ85" s="529"/>
      <c r="CA85" s="529"/>
      <c r="CC85" s="529"/>
    </row>
    <row r="86" spans="1:81">
      <c r="A86">
        <f t="shared" si="54"/>
        <v>26000</v>
      </c>
      <c r="B86">
        <f t="shared" si="86"/>
        <v>26</v>
      </c>
      <c r="C86">
        <f t="shared" si="55"/>
        <v>1.0085038138516462</v>
      </c>
      <c r="D86">
        <f t="shared" si="56"/>
        <v>0.12995372686271578</v>
      </c>
      <c r="F86">
        <f t="shared" si="57"/>
        <v>1.4348390164780307E-2</v>
      </c>
      <c r="G86">
        <f t="shared" si="58"/>
        <v>3.6373966713248884E-2</v>
      </c>
      <c r="H86">
        <f t="shared" si="59"/>
        <v>-3.1052186832867514</v>
      </c>
      <c r="J86">
        <f t="shared" si="60"/>
        <v>15</v>
      </c>
      <c r="M86">
        <f t="shared" si="61"/>
        <v>5.7922185307152499E-2</v>
      </c>
      <c r="N86">
        <f t="shared" si="62"/>
        <v>-1.5707963250000001</v>
      </c>
      <c r="O86">
        <f t="shared" si="63"/>
        <v>12.708192314377975</v>
      </c>
      <c r="P86">
        <f t="shared" si="64"/>
        <v>1.4920254941683579</v>
      </c>
      <c r="Q86">
        <f t="shared" si="65"/>
        <v>9.9376820532552248</v>
      </c>
      <c r="R86">
        <f t="shared" si="66"/>
        <v>1.4699986391325137</v>
      </c>
      <c r="S86">
        <f t="shared" si="67"/>
        <v>0.99042572335271206</v>
      </c>
      <c r="T86">
        <f t="shared" si="68"/>
        <v>-0.13848894229972938</v>
      </c>
      <c r="U86">
        <f t="shared" si="69"/>
        <v>0.97720709603518374</v>
      </c>
      <c r="V86">
        <f t="shared" si="70"/>
        <v>-0.21391596579053965</v>
      </c>
      <c r="X86">
        <f t="shared" si="87"/>
        <v>3.7318863957279014</v>
      </c>
      <c r="Y86">
        <f t="shared" si="71"/>
        <v>-110.94995721944345</v>
      </c>
      <c r="Z86">
        <f t="shared" si="88"/>
        <v>69.050042780556552</v>
      </c>
      <c r="AC86">
        <v>1</v>
      </c>
      <c r="AD86">
        <f t="shared" si="72"/>
        <v>12.668786520390002</v>
      </c>
      <c r="AE86">
        <f t="shared" si="73"/>
        <v>-1.6970791045436059E-4</v>
      </c>
      <c r="AF86">
        <f t="shared" si="74"/>
        <v>7.8120099471960011E-4</v>
      </c>
      <c r="AG86">
        <f t="shared" si="89"/>
        <v>15220.668960826484</v>
      </c>
      <c r="AH86">
        <f t="shared" si="90"/>
        <v>-4586.6146475472597</v>
      </c>
      <c r="AJ86">
        <f t="shared" si="75"/>
        <v>22100</v>
      </c>
      <c r="AK86">
        <f t="shared" si="76"/>
        <v>3080.323550847816</v>
      </c>
      <c r="AL86">
        <v>1</v>
      </c>
      <c r="AM86">
        <f t="shared" si="77"/>
        <v>9.8872404942729606</v>
      </c>
      <c r="AN86">
        <f t="shared" si="91"/>
        <v>532.17109242813297</v>
      </c>
      <c r="AO86">
        <f t="shared" si="92"/>
        <v>-2181.3800240890992</v>
      </c>
      <c r="AQ86">
        <f t="shared" si="78"/>
        <v>3.6968576709796674</v>
      </c>
      <c r="AR86">
        <f t="shared" si="79"/>
        <v>-192.2365988909427</v>
      </c>
      <c r="AT86">
        <f t="shared" ref="AT86:AT149" si="104">-AR86*AH86+AG86*AQ86</f>
        <v>-825446.5534625916</v>
      </c>
      <c r="AU86">
        <f t="shared" ref="AU86:AU149" si="105">AQ86*AH86+AG86*AR86</f>
        <v>-2942925.6954178354</v>
      </c>
      <c r="AV86">
        <f t="shared" si="93"/>
        <v>-1.8442547261122679</v>
      </c>
      <c r="AW86">
        <f t="shared" si="94"/>
        <v>-402073.45665450819</v>
      </c>
      <c r="AX86">
        <f t="shared" si="95"/>
        <v>-125602.21813721801</v>
      </c>
      <c r="AY86">
        <f t="shared" si="103"/>
        <v>-2.8388114212092952</v>
      </c>
      <c r="BA86">
        <f t="shared" si="80"/>
        <v>7.2560363510843509</v>
      </c>
      <c r="BB86">
        <f t="shared" si="96"/>
        <v>17.21398899547242</v>
      </c>
      <c r="BC86">
        <f t="shared" si="97"/>
        <v>0.99455669509702727</v>
      </c>
      <c r="BD86">
        <f t="shared" si="81"/>
        <v>-123.01609881934729</v>
      </c>
      <c r="BF86">
        <f t="shared" si="82"/>
        <v>3.9454286270223071</v>
      </c>
      <c r="BG86">
        <f t="shared" si="83"/>
        <v>-113.48622395040982</v>
      </c>
      <c r="BH86">
        <f t="shared" si="98"/>
        <v>66.513776049590177</v>
      </c>
      <c r="BI86">
        <f t="shared" si="99"/>
        <v>66.513776049590177</v>
      </c>
      <c r="BJ86">
        <f t="shared" si="84"/>
        <v>0</v>
      </c>
      <c r="BK86">
        <f t="shared" si="100"/>
        <v>0</v>
      </c>
      <c r="BM86">
        <f t="shared" si="101"/>
        <v>-13.268560368450114</v>
      </c>
      <c r="BN86">
        <f t="shared" si="85"/>
        <v>-170.47012513106256</v>
      </c>
      <c r="BQ86" s="47">
        <f t="shared" si="102"/>
        <v>34.115949795757558</v>
      </c>
      <c r="BR86" s="529"/>
      <c r="BS86" s="529"/>
      <c r="BT86" s="529">
        <v>575.44000000000005</v>
      </c>
      <c r="BU86" s="529">
        <v>19.596</v>
      </c>
      <c r="BV86" s="529">
        <v>-264.9076</v>
      </c>
      <c r="BW86" s="49"/>
      <c r="BY86" s="529"/>
      <c r="BZ86" s="529"/>
      <c r="CA86" s="529"/>
      <c r="CC86" s="529"/>
    </row>
    <row r="87" spans="1:81">
      <c r="A87">
        <f t="shared" si="54"/>
        <v>26500</v>
      </c>
      <c r="B87">
        <f t="shared" si="86"/>
        <v>26.5</v>
      </c>
      <c r="C87">
        <f t="shared" si="55"/>
        <v>1.0088325827249798</v>
      </c>
      <c r="D87">
        <f t="shared" si="56"/>
        <v>0.13242399249099424</v>
      </c>
      <c r="F87">
        <f t="shared" si="57"/>
        <v>1.3804858120211407E-2</v>
      </c>
      <c r="G87">
        <f t="shared" si="58"/>
        <v>3.5668782312798297E-2</v>
      </c>
      <c r="H87">
        <f t="shared" si="59"/>
        <v>-3.1059238676872019</v>
      </c>
      <c r="J87">
        <f t="shared" si="60"/>
        <v>15</v>
      </c>
      <c r="M87">
        <f t="shared" si="61"/>
        <v>5.6829313886262833E-2</v>
      </c>
      <c r="N87">
        <f t="shared" si="62"/>
        <v>-1.5707963250000001</v>
      </c>
      <c r="O87">
        <f t="shared" si="63"/>
        <v>12.95108155973467</v>
      </c>
      <c r="P87">
        <f t="shared" si="64"/>
        <v>1.4935057678446908</v>
      </c>
      <c r="Q87">
        <f t="shared" si="65"/>
        <v>10.126874261798031</v>
      </c>
      <c r="R87">
        <f t="shared" si="66"/>
        <v>1.4718879851269064</v>
      </c>
      <c r="S87">
        <f t="shared" si="67"/>
        <v>0.99005946669996336</v>
      </c>
      <c r="T87">
        <f t="shared" si="68"/>
        <v>-0.14111729964817496</v>
      </c>
      <c r="U87">
        <f t="shared" si="69"/>
        <v>0.97635316755352985</v>
      </c>
      <c r="V87">
        <f t="shared" si="70"/>
        <v>-0.21790190486775515</v>
      </c>
      <c r="X87">
        <f t="shared" si="87"/>
        <v>3.5512879215611619</v>
      </c>
      <c r="Y87">
        <f t="shared" si="71"/>
        <v>-111.03473179862996</v>
      </c>
      <c r="Z87">
        <f t="shared" si="88"/>
        <v>68.965268201370037</v>
      </c>
      <c r="AC87">
        <v>1</v>
      </c>
      <c r="AD87">
        <f t="shared" si="72"/>
        <v>12.912417030397501</v>
      </c>
      <c r="AE87">
        <f t="shared" si="73"/>
        <v>-1.7629789958073186E-4</v>
      </c>
      <c r="AF87">
        <f t="shared" si="74"/>
        <v>7.9622409077190009E-4</v>
      </c>
      <c r="AG87">
        <f t="shared" si="89"/>
        <v>15194.07954300161</v>
      </c>
      <c r="AH87">
        <f t="shared" si="90"/>
        <v>-4620.1620274104571</v>
      </c>
      <c r="AJ87">
        <f t="shared" si="75"/>
        <v>22100</v>
      </c>
      <c r="AK87">
        <f t="shared" si="76"/>
        <v>3139.5605422102744</v>
      </c>
      <c r="AL87">
        <v>1</v>
      </c>
      <c r="AM87">
        <f t="shared" si="77"/>
        <v>10.07737973454744</v>
      </c>
      <c r="AN87">
        <f t="shared" si="91"/>
        <v>524.00455031182651</v>
      </c>
      <c r="AO87">
        <f t="shared" si="92"/>
        <v>-2141.0322939127705</v>
      </c>
      <c r="AQ87">
        <f t="shared" si="78"/>
        <v>3.5587188612099645</v>
      </c>
      <c r="AR87">
        <f t="shared" si="79"/>
        <v>-188.61209964412811</v>
      </c>
      <c r="AT87">
        <f t="shared" si="104"/>
        <v>-817347.00323755376</v>
      </c>
      <c r="AU87">
        <f t="shared" si="105"/>
        <v>-2882229.1025142195</v>
      </c>
      <c r="AV87">
        <f t="shared" si="93"/>
        <v>-1.8471231045911867</v>
      </c>
      <c r="AW87">
        <f t="shared" si="94"/>
        <v>-386700.24701754068</v>
      </c>
      <c r="AX87">
        <f t="shared" si="95"/>
        <v>-121517.20192320339</v>
      </c>
      <c r="AY87">
        <f t="shared" si="103"/>
        <v>-2.8371221605355279</v>
      </c>
      <c r="BA87">
        <f t="shared" si="80"/>
        <v>7.3909639142825991</v>
      </c>
      <c r="BB87">
        <f t="shared" si="96"/>
        <v>17.374021637598332</v>
      </c>
      <c r="BC87">
        <f t="shared" si="97"/>
        <v>0.98999905594434123</v>
      </c>
      <c r="BD87">
        <f t="shared" si="81"/>
        <v>-123.27723230763816</v>
      </c>
      <c r="BF87">
        <f t="shared" si="82"/>
        <v>3.7728677771804042</v>
      </c>
      <c r="BG87">
        <f t="shared" si="83"/>
        <v>-113.64622573373282</v>
      </c>
      <c r="BH87">
        <f t="shared" si="98"/>
        <v>66.35377426626718</v>
      </c>
      <c r="BI87">
        <f t="shared" si="99"/>
        <v>66.35377426626718</v>
      </c>
      <c r="BJ87">
        <f t="shared" si="84"/>
        <v>0</v>
      </c>
      <c r="BK87">
        <f t="shared" si="100"/>
        <v>0</v>
      </c>
      <c r="BM87">
        <f t="shared" si="101"/>
        <v>-13.601153860417929</v>
      </c>
      <c r="BN87">
        <f t="shared" si="85"/>
        <v>-170.36899342609465</v>
      </c>
      <c r="BQ87" s="47">
        <f t="shared" si="102"/>
        <v>34.275982437883471</v>
      </c>
      <c r="BR87" s="529"/>
      <c r="BS87" s="529"/>
      <c r="BT87" s="529">
        <v>588.84400000000005</v>
      </c>
      <c r="BU87" s="529">
        <v>19.373200000000001</v>
      </c>
      <c r="BV87" s="529">
        <v>-263.88170000000002</v>
      </c>
      <c r="BW87" s="49"/>
      <c r="BY87" s="529"/>
      <c r="BZ87" s="529"/>
      <c r="CA87" s="529"/>
      <c r="CC87" s="529"/>
    </row>
    <row r="88" spans="1:81">
      <c r="A88">
        <f t="shared" si="54"/>
        <v>27000</v>
      </c>
      <c r="B88">
        <f t="shared" si="86"/>
        <v>27</v>
      </c>
      <c r="C88">
        <f t="shared" si="55"/>
        <v>1.009167503675874</v>
      </c>
      <c r="D88">
        <f t="shared" si="56"/>
        <v>0.13489263351930664</v>
      </c>
      <c r="F88">
        <f t="shared" si="57"/>
        <v>1.329176135543096E-2</v>
      </c>
      <c r="G88">
        <f t="shared" si="58"/>
        <v>3.4990753368619829E-2</v>
      </c>
      <c r="H88">
        <f t="shared" si="59"/>
        <v>-3.1066018966313802</v>
      </c>
      <c r="J88">
        <f t="shared" si="60"/>
        <v>15</v>
      </c>
      <c r="M88">
        <f t="shared" si="61"/>
        <v>5.5776919184665374E-2</v>
      </c>
      <c r="N88">
        <f t="shared" si="62"/>
        <v>-1.5707963250000001</v>
      </c>
      <c r="O88">
        <f t="shared" si="63"/>
        <v>13.1939981387522</v>
      </c>
      <c r="P88">
        <f t="shared" si="64"/>
        <v>1.494931537491035</v>
      </c>
      <c r="Q88">
        <f t="shared" si="65"/>
        <v>10.316101293527906</v>
      </c>
      <c r="R88">
        <f t="shared" si="66"/>
        <v>1.4737080253186563</v>
      </c>
      <c r="S88">
        <f t="shared" si="67"/>
        <v>0.98968665142116119</v>
      </c>
      <c r="T88">
        <f t="shared" si="68"/>
        <v>-0.14374369566871406</v>
      </c>
      <c r="U88">
        <f t="shared" si="69"/>
        <v>0.97548527265839147</v>
      </c>
      <c r="V88">
        <f t="shared" si="70"/>
        <v>-0.22188082074655147</v>
      </c>
      <c r="X88">
        <f t="shared" si="87"/>
        <v>3.3740404019315395</v>
      </c>
      <c r="Y88">
        <f t="shared" si="71"/>
        <v>-111.12462257294135</v>
      </c>
      <c r="Z88">
        <f t="shared" si="88"/>
        <v>68.875377427058652</v>
      </c>
      <c r="AC88">
        <v>1</v>
      </c>
      <c r="AD88">
        <f t="shared" si="72"/>
        <v>13.156047540405002</v>
      </c>
      <c r="AE88">
        <f t="shared" si="73"/>
        <v>-1.8301341230951012E-4</v>
      </c>
      <c r="AF88">
        <f t="shared" si="74"/>
        <v>8.1124718682420007E-4</v>
      </c>
      <c r="AG88">
        <f t="shared" si="89"/>
        <v>15167.079060984153</v>
      </c>
      <c r="AH88">
        <f t="shared" si="90"/>
        <v>-4654.2890441320615</v>
      </c>
      <c r="AJ88">
        <f t="shared" si="75"/>
        <v>22100</v>
      </c>
      <c r="AK88">
        <f t="shared" si="76"/>
        <v>3198.7975335727324</v>
      </c>
      <c r="AL88">
        <v>1</v>
      </c>
      <c r="AM88">
        <f t="shared" si="77"/>
        <v>10.26751897482192</v>
      </c>
      <c r="AN88">
        <f t="shared" si="91"/>
        <v>516.28180549398053</v>
      </c>
      <c r="AO88">
        <f t="shared" si="92"/>
        <v>-2102.1357006920325</v>
      </c>
      <c r="AQ88">
        <f t="shared" si="78"/>
        <v>3.4281796366129584</v>
      </c>
      <c r="AR88">
        <f t="shared" si="79"/>
        <v>-185.12170037709976</v>
      </c>
      <c r="AT88">
        <f t="shared" si="104"/>
        <v>-809614.4303124689</v>
      </c>
      <c r="AU88">
        <f t="shared" si="105"/>
        <v>-2823711.204447296</v>
      </c>
      <c r="AV88">
        <f t="shared" si="93"/>
        <v>-1.8500255347773007</v>
      </c>
      <c r="AW88">
        <f t="shared" si="94"/>
        <v>-372161.72498386109</v>
      </c>
      <c r="AX88">
        <f t="shared" si="95"/>
        <v>-117682.79700896287</v>
      </c>
      <c r="AY88">
        <f t="shared" si="103"/>
        <v>-2.8353276785908244</v>
      </c>
      <c r="BA88">
        <f t="shared" si="80"/>
        <v>7.5257427810488426</v>
      </c>
      <c r="BB88">
        <f t="shared" si="96"/>
        <v>17.530987413665407</v>
      </c>
      <c r="BC88">
        <f t="shared" si="97"/>
        <v>0.98530214381352366</v>
      </c>
      <c r="BD88">
        <f t="shared" si="81"/>
        <v>-123.54634554978531</v>
      </c>
      <c r="BF88">
        <f t="shared" si="82"/>
        <v>3.6037284450865985</v>
      </c>
      <c r="BG88">
        <f t="shared" si="83"/>
        <v>-113.81274446059675</v>
      </c>
      <c r="BH88">
        <f t="shared" si="98"/>
        <v>66.187255539403253</v>
      </c>
      <c r="BI88">
        <f t="shared" si="99"/>
        <v>66.187255539403253</v>
      </c>
      <c r="BJ88">
        <f t="shared" si="84"/>
        <v>0</v>
      </c>
      <c r="BK88">
        <f t="shared" si="100"/>
        <v>0</v>
      </c>
      <c r="BM88">
        <f t="shared" si="101"/>
        <v>-13.927258968578808</v>
      </c>
      <c r="BN88">
        <f t="shared" si="85"/>
        <v>-170.26639891081143</v>
      </c>
      <c r="BQ88" s="47">
        <f t="shared" si="102"/>
        <v>34.432948213950546</v>
      </c>
      <c r="BR88" s="529"/>
      <c r="BS88" s="529"/>
      <c r="BT88" s="529">
        <v>602.55999999999995</v>
      </c>
      <c r="BU88" s="529">
        <v>19.198</v>
      </c>
      <c r="BV88" s="529">
        <v>-264.00260000000003</v>
      </c>
      <c r="BW88" s="49"/>
      <c r="BY88" s="529"/>
      <c r="BZ88" s="529"/>
      <c r="CA88" s="529"/>
      <c r="CC88" s="529"/>
    </row>
    <row r="89" spans="1:81">
      <c r="A89">
        <f t="shared" si="54"/>
        <v>27500</v>
      </c>
      <c r="B89">
        <f t="shared" si="86"/>
        <v>27.5</v>
      </c>
      <c r="C89">
        <f t="shared" si="55"/>
        <v>1.0095085705811724</v>
      </c>
      <c r="D89">
        <f t="shared" si="56"/>
        <v>0.13735962149108083</v>
      </c>
      <c r="F89">
        <f t="shared" si="57"/>
        <v>1.2806860458757898E-2</v>
      </c>
      <c r="G89">
        <f t="shared" si="58"/>
        <v>3.4338323745510727E-2</v>
      </c>
      <c r="H89">
        <f t="shared" si="59"/>
        <v>-3.1072543262544894</v>
      </c>
      <c r="J89">
        <f t="shared" si="60"/>
        <v>15</v>
      </c>
      <c r="M89">
        <f t="shared" si="61"/>
        <v>5.4762793381307816E-2</v>
      </c>
      <c r="N89">
        <f t="shared" si="62"/>
        <v>-1.5707963250000001</v>
      </c>
      <c r="O89">
        <f t="shared" si="63"/>
        <v>13.436940568995109</v>
      </c>
      <c r="P89">
        <f t="shared" si="64"/>
        <v>1.4963057534768942</v>
      </c>
      <c r="Q89">
        <f t="shared" si="65"/>
        <v>10.505361266694885</v>
      </c>
      <c r="R89">
        <f t="shared" si="66"/>
        <v>1.4754624930599691</v>
      </c>
      <c r="S89">
        <f t="shared" si="67"/>
        <v>0.98930730034358427</v>
      </c>
      <c r="T89">
        <f t="shared" si="68"/>
        <v>-0.14636809636338768</v>
      </c>
      <c r="U89">
        <f t="shared" si="69"/>
        <v>0.97460353088984575</v>
      </c>
      <c r="V89">
        <f t="shared" si="70"/>
        <v>-0.22585260632252849</v>
      </c>
      <c r="X89">
        <f t="shared" si="87"/>
        <v>3.2000024463945675</v>
      </c>
      <c r="Y89">
        <f t="shared" si="71"/>
        <v>-111.21932929918302</v>
      </c>
      <c r="Z89">
        <f t="shared" si="88"/>
        <v>68.780670700816984</v>
      </c>
      <c r="AC89">
        <v>1</v>
      </c>
      <c r="AD89">
        <f t="shared" si="72"/>
        <v>13.399678050412501</v>
      </c>
      <c r="AE89">
        <f t="shared" si="73"/>
        <v>-1.8985444864069555E-4</v>
      </c>
      <c r="AF89">
        <f t="shared" si="74"/>
        <v>8.2627028287650004E-4</v>
      </c>
      <c r="AG89">
        <f t="shared" si="89"/>
        <v>15139.672387903938</v>
      </c>
      <c r="AH89">
        <f t="shared" si="90"/>
        <v>-4688.942872686308</v>
      </c>
      <c r="AJ89">
        <f t="shared" si="75"/>
        <v>22100</v>
      </c>
      <c r="AK89">
        <f t="shared" si="76"/>
        <v>3258.0345249351899</v>
      </c>
      <c r="AL89">
        <v>1</v>
      </c>
      <c r="AM89">
        <f t="shared" si="77"/>
        <v>10.4576582150964</v>
      </c>
      <c r="AN89">
        <f t="shared" si="91"/>
        <v>508.97136987724929</v>
      </c>
      <c r="AO89">
        <f t="shared" si="92"/>
        <v>-2064.6141025104944</v>
      </c>
      <c r="AQ89">
        <f t="shared" si="78"/>
        <v>3.3046926635822866</v>
      </c>
      <c r="AR89">
        <f t="shared" si="79"/>
        <v>-181.75809649702578</v>
      </c>
      <c r="AT89">
        <f t="shared" si="104"/>
        <v>-802221.36685341375</v>
      </c>
      <c r="AU89">
        <f t="shared" si="105"/>
        <v>-2767253.5499253236</v>
      </c>
      <c r="AV89">
        <f t="shared" si="93"/>
        <v>-1.8529596913624491</v>
      </c>
      <c r="AW89">
        <f t="shared" si="94"/>
        <v>-358398.91275695339</v>
      </c>
      <c r="AX89">
        <f t="shared" si="95"/>
        <v>-114078.52057536258</v>
      </c>
      <c r="AY89">
        <f t="shared" si="103"/>
        <v>-2.8334321876322326</v>
      </c>
      <c r="BA89">
        <f t="shared" si="80"/>
        <v>7.6603619615036198</v>
      </c>
      <c r="BB89">
        <f t="shared" si="96"/>
        <v>17.684985821293669</v>
      </c>
      <c r="BC89">
        <f t="shared" si="97"/>
        <v>0.9804724962697835</v>
      </c>
      <c r="BD89">
        <f t="shared" si="81"/>
        <v>-123.82306397089354</v>
      </c>
      <c r="BF89">
        <f t="shared" si="82"/>
        <v>3.4378647613558213</v>
      </c>
      <c r="BG89">
        <f t="shared" si="83"/>
        <v>-113.98549634652744</v>
      </c>
      <c r="BH89">
        <f t="shared" si="98"/>
        <v>66.014503653472559</v>
      </c>
      <c r="BI89">
        <f t="shared" si="99"/>
        <v>66.014503653472559</v>
      </c>
      <c r="BJ89">
        <f t="shared" si="84"/>
        <v>0</v>
      </c>
      <c r="BK89">
        <f t="shared" si="100"/>
        <v>0</v>
      </c>
      <c r="BM89">
        <f t="shared" si="101"/>
        <v>-14.247121059937847</v>
      </c>
      <c r="BN89">
        <f t="shared" si="85"/>
        <v>-170.1624323756339</v>
      </c>
      <c r="BQ89" s="47">
        <f t="shared" si="102"/>
        <v>34.586946621578804</v>
      </c>
      <c r="BR89" s="529"/>
      <c r="BS89" s="529"/>
      <c r="BT89" s="529">
        <v>616.59500000000003</v>
      </c>
      <c r="BU89" s="529">
        <v>18.983699999999999</v>
      </c>
      <c r="BV89" s="529">
        <v>-264.13310000000001</v>
      </c>
      <c r="BW89" s="49"/>
      <c r="BY89" s="529"/>
      <c r="BZ89" s="529"/>
      <c r="CA89" s="529"/>
      <c r="CC89" s="529"/>
    </row>
    <row r="90" spans="1:81">
      <c r="A90">
        <f t="shared" si="54"/>
        <v>28000</v>
      </c>
      <c r="B90">
        <f t="shared" si="86"/>
        <v>28</v>
      </c>
      <c r="C90">
        <f t="shared" si="55"/>
        <v>1.0098557772137033</v>
      </c>
      <c r="D90">
        <f t="shared" si="56"/>
        <v>0.13982492806832475</v>
      </c>
      <c r="F90">
        <f t="shared" si="57"/>
        <v>1.2348119015108523E-2</v>
      </c>
      <c r="G90">
        <f t="shared" si="58"/>
        <v>3.3710055129203415E-2</v>
      </c>
      <c r="H90">
        <f t="shared" si="59"/>
        <v>-3.1078825948707967</v>
      </c>
      <c r="J90">
        <f t="shared" si="60"/>
        <v>15</v>
      </c>
      <c r="M90">
        <f t="shared" si="61"/>
        <v>5.3784886356641609E-2</v>
      </c>
      <c r="N90">
        <f t="shared" si="62"/>
        <v>-1.5707963250000001</v>
      </c>
      <c r="O90">
        <f t="shared" si="63"/>
        <v>13.679907473182327</v>
      </c>
      <c r="P90">
        <f t="shared" si="64"/>
        <v>1.4976311573801739</v>
      </c>
      <c r="Q90">
        <f t="shared" si="65"/>
        <v>10.694652432435685</v>
      </c>
      <c r="R90">
        <f t="shared" si="66"/>
        <v>1.4771548590722587</v>
      </c>
      <c r="S90">
        <f t="shared" si="67"/>
        <v>0.98892143664725307</v>
      </c>
      <c r="T90">
        <f t="shared" si="68"/>
        <v>-0.14899046789581427</v>
      </c>
      <c r="U90">
        <f t="shared" si="69"/>
        <v>0.9737080631030276</v>
      </c>
      <c r="V90">
        <f t="shared" si="70"/>
        <v>-0.22981715577460765</v>
      </c>
      <c r="X90">
        <f t="shared" si="87"/>
        <v>3.0290413549010604</v>
      </c>
      <c r="Y90">
        <f t="shared" si="71"/>
        <v>-111.31857207002408</v>
      </c>
      <c r="Z90">
        <f t="shared" si="88"/>
        <v>68.681427929975925</v>
      </c>
      <c r="AC90">
        <v>1</v>
      </c>
      <c r="AD90">
        <f t="shared" si="72"/>
        <v>13.643308560420003</v>
      </c>
      <c r="AE90">
        <f t="shared" si="73"/>
        <v>-1.96821008574288E-4</v>
      </c>
      <c r="AF90">
        <f t="shared" si="74"/>
        <v>8.4129337892880002E-4</v>
      </c>
      <c r="AG90">
        <f t="shared" si="89"/>
        <v>15111.86444271216</v>
      </c>
      <c r="AH90">
        <f t="shared" si="90"/>
        <v>-4724.0742654042469</v>
      </c>
      <c r="AJ90">
        <f t="shared" si="75"/>
        <v>22100</v>
      </c>
      <c r="AK90">
        <f t="shared" si="76"/>
        <v>3317.2715162976478</v>
      </c>
      <c r="AL90">
        <v>1</v>
      </c>
      <c r="AM90">
        <f t="shared" si="77"/>
        <v>10.647797455370881</v>
      </c>
      <c r="AN90">
        <f t="shared" si="91"/>
        <v>502.04449116613898</v>
      </c>
      <c r="AO90">
        <f t="shared" si="92"/>
        <v>-2028.3965392241366</v>
      </c>
      <c r="AQ90">
        <f t="shared" si="78"/>
        <v>3.1877590054191902</v>
      </c>
      <c r="AR90">
        <f t="shared" si="79"/>
        <v>-178.51450430347467</v>
      </c>
      <c r="AT90">
        <f t="shared" si="104"/>
        <v>-795142.79381551058</v>
      </c>
      <c r="AU90">
        <f t="shared" si="105"/>
        <v>-2712746.2003738773</v>
      </c>
      <c r="AV90">
        <f t="shared" si="93"/>
        <v>-1.8559234068446742</v>
      </c>
      <c r="AW90">
        <f t="shared" si="94"/>
        <v>-345357.9333686945</v>
      </c>
      <c r="AX90">
        <f t="shared" si="95"/>
        <v>-110685.93190920632</v>
      </c>
      <c r="AY90">
        <f t="shared" si="103"/>
        <v>-2.8314395951344977</v>
      </c>
      <c r="BA90">
        <f t="shared" si="80"/>
        <v>7.7948103673818512</v>
      </c>
      <c r="BB90">
        <f t="shared" si="96"/>
        <v>17.836111082219009</v>
      </c>
      <c r="BC90">
        <f t="shared" si="97"/>
        <v>0.97551618828982356</v>
      </c>
      <c r="BD90">
        <f t="shared" si="81"/>
        <v>-124.10703950043674</v>
      </c>
      <c r="BF90">
        <f t="shared" si="82"/>
        <v>3.2751394841983981</v>
      </c>
      <c r="BG90">
        <f t="shared" si="83"/>
        <v>-114.16421735398339</v>
      </c>
      <c r="BH90">
        <f t="shared" si="98"/>
        <v>65.835782646016611</v>
      </c>
      <c r="BI90">
        <f t="shared" si="99"/>
        <v>65.835782646016611</v>
      </c>
      <c r="BJ90">
        <f t="shared" si="84"/>
        <v>0</v>
      </c>
      <c r="BK90">
        <f t="shared" si="100"/>
        <v>0</v>
      </c>
      <c r="BM90">
        <f t="shared" si="101"/>
        <v>-14.560971598020609</v>
      </c>
      <c r="BN90">
        <f t="shared" si="85"/>
        <v>-170.05717785354662</v>
      </c>
      <c r="BQ90" s="47">
        <f t="shared" si="102"/>
        <v>34.738071882504144</v>
      </c>
      <c r="BR90" s="529"/>
      <c r="BS90" s="529"/>
      <c r="BT90" s="529">
        <v>630.95699999999999</v>
      </c>
      <c r="BU90" s="529">
        <v>18.802900000000001</v>
      </c>
      <c r="BV90" s="529">
        <v>-263.74850000000004</v>
      </c>
      <c r="BW90" s="49"/>
      <c r="BY90" s="529"/>
      <c r="BZ90" s="529"/>
      <c r="CA90" s="529"/>
      <c r="CC90" s="529"/>
    </row>
    <row r="91" spans="1:81">
      <c r="A91">
        <f t="shared" si="54"/>
        <v>28500</v>
      </c>
      <c r="B91">
        <f t="shared" si="86"/>
        <v>28.5</v>
      </c>
      <c r="C91">
        <f t="shared" si="55"/>
        <v>1.0102091172428354</v>
      </c>
      <c r="D91">
        <f t="shared" si="56"/>
        <v>0.14228852503341166</v>
      </c>
      <c r="F91">
        <f t="shared" si="57"/>
        <v>1.1913681842304782E-2</v>
      </c>
      <c r="G91">
        <f t="shared" si="58"/>
        <v>3.3104615989075693E-2</v>
      </c>
      <c r="H91">
        <f t="shared" si="59"/>
        <v>-3.1084880340109247</v>
      </c>
      <c r="J91">
        <f t="shared" si="60"/>
        <v>15</v>
      </c>
      <c r="M91">
        <f t="shared" si="61"/>
        <v>5.2841291859156668E-2</v>
      </c>
      <c r="N91">
        <f t="shared" si="62"/>
        <v>-1.5707963250000001</v>
      </c>
      <c r="O91">
        <f t="shared" si="63"/>
        <v>13.922897570037851</v>
      </c>
      <c r="P91">
        <f t="shared" si="64"/>
        <v>1.4989103001039537</v>
      </c>
      <c r="Q91">
        <f t="shared" si="65"/>
        <v>10.883973163271593</v>
      </c>
      <c r="R91">
        <f t="shared" si="66"/>
        <v>1.4787883540752047</v>
      </c>
      <c r="S91">
        <f t="shared" si="67"/>
        <v>0.98852908386110994</v>
      </c>
      <c r="T91">
        <f t="shared" si="68"/>
        <v>-0.1516107765935468</v>
      </c>
      <c r="U91">
        <f t="shared" si="69"/>
        <v>0.97279899142551729</v>
      </c>
      <c r="V91">
        <f t="shared" si="70"/>
        <v>-0.23377436457677497</v>
      </c>
      <c r="X91">
        <f t="shared" si="87"/>
        <v>2.8610324162879106</v>
      </c>
      <c r="Y91">
        <f t="shared" si="71"/>
        <v>-111.42208961252877</v>
      </c>
      <c r="Z91">
        <f t="shared" si="88"/>
        <v>68.577910387471235</v>
      </c>
      <c r="AC91">
        <v>1</v>
      </c>
      <c r="AD91">
        <f t="shared" si="72"/>
        <v>13.8869390704275</v>
      </c>
      <c r="AE91">
        <f t="shared" si="73"/>
        <v>-2.0391309211028753E-4</v>
      </c>
      <c r="AF91">
        <f t="shared" si="74"/>
        <v>8.5631647498110022E-4</v>
      </c>
      <c r="AG91">
        <f t="shared" si="89"/>
        <v>15083.660188144053</v>
      </c>
      <c r="AH91">
        <f t="shared" si="90"/>
        <v>-4759.6372467261608</v>
      </c>
      <c r="AJ91">
        <f t="shared" si="75"/>
        <v>22100</v>
      </c>
      <c r="AK91">
        <f t="shared" si="76"/>
        <v>3376.5085076601063</v>
      </c>
      <c r="AL91">
        <v>1</v>
      </c>
      <c r="AM91">
        <f t="shared" si="77"/>
        <v>10.837936695645361</v>
      </c>
      <c r="AN91">
        <f t="shared" si="91"/>
        <v>495.47487332441887</v>
      </c>
      <c r="AO91">
        <f t="shared" si="92"/>
        <v>-1993.41680371285</v>
      </c>
      <c r="AQ91">
        <f t="shared" si="78"/>
        <v>3.0769230769230771</v>
      </c>
      <c r="AR91">
        <f t="shared" si="79"/>
        <v>-175.38461538461539</v>
      </c>
      <c r="AT91">
        <f t="shared" si="104"/>
        <v>-788355.88576999109</v>
      </c>
      <c r="AU91">
        <f t="shared" si="105"/>
        <v>-2660086.9783721142</v>
      </c>
      <c r="AV91">
        <f t="shared" si="93"/>
        <v>-1.8589146580052118</v>
      </c>
      <c r="AW91">
        <f t="shared" si="94"/>
        <v>-332989.49220538948</v>
      </c>
      <c r="AX91">
        <f t="shared" si="95"/>
        <v>-107488.39517965588</v>
      </c>
      <c r="AY91">
        <f t="shared" si="103"/>
        <v>-2.8293535311920821</v>
      </c>
      <c r="BA91">
        <f t="shared" si="80"/>
        <v>7.9290767962859467</v>
      </c>
      <c r="BB91">
        <f t="shared" si="96"/>
        <v>17.984452483756431</v>
      </c>
      <c r="BC91">
        <f t="shared" si="97"/>
        <v>0.97043887318687028</v>
      </c>
      <c r="BD91">
        <f t="shared" si="81"/>
        <v>-124.39794822742641</v>
      </c>
      <c r="BF91">
        <f t="shared" si="82"/>
        <v>3.1154232994257312</v>
      </c>
      <c r="BG91">
        <f t="shared" si="83"/>
        <v>-114.34866147981205</v>
      </c>
      <c r="BH91">
        <f t="shared" si="98"/>
        <v>65.651338520187949</v>
      </c>
      <c r="BI91">
        <f t="shared" si="99"/>
        <v>65.651338520187949</v>
      </c>
      <c r="BJ91">
        <f t="shared" si="84"/>
        <v>0</v>
      </c>
      <c r="BK91">
        <f t="shared" si="100"/>
        <v>0</v>
      </c>
      <c r="BM91">
        <f t="shared" si="101"/>
        <v>-14.869029184330699</v>
      </c>
      <c r="BN91">
        <f t="shared" si="85"/>
        <v>-169.95071325238564</v>
      </c>
      <c r="BQ91" s="47">
        <f t="shared" si="102"/>
        <v>34.886413284041566</v>
      </c>
      <c r="BR91" s="529"/>
      <c r="BS91" s="529"/>
      <c r="BT91" s="529">
        <v>645.654</v>
      </c>
      <c r="BU91" s="529">
        <v>18.598600000000001</v>
      </c>
      <c r="BV91" s="529">
        <v>-263.7636</v>
      </c>
      <c r="BW91" s="49"/>
      <c r="BY91" s="529"/>
      <c r="BZ91" s="529"/>
      <c r="CA91" s="529"/>
      <c r="CC91" s="529"/>
    </row>
    <row r="92" spans="1:81">
      <c r="A92">
        <f t="shared" si="54"/>
        <v>29000</v>
      </c>
      <c r="B92">
        <f t="shared" si="86"/>
        <v>29</v>
      </c>
      <c r="C92">
        <f t="shared" si="55"/>
        <v>1.0105685842350378</v>
      </c>
      <c r="D92">
        <f t="shared" si="56"/>
        <v>0.14475038429084489</v>
      </c>
      <c r="F92">
        <f t="shared" si="57"/>
        <v>1.1501855910557881E-2</v>
      </c>
      <c r="G92">
        <f t="shared" si="58"/>
        <v>3.2520771767683795E-2</v>
      </c>
      <c r="H92">
        <f t="shared" si="59"/>
        <v>-3.1090718782323163</v>
      </c>
      <c r="J92">
        <f t="shared" si="60"/>
        <v>15</v>
      </c>
      <c r="M92">
        <f t="shared" si="61"/>
        <v>5.1930235102964316E-2</v>
      </c>
      <c r="N92">
        <f t="shared" si="62"/>
        <v>-1.5707963250000001</v>
      </c>
      <c r="O92">
        <f t="shared" si="63"/>
        <v>14.165909666079163</v>
      </c>
      <c r="P92">
        <f t="shared" si="64"/>
        <v>1.5001455581422281</v>
      </c>
      <c r="Q92">
        <f t="shared" si="65"/>
        <v>11.073321942778248</v>
      </c>
      <c r="R92">
        <f t="shared" si="66"/>
        <v>1.4803659891222698</v>
      </c>
      <c r="S92">
        <f t="shared" si="67"/>
        <v>0.98813026585915531</v>
      </c>
      <c r="T92">
        <f t="shared" si="68"/>
        <v>-0.15422898895039763</v>
      </c>
      <c r="U92">
        <f t="shared" si="69"/>
        <v>0.97187643921463007</v>
      </c>
      <c r="V92">
        <f t="shared" si="70"/>
        <v>-0.23772412950929017</v>
      </c>
      <c r="X92">
        <f t="shared" si="87"/>
        <v>2.6958582766554779</v>
      </c>
      <c r="Y92">
        <f t="shared" si="71"/>
        <v>-111.52963775383132</v>
      </c>
      <c r="Z92">
        <f t="shared" si="88"/>
        <v>68.470362246168676</v>
      </c>
      <c r="AC92">
        <v>1</v>
      </c>
      <c r="AD92">
        <f t="shared" si="72"/>
        <v>14.130569580435003</v>
      </c>
      <c r="AE92">
        <f t="shared" si="73"/>
        <v>-2.1113069924869418E-4</v>
      </c>
      <c r="AF92">
        <f t="shared" si="74"/>
        <v>8.713395710334002E-4</v>
      </c>
      <c r="AG92">
        <f t="shared" si="89"/>
        <v>15055.06462868209</v>
      </c>
      <c r="AH92">
        <f t="shared" si="90"/>
        <v>-4795.5888395291968</v>
      </c>
      <c r="AJ92">
        <f t="shared" si="75"/>
        <v>22100</v>
      </c>
      <c r="AK92">
        <f t="shared" si="76"/>
        <v>3435.7454990225642</v>
      </c>
      <c r="AL92">
        <v>1</v>
      </c>
      <c r="AM92">
        <f t="shared" si="77"/>
        <v>11.028075935919841</v>
      </c>
      <c r="AN92">
        <f t="shared" si="91"/>
        <v>489.23842970394219</v>
      </c>
      <c r="AO92">
        <f t="shared" si="92"/>
        <v>-1959.6130545226904</v>
      </c>
      <c r="AQ92">
        <f t="shared" si="78"/>
        <v>2.9717682020802378</v>
      </c>
      <c r="AR92">
        <f t="shared" si="79"/>
        <v>-172.3625557206538</v>
      </c>
      <c r="AT92">
        <f t="shared" si="104"/>
        <v>-781839.78622291633</v>
      </c>
      <c r="AU92">
        <f t="shared" si="105"/>
        <v>-2609180.7943628244</v>
      </c>
      <c r="AV92">
        <f t="shared" si="93"/>
        <v>-1.8619315537623256</v>
      </c>
      <c r="AW92">
        <f t="shared" si="94"/>
        <v>-321248.41876525717</v>
      </c>
      <c r="AX92">
        <f t="shared" si="95"/>
        <v>-104470.87342202032</v>
      </c>
      <c r="AY92">
        <f t="shared" si="103"/>
        <v>-2.8271773731535492</v>
      </c>
      <c r="BA92">
        <f t="shared" si="80"/>
        <v>8.0631499176535169</v>
      </c>
      <c r="BB92">
        <f t="shared" si="96"/>
        <v>18.130094693703494</v>
      </c>
      <c r="BC92">
        <f t="shared" si="97"/>
        <v>0.96524581939122367</v>
      </c>
      <c r="BD92">
        <f t="shared" si="81"/>
        <v>-124.69548829304135</v>
      </c>
      <c r="BF92">
        <f t="shared" si="82"/>
        <v>2.9585941903984563</v>
      </c>
      <c r="BG92">
        <f t="shared" si="83"/>
        <v>-114.53859920987672</v>
      </c>
      <c r="BH92">
        <f t="shared" si="98"/>
        <v>65.461400790123278</v>
      </c>
      <c r="BI92">
        <f t="shared" si="99"/>
        <v>65.461400790123278</v>
      </c>
      <c r="BJ92">
        <f t="shared" si="84"/>
        <v>0</v>
      </c>
      <c r="BK92">
        <f t="shared" si="100"/>
        <v>0</v>
      </c>
      <c r="BM92">
        <f t="shared" si="101"/>
        <v>-15.171500503305037</v>
      </c>
      <c r="BN92">
        <f t="shared" si="85"/>
        <v>-169.8431109168354</v>
      </c>
      <c r="BQ92" s="47">
        <f t="shared" si="102"/>
        <v>35.032055493988629</v>
      </c>
      <c r="BR92" s="529"/>
      <c r="BS92" s="529"/>
      <c r="BT92" s="529">
        <v>660.69299999999998</v>
      </c>
      <c r="BU92" s="529">
        <v>18.468</v>
      </c>
      <c r="BV92" s="529">
        <v>-263.60980000000001</v>
      </c>
      <c r="BW92" s="49"/>
      <c r="BY92" s="529"/>
      <c r="BZ92" s="529"/>
      <c r="CA92" s="529"/>
      <c r="CC92" s="529"/>
    </row>
    <row r="93" spans="1:81">
      <c r="A93">
        <f t="shared" si="54"/>
        <v>29500</v>
      </c>
      <c r="B93">
        <f t="shared" si="86"/>
        <v>29.5</v>
      </c>
      <c r="C93">
        <f t="shared" si="55"/>
        <v>1.0109341716544522</v>
      </c>
      <c r="D93">
        <f t="shared" si="56"/>
        <v>0.14721047786900079</v>
      </c>
      <c r="F93">
        <f t="shared" si="57"/>
        <v>1.1111093572477058E-2</v>
      </c>
      <c r="G93">
        <f t="shared" si="58"/>
        <v>3.1957376139958471E-2</v>
      </c>
      <c r="H93">
        <f t="shared" si="59"/>
        <v>-3.1096352738600417</v>
      </c>
      <c r="J93">
        <f t="shared" si="60"/>
        <v>15</v>
      </c>
      <c r="M93">
        <f t="shared" si="61"/>
        <v>5.1050061626642884E-2</v>
      </c>
      <c r="N93">
        <f t="shared" si="62"/>
        <v>-1.5707963250000001</v>
      </c>
      <c r="O93">
        <f t="shared" si="63"/>
        <v>14.408942648233326</v>
      </c>
      <c r="P93">
        <f t="shared" si="64"/>
        <v>1.5013391482112033</v>
      </c>
      <c r="Q93">
        <f t="shared" si="65"/>
        <v>11.262697356290655</v>
      </c>
      <c r="R93">
        <f t="shared" si="66"/>
        <v>1.4818905739086241</v>
      </c>
      <c r="S93">
        <f t="shared" si="67"/>
        <v>0.98772500685653963</v>
      </c>
      <c r="T93">
        <f t="shared" si="68"/>
        <v>-0.15684507162873093</v>
      </c>
      <c r="U93">
        <f t="shared" si="69"/>
        <v>0.97094053101463351</v>
      </c>
      <c r="V93">
        <f t="shared" si="70"/>
        <v>-0.2416663486693621</v>
      </c>
      <c r="X93">
        <f t="shared" si="87"/>
        <v>2.5334083694130483</v>
      </c>
      <c r="Y93">
        <f t="shared" si="71"/>
        <v>-111.64098803531235</v>
      </c>
      <c r="Z93">
        <f t="shared" si="88"/>
        <v>68.359011964687653</v>
      </c>
      <c r="AC93">
        <v>1</v>
      </c>
      <c r="AD93">
        <f t="shared" si="72"/>
        <v>14.374200090442502</v>
      </c>
      <c r="AE93">
        <f t="shared" si="73"/>
        <v>-2.1847382998950779E-4</v>
      </c>
      <c r="AF93">
        <f t="shared" si="74"/>
        <v>8.8636266708570018E-4</v>
      </c>
      <c r="AG93">
        <f t="shared" si="89"/>
        <v>15026.082808521031</v>
      </c>
      <c r="AH93">
        <f t="shared" si="90"/>
        <v>-4831.8888192783015</v>
      </c>
      <c r="AJ93">
        <f t="shared" si="75"/>
        <v>22100</v>
      </c>
      <c r="AK93">
        <f t="shared" si="76"/>
        <v>3494.9824903850222</v>
      </c>
      <c r="AL93">
        <v>1</v>
      </c>
      <c r="AM93">
        <f t="shared" si="77"/>
        <v>11.21821517619432</v>
      </c>
      <c r="AN93">
        <f t="shared" si="91"/>
        <v>483.31306456487283</v>
      </c>
      <c r="AO93">
        <f t="shared" si="92"/>
        <v>-1926.92746536962</v>
      </c>
      <c r="AQ93">
        <f t="shared" si="78"/>
        <v>2.8719126938541066</v>
      </c>
      <c r="AR93">
        <f t="shared" si="79"/>
        <v>-169.44284893739231</v>
      </c>
      <c r="AT93">
        <f t="shared" si="104"/>
        <v>-775575.40933055361</v>
      </c>
      <c r="AU93">
        <f t="shared" si="105"/>
        <v>-2559939.0422803536</v>
      </c>
      <c r="AV93">
        <f t="shared" si="93"/>
        <v>-1.864972324241547</v>
      </c>
      <c r="AW93">
        <f t="shared" si="94"/>
        <v>-310093.26081109932</v>
      </c>
      <c r="AX93">
        <f t="shared" si="95"/>
        <v>-101619.74916867325</v>
      </c>
      <c r="AY93">
        <f t="shared" si="103"/>
        <v>-2.8249142678100974</v>
      </c>
      <c r="BA93">
        <f t="shared" si="80"/>
        <v>8.1970182602757156</v>
      </c>
      <c r="BB93">
        <f t="shared" si="96"/>
        <v>18.273118051075205</v>
      </c>
      <c r="BC93">
        <f t="shared" si="97"/>
        <v>0.95994194356855034</v>
      </c>
      <c r="BD93">
        <f t="shared" si="81"/>
        <v>-124.99937799308925</v>
      </c>
      <c r="BF93">
        <f t="shared" si="82"/>
        <v>2.8045368696992123</v>
      </c>
      <c r="BG93">
        <f t="shared" si="83"/>
        <v>-114.73381612222967</v>
      </c>
      <c r="BH93">
        <f t="shared" si="98"/>
        <v>65.266183877770331</v>
      </c>
      <c r="BI93">
        <f t="shared" si="99"/>
        <v>65.266183877770331</v>
      </c>
      <c r="BJ93">
        <f t="shared" si="84"/>
        <v>0</v>
      </c>
      <c r="BK93">
        <f t="shared" si="100"/>
        <v>0</v>
      </c>
      <c r="BM93">
        <f t="shared" si="101"/>
        <v>-15.468581181375992</v>
      </c>
      <c r="BN93">
        <f t="shared" si="85"/>
        <v>-169.73443812914044</v>
      </c>
      <c r="BQ93" s="47">
        <f t="shared" si="102"/>
        <v>35.17507885136034</v>
      </c>
      <c r="BR93" s="529"/>
      <c r="BS93" s="529"/>
      <c r="BT93" s="529">
        <v>676.08299999999997</v>
      </c>
      <c r="BU93" s="529">
        <v>18.2744</v>
      </c>
      <c r="BV93" s="529">
        <v>-263.3252</v>
      </c>
      <c r="BW93" s="49"/>
      <c r="BY93" s="529"/>
      <c r="BZ93" s="529"/>
      <c r="CA93" s="529"/>
      <c r="CC93" s="529"/>
    </row>
    <row r="94" spans="1:81">
      <c r="A94">
        <f t="shared" si="54"/>
        <v>30000</v>
      </c>
      <c r="B94">
        <f t="shared" si="86"/>
        <v>30</v>
      </c>
      <c r="C94">
        <f t="shared" si="55"/>
        <v>1.0113058728634687</v>
      </c>
      <c r="D94">
        <f t="shared" si="56"/>
        <v>0.14966877792185065</v>
      </c>
      <c r="F94">
        <f t="shared" si="57"/>
        <v>1.0739977788347727E-2</v>
      </c>
      <c r="G94">
        <f t="shared" si="58"/>
        <v>3.1413363207615445E-2</v>
      </c>
      <c r="H94">
        <f t="shared" si="59"/>
        <v>-3.110179286792385</v>
      </c>
      <c r="J94">
        <f t="shared" si="60"/>
        <v>15</v>
      </c>
      <c r="M94">
        <f t="shared" si="61"/>
        <v>5.019922726619884E-2</v>
      </c>
      <c r="N94">
        <f t="shared" si="62"/>
        <v>-1.5707963250000001</v>
      </c>
      <c r="O94">
        <f t="shared" si="63"/>
        <v>14.651995477185094</v>
      </c>
      <c r="P94">
        <f t="shared" si="64"/>
        <v>1.5024931404342965</v>
      </c>
      <c r="Q94">
        <f t="shared" si="65"/>
        <v>11.452098082524579</v>
      </c>
      <c r="R94">
        <f t="shared" si="66"/>
        <v>1.4833647332828488</v>
      </c>
      <c r="S94">
        <f t="shared" si="67"/>
        <v>0.98731333140561273</v>
      </c>
      <c r="T94">
        <f t="shared" si="68"/>
        <v>-0.15945899146172229</v>
      </c>
      <c r="U94">
        <f t="shared" si="69"/>
        <v>0.96999139251391597</v>
      </c>
      <c r="V94">
        <f t="shared" si="70"/>
        <v>-0.24560092148129106</v>
      </c>
      <c r="X94">
        <f t="shared" si="87"/>
        <v>2.373578399880147</v>
      </c>
      <c r="Y94">
        <f t="shared" si="71"/>
        <v>-111.7559264589419</v>
      </c>
      <c r="Z94">
        <f t="shared" si="88"/>
        <v>68.2440735410581</v>
      </c>
      <c r="AC94">
        <v>1</v>
      </c>
      <c r="AD94">
        <f t="shared" si="72"/>
        <v>14.617830600450002</v>
      </c>
      <c r="AE94">
        <f t="shared" si="73"/>
        <v>-2.2594248433272854E-4</v>
      </c>
      <c r="AF94">
        <f t="shared" si="74"/>
        <v>9.0138576313800016E-4</v>
      </c>
      <c r="AG94">
        <f t="shared" si="89"/>
        <v>14996.719809536336</v>
      </c>
      <c r="AH94">
        <f t="shared" si="90"/>
        <v>-4868.4994927489552</v>
      </c>
      <c r="AJ94">
        <f t="shared" si="75"/>
        <v>22100</v>
      </c>
      <c r="AK94">
        <f t="shared" si="76"/>
        <v>3554.2194817474801</v>
      </c>
      <c r="AL94">
        <v>1</v>
      </c>
      <c r="AM94">
        <f t="shared" si="77"/>
        <v>11.4083544164688</v>
      </c>
      <c r="AN94">
        <f t="shared" si="91"/>
        <v>477.67847932615325</v>
      </c>
      <c r="AO94">
        <f t="shared" si="92"/>
        <v>-1895.3059075251408</v>
      </c>
      <c r="AQ94">
        <f t="shared" si="78"/>
        <v>2.7770063871146902</v>
      </c>
      <c r="AR94">
        <f t="shared" si="79"/>
        <v>-166.62038322688142</v>
      </c>
      <c r="AT94">
        <f t="shared" si="104"/>
        <v>-769545.26452485693</v>
      </c>
      <c r="AU94">
        <f t="shared" si="105"/>
        <v>-2512279.0559981368</v>
      </c>
      <c r="AV94">
        <f t="shared" si="93"/>
        <v>-1.8680353109228469</v>
      </c>
      <c r="AW94">
        <f t="shared" si="94"/>
        <v>-299485.92420614179</v>
      </c>
      <c r="AX94">
        <f t="shared" si="95"/>
        <v>-98922.667896685234</v>
      </c>
      <c r="AY94">
        <f t="shared" si="103"/>
        <v>-2.8225671514179584</v>
      </c>
      <c r="BA94">
        <f t="shared" si="80"/>
        <v>8.3306702012257094</v>
      </c>
      <c r="BB94">
        <f t="shared" si="96"/>
        <v>18.413598834824153</v>
      </c>
      <c r="BC94">
        <f t="shared" si="97"/>
        <v>0.95453184049511153</v>
      </c>
      <c r="BD94">
        <f t="shared" si="81"/>
        <v>-125.30935406628225</v>
      </c>
      <c r="BF94">
        <f t="shared" si="82"/>
        <v>2.6531422654189001</v>
      </c>
      <c r="BG94">
        <f t="shared" si="83"/>
        <v>-114.93411162251607</v>
      </c>
      <c r="BH94">
        <f t="shared" si="98"/>
        <v>65.06588837748393</v>
      </c>
      <c r="BI94">
        <f t="shared" si="99"/>
        <v>65.06588837748393</v>
      </c>
      <c r="BJ94">
        <f t="shared" si="84"/>
        <v>0</v>
      </c>
      <c r="BK94">
        <f t="shared" si="100"/>
        <v>0</v>
      </c>
      <c r="BM94">
        <f t="shared" si="101"/>
        <v>-15.760456569405255</v>
      </c>
      <c r="BN94">
        <f t="shared" si="85"/>
        <v>-169.62475755623382</v>
      </c>
      <c r="BQ94" s="47">
        <f t="shared" si="102"/>
        <v>35.315559635109295</v>
      </c>
      <c r="BR94" s="529"/>
      <c r="BS94" s="529"/>
      <c r="BT94" s="529">
        <v>691.83100000000002</v>
      </c>
      <c r="BU94" s="529">
        <v>18.092600000000001</v>
      </c>
      <c r="BV94" s="529">
        <v>-263.57819999999998</v>
      </c>
      <c r="BW94" s="49"/>
      <c r="BY94" s="529"/>
      <c r="BZ94" s="529"/>
      <c r="CA94" s="529"/>
      <c r="CC94" s="529"/>
    </row>
    <row r="95" spans="1:81">
      <c r="A95">
        <f t="shared" si="54"/>
        <v>30500</v>
      </c>
      <c r="B95">
        <f t="shared" si="86"/>
        <v>30.5</v>
      </c>
      <c r="C95">
        <f t="shared" si="55"/>
        <v>1.0116836811233123</v>
      </c>
      <c r="D95">
        <f t="shared" si="56"/>
        <v>0.15212525673066071</v>
      </c>
      <c r="F95">
        <f t="shared" si="57"/>
        <v>1.0387209079135091E-2</v>
      </c>
      <c r="G95">
        <f t="shared" si="58"/>
        <v>3.0887740513400989E-2</v>
      </c>
      <c r="H95">
        <f t="shared" si="59"/>
        <v>-3.1107049094865991</v>
      </c>
      <c r="J95">
        <f t="shared" si="60"/>
        <v>15</v>
      </c>
      <c r="M95">
        <f t="shared" si="61"/>
        <v>4.9376289114293939E-2</v>
      </c>
      <c r="N95">
        <f t="shared" si="62"/>
        <v>-1.5707963250000001</v>
      </c>
      <c r="O95">
        <f t="shared" si="63"/>
        <v>14.895067181373863</v>
      </c>
      <c r="P95">
        <f t="shared" si="64"/>
        <v>1.503609470244671</v>
      </c>
      <c r="Q95">
        <f t="shared" si="65"/>
        <v>11.641522886010835</v>
      </c>
      <c r="R95">
        <f t="shared" si="66"/>
        <v>1.4847909221641835</v>
      </c>
      <c r="S95">
        <f t="shared" si="67"/>
        <v>0.9868952643919312</v>
      </c>
      <c r="T95">
        <f t="shared" si="68"/>
        <v>-0.16207071545558543</v>
      </c>
      <c r="U95">
        <f t="shared" si="69"/>
        <v>0.96902915050213645</v>
      </c>
      <c r="V95">
        <f t="shared" si="70"/>
        <v>-0.24952774870607952</v>
      </c>
      <c r="X95">
        <f t="shared" si="87"/>
        <v>2.2162698782712758</v>
      </c>
      <c r="Y95">
        <f t="shared" si="71"/>
        <v>-111.87425235145453</v>
      </c>
      <c r="Z95">
        <f t="shared" si="88"/>
        <v>68.12574764854547</v>
      </c>
      <c r="AC95">
        <v>1</v>
      </c>
      <c r="AD95">
        <f t="shared" si="72"/>
        <v>14.861461110457501</v>
      </c>
      <c r="AE95">
        <f t="shared" si="73"/>
        <v>-2.3353666227835638E-4</v>
      </c>
      <c r="AF95">
        <f t="shared" si="74"/>
        <v>9.1640885919030014E-4</v>
      </c>
      <c r="AG95">
        <f t="shared" si="89"/>
        <v>14966.980749257171</v>
      </c>
      <c r="AH95">
        <f t="shared" si="90"/>
        <v>-4905.3854984966247</v>
      </c>
      <c r="AJ95">
        <f t="shared" si="75"/>
        <v>22100</v>
      </c>
      <c r="AK95">
        <f t="shared" si="76"/>
        <v>3613.4564731099385</v>
      </c>
      <c r="AL95">
        <v>1</v>
      </c>
      <c r="AM95">
        <f t="shared" si="77"/>
        <v>11.598493656743281</v>
      </c>
      <c r="AN95">
        <f t="shared" si="91"/>
        <v>472.31600040632748</v>
      </c>
      <c r="AO95">
        <f t="shared" si="92"/>
        <v>-1864.6976615812082</v>
      </c>
      <c r="AQ95">
        <f t="shared" si="78"/>
        <v>2.6867275658248255</v>
      </c>
      <c r="AR95">
        <f t="shared" si="79"/>
        <v>-163.89038151531435</v>
      </c>
      <c r="AT95">
        <f t="shared" si="104"/>
        <v>-763733.30107210344</v>
      </c>
      <c r="AU95">
        <f t="shared" si="105"/>
        <v>-2466123.6195679312</v>
      </c>
      <c r="AV95">
        <f t="shared" si="93"/>
        <v>-1.8711189577431964</v>
      </c>
      <c r="AW95">
        <f t="shared" si="94"/>
        <v>-289391.35266958701</v>
      </c>
      <c r="AX95">
        <f t="shared" si="95"/>
        <v>-96368.401065044978</v>
      </c>
      <c r="AY95">
        <f t="shared" si="103"/>
        <v>-2.8201387677984209</v>
      </c>
      <c r="BA95">
        <f t="shared" si="80"/>
        <v>8.4640939560761232</v>
      </c>
      <c r="BB95">
        <f t="shared" si="96"/>
        <v>18.551609512486966</v>
      </c>
      <c r="BC95">
        <f t="shared" si="97"/>
        <v>0.94901981005522451</v>
      </c>
      <c r="BD95">
        <f t="shared" si="81"/>
        <v>-125.62517014739629</v>
      </c>
      <c r="BF95">
        <f t="shared" si="82"/>
        <v>2.5043070558846239</v>
      </c>
      <c r="BG95">
        <f t="shared" si="83"/>
        <v>-115.13929779729033</v>
      </c>
      <c r="BH95">
        <f t="shared" si="98"/>
        <v>64.860702202709675</v>
      </c>
      <c r="BI95">
        <f t="shared" si="99"/>
        <v>64.860702202709675</v>
      </c>
      <c r="BJ95">
        <f t="shared" si="84"/>
        <v>0</v>
      </c>
      <c r="BK95">
        <f t="shared" si="100"/>
        <v>0</v>
      </c>
      <c r="BM95">
        <f t="shared" si="101"/>
        <v>-16.047302456602342</v>
      </c>
      <c r="BN95">
        <f t="shared" si="85"/>
        <v>-169.51412764989405</v>
      </c>
      <c r="BQ95" s="47">
        <f t="shared" si="102"/>
        <v>35.453570312772101</v>
      </c>
      <c r="BR95" s="529"/>
      <c r="BS95" s="529"/>
      <c r="BT95" s="529">
        <v>707.94600000000003</v>
      </c>
      <c r="BU95" s="529">
        <v>17.887</v>
      </c>
      <c r="BV95" s="529">
        <v>-262.84989999999999</v>
      </c>
      <c r="BW95" s="49"/>
      <c r="BY95" s="529"/>
      <c r="BZ95" s="529"/>
      <c r="CA95" s="529"/>
      <c r="CC95" s="529"/>
    </row>
    <row r="96" spans="1:81">
      <c r="A96">
        <f t="shared" si="54"/>
        <v>31000</v>
      </c>
      <c r="B96">
        <f t="shared" si="86"/>
        <v>31</v>
      </c>
      <c r="C96">
        <f t="shared" si="55"/>
        <v>1.0120675895946349</v>
      </c>
      <c r="D96">
        <f t="shared" si="56"/>
        <v>0.15457988670567047</v>
      </c>
      <c r="F96">
        <f t="shared" si="57"/>
        <v>1.0051593979470414E-2</v>
      </c>
      <c r="G96">
        <f t="shared" si="58"/>
        <v>3.0379582775859948E-2</v>
      </c>
      <c r="H96">
        <f t="shared" si="59"/>
        <v>-3.1112130672241403</v>
      </c>
      <c r="J96">
        <f t="shared" si="60"/>
        <v>15</v>
      </c>
      <c r="M96">
        <f t="shared" si="61"/>
        <v>4.8579897354385969E-2</v>
      </c>
      <c r="N96">
        <f t="shared" si="62"/>
        <v>-1.5707963250000001</v>
      </c>
      <c r="O96">
        <f t="shared" si="63"/>
        <v>15.138156851566904</v>
      </c>
      <c r="P96">
        <f t="shared" si="64"/>
        <v>1.5046899491483003</v>
      </c>
      <c r="Q96">
        <f t="shared" si="65"/>
        <v>11.830970610252114</v>
      </c>
      <c r="R96">
        <f t="shared" si="66"/>
        <v>1.4861714390416534</v>
      </c>
      <c r="S96">
        <f t="shared" si="67"/>
        <v>0.98647083103022659</v>
      </c>
      <c r="T96">
        <f t="shared" si="68"/>
        <v>-0.16468021079176526</v>
      </c>
      <c r="U96">
        <f t="shared" si="69"/>
        <v>0.9680539328273764</v>
      </c>
      <c r="V96">
        <f t="shared" si="70"/>
        <v>-0.25344673245051208</v>
      </c>
      <c r="X96">
        <f t="shared" si="87"/>
        <v>2.0613896956919975</v>
      </c>
      <c r="Y96">
        <f t="shared" si="71"/>
        <v>-111.99577733374909</v>
      </c>
      <c r="Z96">
        <f t="shared" si="88"/>
        <v>68.004222666250911</v>
      </c>
      <c r="AC96">
        <v>1</v>
      </c>
      <c r="AD96">
        <f t="shared" si="72"/>
        <v>15.105091620465002</v>
      </c>
      <c r="AE96">
        <f t="shared" si="73"/>
        <v>-2.4125636382639132E-4</v>
      </c>
      <c r="AF96">
        <f t="shared" si="74"/>
        <v>9.3143195524260012E-4</v>
      </c>
      <c r="AG96">
        <f t="shared" si="89"/>
        <v>14936.870778845438</v>
      </c>
      <c r="AH96">
        <f t="shared" si="90"/>
        <v>-4942.5136266125564</v>
      </c>
      <c r="AJ96">
        <f t="shared" si="75"/>
        <v>22100</v>
      </c>
      <c r="AK96">
        <f t="shared" si="76"/>
        <v>3672.6934644723965</v>
      </c>
      <c r="AL96">
        <v>1</v>
      </c>
      <c r="AM96">
        <f t="shared" si="77"/>
        <v>11.788632897017761</v>
      </c>
      <c r="AN96">
        <f t="shared" si="91"/>
        <v>467.20842595515285</v>
      </c>
      <c r="AO96">
        <f t="shared" si="92"/>
        <v>-1835.0551555064048</v>
      </c>
      <c r="AQ96">
        <f t="shared" si="78"/>
        <v>2.6007802340702209</v>
      </c>
      <c r="AR96">
        <f t="shared" si="79"/>
        <v>-161.24837451235371</v>
      </c>
      <c r="AT96">
        <f t="shared" si="104"/>
        <v>-758124.77001595078</v>
      </c>
      <c r="AU96">
        <f t="shared" si="105"/>
        <v>-2421400.5251366179</v>
      </c>
      <c r="AV96">
        <f t="shared" si="93"/>
        <v>-1.8742218030483686</v>
      </c>
      <c r="AW96">
        <f t="shared" si="94"/>
        <v>-279777.24249087292</v>
      </c>
      <c r="AX96">
        <f t="shared" si="95"/>
        <v>-93946.726014652144</v>
      </c>
      <c r="AY96">
        <f t="shared" si="103"/>
        <v>-2.8176316847283291</v>
      </c>
      <c r="BA96">
        <f t="shared" si="80"/>
        <v>8.5972775703012623</v>
      </c>
      <c r="BB96">
        <f t="shared" si="96"/>
        <v>18.687218970508216</v>
      </c>
      <c r="BC96">
        <f t="shared" si="97"/>
        <v>0.94340988167996054</v>
      </c>
      <c r="BD96">
        <f t="shared" si="81"/>
        <v>-125.94659536703688</v>
      </c>
      <c r="BF96">
        <f t="shared" si="82"/>
        <v>2.3579332474579027</v>
      </c>
      <c r="BG96">
        <f t="shared" si="83"/>
        <v>-115.34919837265713</v>
      </c>
      <c r="BH96">
        <f t="shared" si="98"/>
        <v>64.650801627342872</v>
      </c>
      <c r="BI96">
        <f t="shared" si="99"/>
        <v>64.650801627342872</v>
      </c>
      <c r="BJ96">
        <f t="shared" si="84"/>
        <v>0</v>
      </c>
      <c r="BK96">
        <f t="shared" si="100"/>
        <v>0</v>
      </c>
      <c r="BM96">
        <f t="shared" si="101"/>
        <v>-16.329285723050312</v>
      </c>
      <c r="BN96">
        <f t="shared" si="85"/>
        <v>-169.40260300562025</v>
      </c>
      <c r="BQ96" s="47">
        <f t="shared" si="102"/>
        <v>35.589179770793351</v>
      </c>
      <c r="BR96" s="529"/>
      <c r="BS96" s="529"/>
      <c r="BT96" s="529">
        <v>724.43600000000004</v>
      </c>
      <c r="BU96" s="529">
        <v>17.753599999999999</v>
      </c>
      <c r="BV96" s="529">
        <v>-262.81690000000003</v>
      </c>
      <c r="BW96" s="49"/>
      <c r="BY96" s="529"/>
      <c r="BZ96" s="529"/>
      <c r="CA96" s="529"/>
      <c r="CC96" s="529"/>
    </row>
    <row r="97" spans="1:81">
      <c r="A97">
        <f t="shared" si="54"/>
        <v>31500</v>
      </c>
      <c r="B97">
        <f t="shared" si="86"/>
        <v>31.5</v>
      </c>
      <c r="C97">
        <f t="shared" si="55"/>
        <v>1.0124575913381149</v>
      </c>
      <c r="D97">
        <f t="shared" si="56"/>
        <v>0.15703264038774867</v>
      </c>
      <c r="F97">
        <f t="shared" si="57"/>
        <v>9.7320347961899929E-3</v>
      </c>
      <c r="G97">
        <f t="shared" si="58"/>
        <v>2.9888026258896198E-2</v>
      </c>
      <c r="H97">
        <f t="shared" si="59"/>
        <v>-3.1117046237411041</v>
      </c>
      <c r="J97">
        <f t="shared" si="60"/>
        <v>15</v>
      </c>
      <c r="M97">
        <f t="shared" si="61"/>
        <v>4.780878787257032E-2</v>
      </c>
      <c r="N97">
        <f t="shared" si="62"/>
        <v>-1.5707963250000001</v>
      </c>
      <c r="O97">
        <f t="shared" si="63"/>
        <v>15.381263635945402</v>
      </c>
      <c r="P97">
        <f t="shared" si="64"/>
        <v>1.5057362744726497</v>
      </c>
      <c r="Q97">
        <f t="shared" si="65"/>
        <v>12.020440171523205</v>
      </c>
      <c r="R97">
        <f t="shared" si="66"/>
        <v>1.4875084382095292</v>
      </c>
      <c r="S97">
        <f t="shared" si="67"/>
        <v>0.9860400568603348</v>
      </c>
      <c r="T97">
        <f t="shared" si="68"/>
        <v>-0.16728744482909749</v>
      </c>
      <c r="U97">
        <f t="shared" si="69"/>
        <v>0.96706586835332398</v>
      </c>
      <c r="V97">
        <f t="shared" si="70"/>
        <v>-0.25735777617570665</v>
      </c>
      <c r="X97">
        <f t="shared" si="87"/>
        <v>1.9088497384584628</v>
      </c>
      <c r="Y97">
        <f t="shared" si="71"/>
        <v>-112.12032438440944</v>
      </c>
      <c r="Z97">
        <f t="shared" si="88"/>
        <v>67.879675615590557</v>
      </c>
      <c r="AC97">
        <v>1</v>
      </c>
      <c r="AD97">
        <f t="shared" si="72"/>
        <v>15.348722130472501</v>
      </c>
      <c r="AE97">
        <f t="shared" si="73"/>
        <v>-2.4910158897683329E-4</v>
      </c>
      <c r="AF97">
        <f t="shared" si="74"/>
        <v>9.4645505129490009E-4</v>
      </c>
      <c r="AG97">
        <f t="shared" si="89"/>
        <v>14906.395081082044</v>
      </c>
      <c r="AH97">
        <f t="shared" si="90"/>
        <v>-4979.8526556180104</v>
      </c>
      <c r="AJ97">
        <f t="shared" si="75"/>
        <v>22100</v>
      </c>
      <c r="AK97">
        <f t="shared" si="76"/>
        <v>3731.930455834854</v>
      </c>
      <c r="AL97">
        <v>1</v>
      </c>
      <c r="AM97">
        <f t="shared" si="77"/>
        <v>11.978772137292241</v>
      </c>
      <c r="AN97">
        <f t="shared" si="91"/>
        <v>462.33988914936572</v>
      </c>
      <c r="AO97">
        <f t="shared" si="92"/>
        <v>-1806.3337262663513</v>
      </c>
      <c r="AQ97">
        <f t="shared" si="78"/>
        <v>2.5188916876574305</v>
      </c>
      <c r="AR97">
        <f t="shared" si="79"/>
        <v>-158.69017632241813</v>
      </c>
      <c r="AT97">
        <f t="shared" si="104"/>
        <v>-752706.10131700907</v>
      </c>
      <c r="AU97">
        <f t="shared" si="105"/>
        <v>-2378042.1732085305</v>
      </c>
      <c r="AV97">
        <f t="shared" si="93"/>
        <v>-1.8773424723010601</v>
      </c>
      <c r="AW97">
        <f t="shared" si="94"/>
        <v>-270613.78792228131</v>
      </c>
      <c r="AX97">
        <f t="shared" si="95"/>
        <v>-91648.320420480217</v>
      </c>
      <c r="AY97">
        <f t="shared" si="103"/>
        <v>-2.8150483088073743</v>
      </c>
      <c r="BA97">
        <f t="shared" si="80"/>
        <v>8.7302089117742643</v>
      </c>
      <c r="BB97">
        <f t="shared" si="96"/>
        <v>18.820492727823183</v>
      </c>
      <c r="BC97">
        <f t="shared" si="97"/>
        <v>0.93770583650631423</v>
      </c>
      <c r="BD97">
        <f t="shared" si="81"/>
        <v>-126.27341308201223</v>
      </c>
      <c r="BF97">
        <f t="shared" si="82"/>
        <v>2.2139277907159469</v>
      </c>
      <c r="BG97">
        <f t="shared" si="83"/>
        <v>-115.56364776715</v>
      </c>
      <c r="BH97">
        <f t="shared" si="98"/>
        <v>64.436352232849998</v>
      </c>
      <c r="BI97">
        <f t="shared" si="99"/>
        <v>64.436352232849998</v>
      </c>
      <c r="BJ97">
        <f t="shared" si="84"/>
        <v>0</v>
      </c>
      <c r="BK97">
        <f t="shared" si="100"/>
        <v>0</v>
      </c>
      <c r="BM97">
        <f t="shared" si="101"/>
        <v>-16.606564937107233</v>
      </c>
      <c r="BN97">
        <f t="shared" si="85"/>
        <v>-169.29023468513779</v>
      </c>
      <c r="BQ97" s="47">
        <f t="shared" si="102"/>
        <v>35.722453528108318</v>
      </c>
      <c r="BR97" s="529"/>
      <c r="BS97" s="529"/>
      <c r="BT97" s="529">
        <v>741.31</v>
      </c>
      <c r="BU97" s="529">
        <v>17.416399999999999</v>
      </c>
      <c r="BV97" s="529">
        <v>-262.19720000000001</v>
      </c>
      <c r="BW97" s="49"/>
      <c r="BY97" s="529"/>
      <c r="BZ97" s="529"/>
      <c r="CA97" s="529"/>
      <c r="CC97" s="529"/>
    </row>
    <row r="98" spans="1:81">
      <c r="A98">
        <f t="shared" si="54"/>
        <v>32000</v>
      </c>
      <c r="B98">
        <f t="shared" si="86"/>
        <v>32</v>
      </c>
      <c r="C98">
        <f t="shared" si="55"/>
        <v>1.0128536793150649</v>
      </c>
      <c r="D98">
        <f t="shared" si="56"/>
        <v>0.1594834904500271</v>
      </c>
      <c r="F98">
        <f t="shared" si="57"/>
        <v>9.4275205059688085E-3</v>
      </c>
      <c r="G98">
        <f t="shared" si="58"/>
        <v>2.9412263701914552E-2</v>
      </c>
      <c r="H98">
        <f t="shared" si="59"/>
        <v>-3.1121803862980855</v>
      </c>
      <c r="J98">
        <f t="shared" si="60"/>
        <v>15</v>
      </c>
      <c r="M98">
        <f t="shared" si="61"/>
        <v>4.7061775562061411E-2</v>
      </c>
      <c r="N98">
        <f t="shared" si="62"/>
        <v>-1.5707963250000001</v>
      </c>
      <c r="O98">
        <f t="shared" si="63"/>
        <v>15.624386735647695</v>
      </c>
      <c r="P98">
        <f t="shared" si="64"/>
        <v>1.5067500382106236</v>
      </c>
      <c r="Q98">
        <f t="shared" si="65"/>
        <v>12.209930553245286</v>
      </c>
      <c r="R98">
        <f t="shared" si="66"/>
        <v>1.4888039408746834</v>
      </c>
      <c r="S98">
        <f t="shared" si="67"/>
        <v>0.98560296774308664</v>
      </c>
      <c r="T98">
        <f t="shared" si="68"/>
        <v>-0.16989238510593413</v>
      </c>
      <c r="U98">
        <f t="shared" si="69"/>
        <v>0.96606508691651105</v>
      </c>
      <c r="V98">
        <f t="shared" si="70"/>
        <v>-0.26126078470513897</v>
      </c>
      <c r="X98">
        <f t="shared" si="87"/>
        <v>1.7585665366386918</v>
      </c>
      <c r="Y98">
        <f t="shared" si="71"/>
        <v>-112.2477269875483</v>
      </c>
      <c r="Z98">
        <f t="shared" si="88"/>
        <v>67.752273012451695</v>
      </c>
      <c r="AC98">
        <v>1</v>
      </c>
      <c r="AD98">
        <f t="shared" si="72"/>
        <v>15.592352640480003</v>
      </c>
      <c r="AE98">
        <f t="shared" si="73"/>
        <v>-2.5707233772968228E-4</v>
      </c>
      <c r="AF98">
        <f t="shared" si="74"/>
        <v>9.6147814734720007E-4</v>
      </c>
      <c r="AG98">
        <f t="shared" si="89"/>
        <v>14875.558868361759</v>
      </c>
      <c r="AH98">
        <f t="shared" si="90"/>
        <v>-5017.3732046176519</v>
      </c>
      <c r="AJ98">
        <f t="shared" si="75"/>
        <v>22100</v>
      </c>
      <c r="AK98">
        <f t="shared" si="76"/>
        <v>3791.167447197312</v>
      </c>
      <c r="AL98">
        <v>1</v>
      </c>
      <c r="AM98">
        <f t="shared" si="77"/>
        <v>12.168911377566721</v>
      </c>
      <c r="AN98">
        <f t="shared" si="91"/>
        <v>457.69573604267623</v>
      </c>
      <c r="AO98">
        <f t="shared" si="92"/>
        <v>-1778.4914025961857</v>
      </c>
      <c r="AQ98">
        <f t="shared" si="78"/>
        <v>2.4408103490358801</v>
      </c>
      <c r="AR98">
        <f t="shared" si="79"/>
        <v>-156.21186233829633</v>
      </c>
      <c r="AT98">
        <f t="shared" si="104"/>
        <v>-747464.79430599953</v>
      </c>
      <c r="AU98">
        <f t="shared" si="105"/>
        <v>-2335985.2105925563</v>
      </c>
      <c r="AV98">
        <f t="shared" si="93"/>
        <v>-1.8804796714638317</v>
      </c>
      <c r="AW98">
        <f t="shared" si="94"/>
        <v>-261873.45354834021</v>
      </c>
      <c r="AX98">
        <f t="shared" si="95"/>
        <v>-89464.669332622987</v>
      </c>
      <c r="AY98">
        <f t="shared" si="103"/>
        <v>-2.8123908989655746</v>
      </c>
      <c r="BA98">
        <f t="shared" si="80"/>
        <v>8.8628756642816207</v>
      </c>
      <c r="BB98">
        <f t="shared" si="96"/>
        <v>18.951493134128512</v>
      </c>
      <c r="BC98">
        <f t="shared" si="97"/>
        <v>0.93191122750174293</v>
      </c>
      <c r="BD98">
        <f t="shared" si="81"/>
        <v>-126.60541972228202</v>
      </c>
      <c r="BF98">
        <f t="shared" si="82"/>
        <v>2.072202230914856</v>
      </c>
      <c r="BG98">
        <f t="shared" si="83"/>
        <v>-115.78249022906795</v>
      </c>
      <c r="BH98">
        <f t="shared" si="98"/>
        <v>64.217509770932054</v>
      </c>
      <c r="BI98">
        <f t="shared" si="99"/>
        <v>64.217509770932054</v>
      </c>
      <c r="BJ98">
        <f t="shared" si="84"/>
        <v>0</v>
      </c>
      <c r="BK98">
        <f t="shared" si="100"/>
        <v>0</v>
      </c>
      <c r="BM98">
        <f t="shared" si="101"/>
        <v>-16.879290903213658</v>
      </c>
      <c r="BN98">
        <f t="shared" si="85"/>
        <v>-169.17707050678592</v>
      </c>
      <c r="BQ98" s="47">
        <f t="shared" si="102"/>
        <v>35.85345393441365</v>
      </c>
      <c r="BR98" s="529"/>
      <c r="BS98" s="529"/>
      <c r="BT98" s="529">
        <v>758.57799999999997</v>
      </c>
      <c r="BU98" s="529">
        <v>17.283200000000001</v>
      </c>
      <c r="BV98" s="529">
        <v>-262.56690000000003</v>
      </c>
      <c r="BW98" s="49"/>
      <c r="BY98" s="529"/>
      <c r="BZ98" s="529"/>
      <c r="CA98" s="529"/>
      <c r="CC98" s="529"/>
    </row>
    <row r="99" spans="1:81">
      <c r="A99">
        <f t="shared" si="54"/>
        <v>32500</v>
      </c>
      <c r="B99">
        <f t="shared" si="86"/>
        <v>32.5</v>
      </c>
      <c r="C99">
        <f t="shared" si="55"/>
        <v>1.0132558463880463</v>
      </c>
      <c r="D99">
        <f t="shared" si="56"/>
        <v>0.16193240969951195</v>
      </c>
      <c r="F99">
        <f t="shared" si="57"/>
        <v>9.1371186491514197E-3</v>
      </c>
      <c r="G99">
        <f t="shared" si="58"/>
        <v>2.8951539746132897E-2</v>
      </c>
      <c r="H99">
        <f t="shared" si="59"/>
        <v>-3.1126411102538674</v>
      </c>
      <c r="J99">
        <f t="shared" si="60"/>
        <v>15</v>
      </c>
      <c r="M99">
        <f t="shared" si="61"/>
        <v>4.6337748245722003E-2</v>
      </c>
      <c r="N99">
        <f t="shared" si="62"/>
        <v>-1.5707963250000001</v>
      </c>
      <c r="O99">
        <f t="shared" si="63"/>
        <v>15.867525400720936</v>
      </c>
      <c r="P99">
        <f t="shared" si="64"/>
        <v>1.5077327350561216</v>
      </c>
      <c r="Q99">
        <f t="shared" si="65"/>
        <v>12.399440800873277</v>
      </c>
      <c r="R99">
        <f t="shared" si="66"/>
        <v>1.4900598452550824</v>
      </c>
      <c r="S99">
        <f t="shared" si="67"/>
        <v>0.98515958985616325</v>
      </c>
      <c r="T99">
        <f t="shared" si="68"/>
        <v>-0.17249499934223464</v>
      </c>
      <c r="U99">
        <f t="shared" si="69"/>
        <v>0.96505171928362865</v>
      </c>
      <c r="V99">
        <f t="shared" si="70"/>
        <v>-0.26515566423214298</v>
      </c>
      <c r="X99">
        <f t="shared" si="87"/>
        <v>1.6104609432180319</v>
      </c>
      <c r="Y99">
        <f t="shared" si="71"/>
        <v>-112.37782835631323</v>
      </c>
      <c r="Z99">
        <f t="shared" si="88"/>
        <v>67.622171643686769</v>
      </c>
      <c r="AC99">
        <v>1</v>
      </c>
      <c r="AD99">
        <f t="shared" si="72"/>
        <v>15.8359831504875</v>
      </c>
      <c r="AE99">
        <f t="shared" si="73"/>
        <v>-2.6516861008493839E-4</v>
      </c>
      <c r="AF99">
        <f t="shared" si="74"/>
        <v>9.7650124339950005E-4</v>
      </c>
      <c r="AG99">
        <f t="shared" si="89"/>
        <v>14844.367380697862</v>
      </c>
      <c r="AH99">
        <f t="shared" si="90"/>
        <v>-5055.0475990641999</v>
      </c>
      <c r="AJ99">
        <f t="shared" si="75"/>
        <v>22100</v>
      </c>
      <c r="AK99">
        <f t="shared" si="76"/>
        <v>3850.4044385597699</v>
      </c>
      <c r="AL99">
        <v>1</v>
      </c>
      <c r="AM99">
        <f t="shared" si="77"/>
        <v>12.3590506178412</v>
      </c>
      <c r="AN99">
        <f t="shared" si="91"/>
        <v>453.26241622969326</v>
      </c>
      <c r="AO99">
        <f t="shared" si="92"/>
        <v>-1751.4887067880154</v>
      </c>
      <c r="AQ99">
        <f t="shared" si="78"/>
        <v>2.3663038334122102</v>
      </c>
      <c r="AR99">
        <f t="shared" si="79"/>
        <v>-153.80974917179367</v>
      </c>
      <c r="AT99">
        <f t="shared" si="104"/>
        <v>-742389.31982601783</v>
      </c>
      <c r="AU99">
        <f t="shared" si="105"/>
        <v>-2295170.2019508407</v>
      </c>
      <c r="AV99">
        <f t="shared" si="93"/>
        <v>-1.8836321809852192</v>
      </c>
      <c r="AW99">
        <f t="shared" si="94"/>
        <v>-253530.7704238758</v>
      </c>
      <c r="AX99">
        <f t="shared" si="95"/>
        <v>-87387.983133612433</v>
      </c>
      <c r="AY99">
        <f t="shared" si="103"/>
        <v>-2.8096615787545525</v>
      </c>
      <c r="BA99">
        <f t="shared" si="80"/>
        <v>8.9952653219880538</v>
      </c>
      <c r="BB99">
        <f t="shared" si="96"/>
        <v>19.08027955413381</v>
      </c>
      <c r="BC99">
        <f t="shared" si="97"/>
        <v>0.92602939776933324</v>
      </c>
      <c r="BD99">
        <f t="shared" si="81"/>
        <v>-126.94242374214875</v>
      </c>
      <c r="BF99">
        <f t="shared" si="82"/>
        <v>1.9326723891375477</v>
      </c>
      <c r="BG99">
        <f t="shared" si="83"/>
        <v>-116.00557904962757</v>
      </c>
      <c r="BH99">
        <f t="shared" si="98"/>
        <v>63.99442095037243</v>
      </c>
      <c r="BI99">
        <f t="shared" si="99"/>
        <v>63.99442095037243</v>
      </c>
      <c r="BJ99">
        <f t="shared" si="84"/>
        <v>0</v>
      </c>
      <c r="BK99">
        <f t="shared" si="100"/>
        <v>0</v>
      </c>
      <c r="BM99">
        <f t="shared" si="101"/>
        <v>-17.147607164996263</v>
      </c>
      <c r="BN99">
        <f t="shared" si="85"/>
        <v>-169.06315530747881</v>
      </c>
      <c r="BQ99" s="47">
        <f t="shared" si="102"/>
        <v>35.982240354418941</v>
      </c>
      <c r="BR99" s="529"/>
      <c r="BS99" s="529"/>
      <c r="BT99" s="529">
        <v>776.24699999999996</v>
      </c>
      <c r="BU99" s="529">
        <v>17.007100000000001</v>
      </c>
      <c r="BV99" s="529">
        <v>-262.71769999999998</v>
      </c>
      <c r="BW99" s="49"/>
      <c r="BY99" s="529"/>
      <c r="BZ99" s="529"/>
      <c r="CA99" s="529"/>
      <c r="CC99" s="529"/>
    </row>
    <row r="100" spans="1:81">
      <c r="A100">
        <f t="shared" si="54"/>
        <v>33000</v>
      </c>
      <c r="B100">
        <f t="shared" si="86"/>
        <v>33</v>
      </c>
      <c r="C100">
        <f t="shared" si="55"/>
        <v>1.0136640853214895</v>
      </c>
      <c r="D100">
        <f t="shared" si="56"/>
        <v>0.16437937107867232</v>
      </c>
      <c r="F100">
        <f t="shared" si="57"/>
        <v>8.8599680967865746E-3</v>
      </c>
      <c r="G100">
        <f t="shared" si="58"/>
        <v>2.8505146801014791E-2</v>
      </c>
      <c r="H100">
        <f t="shared" si="59"/>
        <v>-3.1130875031989853</v>
      </c>
      <c r="J100">
        <f t="shared" si="60"/>
        <v>15</v>
      </c>
      <c r="M100">
        <f t="shared" si="61"/>
        <v>4.563566115108985E-2</v>
      </c>
      <c r="N100">
        <f t="shared" si="62"/>
        <v>-1.5707963250000001</v>
      </c>
      <c r="O100">
        <f t="shared" si="63"/>
        <v>16.110678926438126</v>
      </c>
      <c r="P100">
        <f t="shared" si="64"/>
        <v>1.5086857697159977</v>
      </c>
      <c r="Q100">
        <f t="shared" si="65"/>
        <v>12.588970017242609</v>
      </c>
      <c r="R100">
        <f t="shared" si="66"/>
        <v>1.4912779357744887</v>
      </c>
      <c r="S100">
        <f t="shared" si="67"/>
        <v>0.98470994968991499</v>
      </c>
      <c r="T100">
        <f t="shared" si="68"/>
        <v>-0.17509525544162291</v>
      </c>
      <c r="U100">
        <f t="shared" si="69"/>
        <v>0.96402589710894693</v>
      </c>
      <c r="V100">
        <f t="shared" si="70"/>
        <v>-0.26904232232688924</v>
      </c>
      <c r="X100">
        <f t="shared" si="87"/>
        <v>1.464457840725633</v>
      </c>
      <c r="Y100">
        <f t="shared" si="71"/>
        <v>-112.51048072438701</v>
      </c>
      <c r="Z100">
        <f t="shared" si="88"/>
        <v>67.489519275612992</v>
      </c>
      <c r="AC100">
        <v>1</v>
      </c>
      <c r="AD100">
        <f t="shared" si="72"/>
        <v>16.079613660495003</v>
      </c>
      <c r="AE100">
        <f t="shared" si="73"/>
        <v>-2.733904060426016E-4</v>
      </c>
      <c r="AF100">
        <f t="shared" si="74"/>
        <v>9.9152433945180014E-4</v>
      </c>
      <c r="AG100">
        <f t="shared" si="89"/>
        <v>14812.825883737843</v>
      </c>
      <c r="AH100">
        <f t="shared" si="90"/>
        <v>-5092.8497486862971</v>
      </c>
      <c r="AJ100">
        <f t="shared" si="75"/>
        <v>22100</v>
      </c>
      <c r="AK100">
        <f t="shared" si="76"/>
        <v>3909.6414299222279</v>
      </c>
      <c r="AL100">
        <v>1</v>
      </c>
      <c r="AM100">
        <f t="shared" si="77"/>
        <v>12.54918985811568</v>
      </c>
      <c r="AN100">
        <f t="shared" si="91"/>
        <v>449.02738481360916</v>
      </c>
      <c r="AO100">
        <f t="shared" si="92"/>
        <v>-1725.2884735969233</v>
      </c>
      <c r="AQ100">
        <f t="shared" si="78"/>
        <v>2.2951572182694515</v>
      </c>
      <c r="AR100">
        <f t="shared" si="79"/>
        <v>-151.4803764057838</v>
      </c>
      <c r="AT100">
        <f t="shared" si="104"/>
        <v>-737469.0326590722</v>
      </c>
      <c r="AU100">
        <f t="shared" si="105"/>
        <v>-2255541.3313642046</v>
      </c>
      <c r="AV100">
        <f t="shared" si="93"/>
        <v>-1.886798850325915</v>
      </c>
      <c r="AW100">
        <f t="shared" si="94"/>
        <v>-245562.15319419609</v>
      </c>
      <c r="AX100">
        <f t="shared" si="95"/>
        <v>-85411.12498336588</v>
      </c>
      <c r="AY100">
        <f t="shared" si="103"/>
        <v>-2.806862347549067</v>
      </c>
      <c r="BA100">
        <f t="shared" si="80"/>
        <v>9.127365184793943</v>
      </c>
      <c r="BB100">
        <f t="shared" si="96"/>
        <v>19.206908538965092</v>
      </c>
      <c r="BC100">
        <f t="shared" si="97"/>
        <v>0.92006349722315206</v>
      </c>
      <c r="BD100">
        <f t="shared" si="81"/>
        <v>-127.28424466483031</v>
      </c>
      <c r="BF100">
        <f t="shared" si="82"/>
        <v>1.7952580709637731</v>
      </c>
      <c r="BG100">
        <f t="shared" si="83"/>
        <v>-116.2327758442804</v>
      </c>
      <c r="BH100">
        <f t="shared" si="98"/>
        <v>63.767224155719603</v>
      </c>
      <c r="BI100">
        <f t="shared" si="99"/>
        <v>63.767224155719603</v>
      </c>
      <c r="BJ100">
        <f t="shared" si="84"/>
        <v>0</v>
      </c>
      <c r="BK100">
        <f t="shared" si="100"/>
        <v>0</v>
      </c>
      <c r="BM100">
        <f t="shared" si="101"/>
        <v>-17.411650468001319</v>
      </c>
      <c r="BN100">
        <f t="shared" si="85"/>
        <v>-168.9485311794501</v>
      </c>
      <c r="BQ100" s="47">
        <f t="shared" si="102"/>
        <v>36.108869339250226</v>
      </c>
      <c r="BR100" s="529"/>
      <c r="BS100" s="529"/>
      <c r="BT100" s="529">
        <v>794.32799999999997</v>
      </c>
      <c r="BU100" s="529">
        <v>16.8354</v>
      </c>
      <c r="BV100" s="529">
        <v>-262.79380000000003</v>
      </c>
      <c r="BW100" s="49"/>
      <c r="BY100" s="529"/>
      <c r="BZ100" s="529"/>
      <c r="CA100" s="529"/>
      <c r="CC100" s="529"/>
    </row>
    <row r="101" spans="1:81">
      <c r="A101">
        <f t="shared" si="54"/>
        <v>33500</v>
      </c>
      <c r="B101">
        <f t="shared" si="86"/>
        <v>33.5</v>
      </c>
      <c r="C101">
        <f t="shared" si="55"/>
        <v>1.0140783887823235</v>
      </c>
      <c r="D101">
        <f t="shared" si="56"/>
        <v>0.16682434766700577</v>
      </c>
      <c r="F101">
        <f t="shared" si="57"/>
        <v>8.5952725847356325E-3</v>
      </c>
      <c r="G101">
        <f t="shared" si="58"/>
        <v>2.8072421301927809E-2</v>
      </c>
      <c r="H101">
        <f t="shared" si="59"/>
        <v>-3.1135202286980723</v>
      </c>
      <c r="J101">
        <f t="shared" si="60"/>
        <v>15</v>
      </c>
      <c r="M101">
        <f t="shared" si="61"/>
        <v>4.4954531880178061E-2</v>
      </c>
      <c r="N101">
        <f t="shared" si="62"/>
        <v>-1.5707963250000001</v>
      </c>
      <c r="O101">
        <f t="shared" si="63"/>
        <v>16.353846649942756</v>
      </c>
      <c r="P101">
        <f t="shared" si="64"/>
        <v>1.5096104635732241</v>
      </c>
      <c r="Q101">
        <f t="shared" si="65"/>
        <v>12.778517358328008</v>
      </c>
      <c r="R101">
        <f t="shared" si="66"/>
        <v>1.4924598914461562</v>
      </c>
      <c r="S101">
        <f t="shared" si="67"/>
        <v>0.98425407404314813</v>
      </c>
      <c r="T101">
        <f t="shared" si="68"/>
        <v>-0.17769312149340924</v>
      </c>
      <c r="U101">
        <f t="shared" si="69"/>
        <v>0.96298775289185934</v>
      </c>
      <c r="V101">
        <f t="shared" si="70"/>
        <v>-0.27292066794284536</v>
      </c>
      <c r="X101">
        <f t="shared" si="87"/>
        <v>1.320485872534326</v>
      </c>
      <c r="Y101">
        <f t="shared" si="71"/>
        <v>-112.64554469868311</v>
      </c>
      <c r="Z101">
        <f t="shared" si="88"/>
        <v>67.354455301316889</v>
      </c>
      <c r="AC101">
        <v>1</v>
      </c>
      <c r="AD101">
        <f t="shared" si="72"/>
        <v>16.323244170502502</v>
      </c>
      <c r="AE101">
        <f t="shared" si="73"/>
        <v>-2.8173772560267181E-4</v>
      </c>
      <c r="AF101">
        <f t="shared" si="74"/>
        <v>1.0065474355041E-3</v>
      </c>
      <c r="AG101">
        <f t="shared" si="89"/>
        <v>14780.939666791293</v>
      </c>
      <c r="AH101">
        <f t="shared" si="90"/>
        <v>-5130.755036304552</v>
      </c>
      <c r="AJ101">
        <f t="shared" si="75"/>
        <v>22100</v>
      </c>
      <c r="AK101">
        <f t="shared" si="76"/>
        <v>3968.8784212846858</v>
      </c>
      <c r="AL101">
        <v>1</v>
      </c>
      <c r="AM101">
        <f t="shared" si="77"/>
        <v>12.73932909839016</v>
      </c>
      <c r="AN101">
        <f t="shared" si="91"/>
        <v>444.97901436435666</v>
      </c>
      <c r="AO101">
        <f t="shared" si="92"/>
        <v>-1699.8556845801354</v>
      </c>
      <c r="AQ101">
        <f t="shared" si="78"/>
        <v>2.2271714922048997</v>
      </c>
      <c r="AR101">
        <f t="shared" si="79"/>
        <v>-149.22048997772828</v>
      </c>
      <c r="AT101">
        <f t="shared" si="104"/>
        <v>-732694.09301918419</v>
      </c>
      <c r="AU101">
        <f t="shared" si="105"/>
        <v>-2217046.1307601803</v>
      </c>
      <c r="AV101">
        <f t="shared" si="93"/>
        <v>-1.8899785929693296</v>
      </c>
      <c r="AW101">
        <f t="shared" si="94"/>
        <v>-237945.73577202833</v>
      </c>
      <c r="AX101">
        <f t="shared" si="95"/>
        <v>-83527.546528456121</v>
      </c>
      <c r="AY101">
        <f t="shared" si="103"/>
        <v>-2.8039950907703726</v>
      </c>
      <c r="BA101">
        <f t="shared" si="80"/>
        <v>9.2591623545350661</v>
      </c>
      <c r="BB101">
        <f t="shared" si="96"/>
        <v>19.331433985781423</v>
      </c>
      <c r="BC101">
        <f t="shared" si="97"/>
        <v>0.91401649780104299</v>
      </c>
      <c r="BD101">
        <f t="shared" si="81"/>
        <v>-127.63071221083111</v>
      </c>
      <c r="BF101">
        <f t="shared" si="82"/>
        <v>1.6598827998747214</v>
      </c>
      <c r="BG101">
        <f t="shared" si="83"/>
        <v>-116.46394989541506</v>
      </c>
      <c r="BH101">
        <f t="shared" si="98"/>
        <v>63.536050104584945</v>
      </c>
      <c r="BI101">
        <f t="shared" si="99"/>
        <v>63.536050104584945</v>
      </c>
      <c r="BJ101">
        <f t="shared" si="84"/>
        <v>0</v>
      </c>
      <c r="BK101">
        <f t="shared" si="100"/>
        <v>0</v>
      </c>
      <c r="BM101">
        <f t="shared" si="101"/>
        <v>-17.671551185906701</v>
      </c>
      <c r="BN101">
        <f t="shared" si="85"/>
        <v>-168.83323768458393</v>
      </c>
      <c r="BQ101" s="47">
        <f t="shared" si="102"/>
        <v>36.233394786066555</v>
      </c>
      <c r="BR101" s="529"/>
      <c r="BS101" s="529"/>
      <c r="BT101" s="529">
        <v>812.83100000000002</v>
      </c>
      <c r="BU101" s="529">
        <v>16.6614</v>
      </c>
      <c r="BV101" s="529">
        <v>-262.23689999999999</v>
      </c>
      <c r="BW101" s="49"/>
      <c r="BY101" s="529"/>
      <c r="BZ101" s="529"/>
      <c r="CA101" s="529"/>
      <c r="CC101" s="529"/>
    </row>
    <row r="102" spans="1:81">
      <c r="A102">
        <f t="shared" ref="A102:A165" si="106">A101+500</f>
        <v>34000</v>
      </c>
      <c r="B102">
        <f t="shared" si="86"/>
        <v>34</v>
      </c>
      <c r="C102">
        <f t="shared" si="55"/>
        <v>1.0144987493406084</v>
      </c>
      <c r="D102">
        <f t="shared" si="56"/>
        <v>0.16926731268258113</v>
      </c>
      <c r="F102">
        <f t="shared" si="57"/>
        <v>8.3422949230522458E-3</v>
      </c>
      <c r="G102">
        <f t="shared" si="58"/>
        <v>2.7652740316272281E-2</v>
      </c>
      <c r="H102">
        <f t="shared" si="59"/>
        <v>-3.1139399096837281</v>
      </c>
      <c r="J102">
        <f t="shared" si="60"/>
        <v>15</v>
      </c>
      <c r="M102">
        <f t="shared" si="61"/>
        <v>4.4293435823116616E-2</v>
      </c>
      <c r="N102">
        <f t="shared" si="62"/>
        <v>-1.5707963250000001</v>
      </c>
      <c r="O102">
        <f t="shared" si="63"/>
        <v>16.597027947187513</v>
      </c>
      <c r="P102">
        <f t="shared" si="64"/>
        <v>1.510508060767362</v>
      </c>
      <c r="Q102">
        <f t="shared" si="65"/>
        <v>12.968082029372397</v>
      </c>
      <c r="R102">
        <f t="shared" si="66"/>
        <v>1.4936072935275913</v>
      </c>
      <c r="S102">
        <f t="shared" si="67"/>
        <v>0.98379199001887718</v>
      </c>
      <c r="T102">
        <f t="shared" si="68"/>
        <v>-0.18028856577457736</v>
      </c>
      <c r="U102">
        <f t="shared" si="69"/>
        <v>0.96193741993457604</v>
      </c>
      <c r="V102">
        <f t="shared" si="70"/>
        <v>-0.27679061142272054</v>
      </c>
      <c r="X102">
        <f t="shared" si="87"/>
        <v>1.1784771963715133</v>
      </c>
      <c r="Y102">
        <f t="shared" si="71"/>
        <v>-112.7828886671951</v>
      </c>
      <c r="Z102">
        <f t="shared" si="88"/>
        <v>67.217111332804905</v>
      </c>
      <c r="AC102">
        <v>1</v>
      </c>
      <c r="AD102">
        <f t="shared" si="72"/>
        <v>16.566874680510001</v>
      </c>
      <c r="AE102">
        <f t="shared" si="73"/>
        <v>-2.9021056876514918E-4</v>
      </c>
      <c r="AF102">
        <f t="shared" si="74"/>
        <v>1.0215705315564001E-3</v>
      </c>
      <c r="AG102">
        <f t="shared" si="89"/>
        <v>14748.714040871178</v>
      </c>
      <c r="AH102">
        <f t="shared" si="90"/>
        <v>-5168.7402164108425</v>
      </c>
      <c r="AJ102">
        <f t="shared" si="75"/>
        <v>22100</v>
      </c>
      <c r="AK102">
        <f t="shared" si="76"/>
        <v>4028.1154126471442</v>
      </c>
      <c r="AL102">
        <v>1</v>
      </c>
      <c r="AM102">
        <f t="shared" si="77"/>
        <v>12.929468338664641</v>
      </c>
      <c r="AN102">
        <f t="shared" si="91"/>
        <v>441.10651572277408</v>
      </c>
      <c r="AO102">
        <f t="shared" si="92"/>
        <v>-1675.1573163691401</v>
      </c>
      <c r="AQ102">
        <f t="shared" si="78"/>
        <v>2.1621621621621623</v>
      </c>
      <c r="AR102">
        <f t="shared" si="79"/>
        <v>-147.02702702702703</v>
      </c>
      <c r="AT102">
        <f t="shared" si="104"/>
        <v>-728055.3960541971</v>
      </c>
      <c r="AU102">
        <f t="shared" si="105"/>
        <v>-2179635.2324230294</v>
      </c>
      <c r="AV102">
        <f t="shared" si="93"/>
        <v>-1.8931703818673005</v>
      </c>
      <c r="AW102">
        <f t="shared" si="94"/>
        <v>-230661.22345584846</v>
      </c>
      <c r="AX102">
        <f t="shared" si="95"/>
        <v>-81731.230825683728</v>
      </c>
      <c r="AY102">
        <f t="shared" si="103"/>
        <v>-2.8010615892300099</v>
      </c>
      <c r="BA102">
        <f t="shared" si="80"/>
        <v>9.3906437319813936</v>
      </c>
      <c r="BB102">
        <f t="shared" si="96"/>
        <v>19.453907286567883</v>
      </c>
      <c r="BC102">
        <f t="shared" si="97"/>
        <v>0.90789120736270945</v>
      </c>
      <c r="BD102">
        <f t="shared" si="81"/>
        <v>-127.98166550164049</v>
      </c>
      <c r="BF102">
        <f t="shared" si="82"/>
        <v>1.5264735729302004</v>
      </c>
      <c r="BG102">
        <f t="shared" si="83"/>
        <v>-116.69897755042135</v>
      </c>
      <c r="BH102">
        <f t="shared" si="98"/>
        <v>63.301022449578653</v>
      </c>
      <c r="BI102">
        <f t="shared" si="99"/>
        <v>63.301022449578653</v>
      </c>
      <c r="BJ102">
        <f t="shared" si="84"/>
        <v>0</v>
      </c>
      <c r="BK102">
        <f t="shared" si="100"/>
        <v>0</v>
      </c>
      <c r="BM102">
        <f t="shared" si="101"/>
        <v>-17.927433713637683</v>
      </c>
      <c r="BN102">
        <f t="shared" si="85"/>
        <v>-168.71731204878088</v>
      </c>
      <c r="BQ102" s="47">
        <f t="shared" si="102"/>
        <v>36.355868086853022</v>
      </c>
      <c r="BR102" s="529"/>
      <c r="BS102" s="529"/>
      <c r="BT102" s="529">
        <v>831.76400000000001</v>
      </c>
      <c r="BU102" s="529">
        <v>16.509799999999998</v>
      </c>
      <c r="BV102" s="529">
        <v>-262.34320000000002</v>
      </c>
      <c r="BW102" s="49"/>
      <c r="BY102" s="529"/>
      <c r="BZ102" s="529"/>
      <c r="CA102" s="529"/>
      <c r="CC102" s="529"/>
    </row>
    <row r="103" spans="1:81">
      <c r="A103">
        <f t="shared" si="106"/>
        <v>34500</v>
      </c>
      <c r="B103">
        <f t="shared" si="86"/>
        <v>34.5</v>
      </c>
      <c r="C103">
        <f t="shared" si="55"/>
        <v>1.0149251594701791</v>
      </c>
      <c r="D103">
        <f t="shared" si="56"/>
        <v>0.17170823948355765</v>
      </c>
      <c r="F103">
        <f t="shared" si="57"/>
        <v>8.1003518010362516E-3</v>
      </c>
      <c r="G103">
        <f t="shared" si="58"/>
        <v>2.7245518460607666E-2</v>
      </c>
      <c r="H103">
        <f t="shared" si="59"/>
        <v>-3.1143471315393927</v>
      </c>
      <c r="J103">
        <f t="shared" si="60"/>
        <v>15</v>
      </c>
      <c r="M103">
        <f t="shared" si="61"/>
        <v>4.365150197060768E-2</v>
      </c>
      <c r="N103">
        <f t="shared" si="62"/>
        <v>-1.5707963250000001</v>
      </c>
      <c r="O103">
        <f t="shared" si="63"/>
        <v>16.84022223013746</v>
      </c>
      <c r="P103">
        <f t="shared" si="64"/>
        <v>1.5113797337508612</v>
      </c>
      <c r="Q103">
        <f t="shared" si="65"/>
        <v>13.157663281348887</v>
      </c>
      <c r="R103">
        <f t="shared" si="66"/>
        <v>1.4947216325191239</v>
      </c>
      <c r="S103">
        <f t="shared" si="67"/>
        <v>0.98332372502004672</v>
      </c>
      <c r="T103">
        <f t="shared" si="68"/>
        <v>-0.18288155675173642</v>
      </c>
      <c r="U103">
        <f t="shared" si="69"/>
        <v>0.96087503229999116</v>
      </c>
      <c r="V103">
        <f t="shared" si="70"/>
        <v>-0.28065206450389946</v>
      </c>
      <c r="X103">
        <f t="shared" si="87"/>
        <v>1.0383672578616636</v>
      </c>
      <c r="Y103">
        <f t="shared" si="71"/>
        <v>-112.92238825662753</v>
      </c>
      <c r="Z103">
        <f t="shared" si="88"/>
        <v>67.077611743372472</v>
      </c>
      <c r="AC103">
        <v>1</v>
      </c>
      <c r="AD103">
        <f t="shared" si="72"/>
        <v>16.810505190517503</v>
      </c>
      <c r="AE103">
        <f t="shared" si="73"/>
        <v>-2.988089355300335E-4</v>
      </c>
      <c r="AF103">
        <f t="shared" si="74"/>
        <v>1.0365936276087002E-3</v>
      </c>
      <c r="AG103">
        <f t="shared" si="89"/>
        <v>14716.154336749647</v>
      </c>
      <c r="AH103">
        <f t="shared" si="90"/>
        <v>-5206.7833225164895</v>
      </c>
      <c r="AJ103">
        <f t="shared" si="75"/>
        <v>22100</v>
      </c>
      <c r="AK103">
        <f t="shared" si="76"/>
        <v>4087.3524040096022</v>
      </c>
      <c r="AL103">
        <v>1</v>
      </c>
      <c r="AM103">
        <f t="shared" si="77"/>
        <v>13.119607578939119</v>
      </c>
      <c r="AN103">
        <f t="shared" si="91"/>
        <v>437.39986665142953</v>
      </c>
      <c r="AO103">
        <f t="shared" si="92"/>
        <v>-1651.1622015374528</v>
      </c>
      <c r="AQ103">
        <f t="shared" si="78"/>
        <v>2.0999580008399832</v>
      </c>
      <c r="AR103">
        <f t="shared" si="79"/>
        <v>-144.89710205795885</v>
      </c>
      <c r="AT103">
        <f t="shared" si="104"/>
        <v>-723544.50843529636</v>
      </c>
      <c r="AU103">
        <f t="shared" si="105"/>
        <v>-2143262.1431294456</v>
      </c>
      <c r="AV103">
        <f t="shared" si="93"/>
        <v>-1.8963732452773314</v>
      </c>
      <c r="AW103">
        <f t="shared" si="94"/>
        <v>-223689.75964097641</v>
      </c>
      <c r="AX103">
        <f t="shared" si="95"/>
        <v>-80016.641576551847</v>
      </c>
      <c r="AY103">
        <f t="shared" si="103"/>
        <v>-2.7980635276813559</v>
      </c>
      <c r="BA103">
        <f t="shared" si="80"/>
        <v>9.5217960145972835</v>
      </c>
      <c r="BB103">
        <f t="shared" si="96"/>
        <v>19.574377466979644</v>
      </c>
      <c r="BC103">
        <f t="shared" si="97"/>
        <v>0.90169028240402449</v>
      </c>
      <c r="BD103">
        <f t="shared" si="81"/>
        <v>-128.33695233125644</v>
      </c>
      <c r="BF103">
        <f t="shared" si="82"/>
        <v>1.3949606365388758</v>
      </c>
      <c r="BG103">
        <f t="shared" si="83"/>
        <v>-116.9377416697629</v>
      </c>
      <c r="BH103">
        <f t="shared" si="98"/>
        <v>63.0622583302371</v>
      </c>
      <c r="BI103">
        <f t="shared" si="99"/>
        <v>63.0622583302371</v>
      </c>
      <c r="BJ103">
        <f t="shared" si="84"/>
        <v>0</v>
      </c>
      <c r="BK103">
        <f t="shared" si="100"/>
        <v>0</v>
      </c>
      <c r="BM103">
        <f t="shared" si="101"/>
        <v>-18.179416830440768</v>
      </c>
      <c r="BN103">
        <f t="shared" si="85"/>
        <v>-168.60078933850647</v>
      </c>
      <c r="BQ103" s="47">
        <f t="shared" si="102"/>
        <v>36.476338267264779</v>
      </c>
      <c r="BR103" s="529"/>
      <c r="BS103" s="529"/>
      <c r="BT103" s="529">
        <v>851.13800000000003</v>
      </c>
      <c r="BU103" s="529">
        <v>16.276800000000001</v>
      </c>
      <c r="BV103" s="529">
        <v>-262.197</v>
      </c>
      <c r="BW103" s="49"/>
      <c r="BY103" s="529"/>
      <c r="BZ103" s="529"/>
      <c r="CA103" s="529"/>
      <c r="CC103" s="529"/>
    </row>
    <row r="104" spans="1:81">
      <c r="A104">
        <f t="shared" si="106"/>
        <v>35000</v>
      </c>
      <c r="B104">
        <f t="shared" si="86"/>
        <v>35</v>
      </c>
      <c r="C104">
        <f t="shared" si="55"/>
        <v>1.0153576115492919</v>
      </c>
      <c r="D104">
        <f t="shared" si="56"/>
        <v>0.17414710156968102</v>
      </c>
      <c r="F104">
        <f t="shared" si="57"/>
        <v>7.8688091187895763E-3</v>
      </c>
      <c r="G104">
        <f t="shared" si="58"/>
        <v>2.6850205095859638E-2</v>
      </c>
      <c r="H104">
        <f t="shared" si="59"/>
        <v>-3.1147424449041408</v>
      </c>
      <c r="J104">
        <f t="shared" si="60"/>
        <v>15</v>
      </c>
      <c r="M104">
        <f t="shared" si="61"/>
        <v>4.3027909085313287E-2</v>
      </c>
      <c r="N104">
        <f t="shared" si="62"/>
        <v>-1.5707963250000001</v>
      </c>
      <c r="O104">
        <f t="shared" si="63"/>
        <v>17.083428944211448</v>
      </c>
      <c r="P104">
        <f t="shared" si="64"/>
        <v>1.5122265883731008</v>
      </c>
      <c r="Q104">
        <f t="shared" si="65"/>
        <v>13.347260407722869</v>
      </c>
      <c r="R104">
        <f t="shared" si="66"/>
        <v>1.4958043145708539</v>
      </c>
      <c r="S104">
        <f t="shared" si="67"/>
        <v>0.98284930674522342</v>
      </c>
      <c r="T104">
        <f t="shared" si="68"/>
        <v>-0.18547206308303721</v>
      </c>
      <c r="U104">
        <f t="shared" si="69"/>
        <v>0.95980072476974077</v>
      </c>
      <c r="V104">
        <f t="shared" si="70"/>
        <v>-0.28450494032336776</v>
      </c>
      <c r="X104">
        <f t="shared" si="87"/>
        <v>0.90009458216681248</v>
      </c>
      <c r="Y104">
        <f t="shared" si="71"/>
        <v>-113.06392583501994</v>
      </c>
      <c r="Z104">
        <f t="shared" si="88"/>
        <v>66.936074164980056</v>
      </c>
      <c r="AC104">
        <v>1</v>
      </c>
      <c r="AD104">
        <f t="shared" si="72"/>
        <v>17.054135700524998</v>
      </c>
      <c r="AE104">
        <f t="shared" si="73"/>
        <v>-3.0753282589732499E-4</v>
      </c>
      <c r="AF104">
        <f t="shared" si="74"/>
        <v>1.0516167236610003E-3</v>
      </c>
      <c r="AG104">
        <f t="shared" si="89"/>
        <v>14683.265903029387</v>
      </c>
      <c r="AH104">
        <f t="shared" si="90"/>
        <v>-5244.8635823886661</v>
      </c>
      <c r="AJ104">
        <f t="shared" si="75"/>
        <v>22100</v>
      </c>
      <c r="AK104">
        <f t="shared" si="76"/>
        <v>4146.5893953720606</v>
      </c>
      <c r="AL104">
        <v>1</v>
      </c>
      <c r="AM104">
        <f t="shared" si="77"/>
        <v>13.309746819213601</v>
      </c>
      <c r="AN104">
        <f t="shared" si="91"/>
        <v>433.84974745773479</v>
      </c>
      <c r="AO104">
        <f t="shared" si="92"/>
        <v>-1627.840900870149</v>
      </c>
      <c r="AQ104">
        <f t="shared" si="78"/>
        <v>2.0403999183840034</v>
      </c>
      <c r="AR104">
        <f t="shared" si="79"/>
        <v>-142.82799428688023</v>
      </c>
      <c r="AT104">
        <f t="shared" si="104"/>
        <v>-719153.61123072286</v>
      </c>
      <c r="AU104">
        <f t="shared" si="105"/>
        <v>-2107883.0377360657</v>
      </c>
      <c r="AV104">
        <f t="shared" si="93"/>
        <v>-1.8995862629526634</v>
      </c>
      <c r="AW104">
        <f t="shared" si="94"/>
        <v>-217013.80550479083</v>
      </c>
      <c r="AX104">
        <f t="shared" si="95"/>
        <v>-78378.677893615793</v>
      </c>
      <c r="AY104">
        <f t="shared" si="103"/>
        <v>-2.7950025026563763</v>
      </c>
      <c r="BA104">
        <f t="shared" si="80"/>
        <v>9.6526056950305037</v>
      </c>
      <c r="BB104">
        <f t="shared" si="96"/>
        <v>19.692891316032476</v>
      </c>
      <c r="BC104">
        <f t="shared" si="97"/>
        <v>0.89541623970371287</v>
      </c>
      <c r="BD104">
        <f t="shared" si="81"/>
        <v>-128.69642849887992</v>
      </c>
      <c r="BF104">
        <f t="shared" si="82"/>
        <v>1.2652772803881711</v>
      </c>
      <c r="BG104">
        <f t="shared" si="83"/>
        <v>-117.18013112028842</v>
      </c>
      <c r="BH104">
        <f t="shared" si="98"/>
        <v>62.819868879711578</v>
      </c>
      <c r="BI104">
        <f t="shared" si="99"/>
        <v>62.819868879711578</v>
      </c>
      <c r="BJ104">
        <f t="shared" si="84"/>
        <v>0</v>
      </c>
      <c r="BK104">
        <f t="shared" si="100"/>
        <v>0</v>
      </c>
      <c r="BM104">
        <f t="shared" si="101"/>
        <v>-18.427614035644304</v>
      </c>
      <c r="BN104">
        <f t="shared" si="85"/>
        <v>-168.4837026214085</v>
      </c>
      <c r="BQ104" s="47">
        <f t="shared" si="102"/>
        <v>36.594852116317611</v>
      </c>
      <c r="BR104" s="529"/>
      <c r="BS104" s="529"/>
      <c r="BT104" s="529">
        <v>870.96400000000006</v>
      </c>
      <c r="BU104" s="529">
        <v>16.106100000000001</v>
      </c>
      <c r="BV104" s="529">
        <v>-261.76800000000003</v>
      </c>
      <c r="BW104" s="49"/>
      <c r="BY104" s="529"/>
      <c r="BZ104" s="529"/>
      <c r="CA104" s="529"/>
      <c r="CC104" s="529"/>
    </row>
    <row r="105" spans="1:81">
      <c r="A105">
        <f t="shared" si="106"/>
        <v>35500</v>
      </c>
      <c r="B105">
        <f t="shared" si="86"/>
        <v>35.5</v>
      </c>
      <c r="C105">
        <f t="shared" si="55"/>
        <v>1.0157960978612792</v>
      </c>
      <c r="D105">
        <f t="shared" si="56"/>
        <v>0.17658387258375571</v>
      </c>
      <c r="F105">
        <f t="shared" si="57"/>
        <v>7.6470777850284263E-3</v>
      </c>
      <c r="G105">
        <f t="shared" si="58"/>
        <v>2.6466281771631437E-2</v>
      </c>
      <c r="H105">
        <f t="shared" si="59"/>
        <v>-3.1151263682283687</v>
      </c>
      <c r="J105">
        <f t="shared" si="60"/>
        <v>15</v>
      </c>
      <c r="M105">
        <f t="shared" si="61"/>
        <v>4.2421882196787747E-2</v>
      </c>
      <c r="N105">
        <f t="shared" si="62"/>
        <v>-1.5707963250000001</v>
      </c>
      <c r="O105">
        <f t="shared" si="63"/>
        <v>17.326647565938423</v>
      </c>
      <c r="P105">
        <f t="shared" si="64"/>
        <v>1.513049668538291</v>
      </c>
      <c r="Q105">
        <f t="shared" si="65"/>
        <v>13.536872741485034</v>
      </c>
      <c r="R105">
        <f t="shared" si="66"/>
        <v>1.49685666735541</v>
      </c>
      <c r="S105">
        <f t="shared" si="67"/>
        <v>0.98236876318425737</v>
      </c>
      <c r="T105">
        <f t="shared" si="68"/>
        <v>-0.18806005362005326</v>
      </c>
      <c r="U105">
        <f t="shared" si="69"/>
        <v>0.95871463280247704</v>
      </c>
      <c r="V105">
        <f t="shared" si="70"/>
        <v>-0.28834915342213491</v>
      </c>
      <c r="X105">
        <f t="shared" si="87"/>
        <v>0.76360058200658587</v>
      </c>
      <c r="Y105">
        <f t="shared" si="71"/>
        <v>-113.20739005509132</v>
      </c>
      <c r="Z105">
        <f t="shared" si="88"/>
        <v>66.792609944908676</v>
      </c>
      <c r="AC105">
        <v>1</v>
      </c>
      <c r="AD105">
        <f t="shared" si="72"/>
        <v>17.297766210532501</v>
      </c>
      <c r="AE105">
        <f t="shared" si="73"/>
        <v>-3.1638223986702358E-4</v>
      </c>
      <c r="AF105">
        <f t="shared" si="74"/>
        <v>1.0666398197133001E-3</v>
      </c>
      <c r="AG105">
        <f t="shared" si="89"/>
        <v>14650.054104231736</v>
      </c>
      <c r="AH105">
        <f t="shared" si="90"/>
        <v>-5282.9613403937456</v>
      </c>
      <c r="AJ105">
        <f t="shared" si="75"/>
        <v>22100</v>
      </c>
      <c r="AK105">
        <f t="shared" si="76"/>
        <v>4205.8263867345186</v>
      </c>
      <c r="AL105">
        <v>1</v>
      </c>
      <c r="AM105">
        <f t="shared" si="77"/>
        <v>13.499886059488079</v>
      </c>
      <c r="AN105">
        <f t="shared" si="91"/>
        <v>430.44748282288128</v>
      </c>
      <c r="AO105">
        <f t="shared" si="92"/>
        <v>-1605.1655859678299</v>
      </c>
      <c r="AQ105">
        <f t="shared" si="78"/>
        <v>1.9833399444664817</v>
      </c>
      <c r="AR105">
        <f t="shared" si="79"/>
        <v>-140.81713605712019</v>
      </c>
      <c r="AT105">
        <f t="shared" si="104"/>
        <v>-714875.44836121413</v>
      </c>
      <c r="AU105">
        <f t="shared" si="105"/>
        <v>-2073456.5702912477</v>
      </c>
      <c r="AV105">
        <f t="shared" si="93"/>
        <v>-1.9028085626507769</v>
      </c>
      <c r="AW105">
        <f t="shared" si="94"/>
        <v>-210617.03124612605</v>
      </c>
      <c r="AX105">
        <f t="shared" si="95"/>
        <v>-76812.633925441172</v>
      </c>
      <c r="AY105">
        <f t="shared" si="103"/>
        <v>-2.7918800296563937</v>
      </c>
      <c r="BA105">
        <f t="shared" si="80"/>
        <v>9.7830590603016585</v>
      </c>
      <c r="BB105">
        <f t="shared" si="96"/>
        <v>19.809493507363428</v>
      </c>
      <c r="BC105">
        <f t="shared" si="97"/>
        <v>0.88907146700561679</v>
      </c>
      <c r="BD105">
        <f t="shared" si="81"/>
        <v>-129.05995719686604</v>
      </c>
      <c r="BF105">
        <f t="shared" si="82"/>
        <v>1.1373596478150614</v>
      </c>
      <c r="BG105">
        <f t="shared" si="83"/>
        <v>-117.42604030952876</v>
      </c>
      <c r="BH105">
        <f t="shared" si="98"/>
        <v>62.573959690471241</v>
      </c>
      <c r="BI105">
        <f t="shared" si="99"/>
        <v>62.573959690471241</v>
      </c>
      <c r="BJ105">
        <f t="shared" si="84"/>
        <v>0</v>
      </c>
      <c r="BK105">
        <f t="shared" si="100"/>
        <v>0</v>
      </c>
      <c r="BM105">
        <f t="shared" si="101"/>
        <v>-18.672133859548367</v>
      </c>
      <c r="BN105">
        <f t="shared" si="85"/>
        <v>-168.36608311266269</v>
      </c>
      <c r="BQ105" s="47">
        <f t="shared" si="102"/>
        <v>36.711454307648566</v>
      </c>
      <c r="BR105" s="529"/>
      <c r="BS105" s="529"/>
      <c r="BT105" s="529">
        <v>891.25099999999998</v>
      </c>
      <c r="BU105" s="529">
        <v>15.882400000000001</v>
      </c>
      <c r="BV105" s="529">
        <v>-261.38310000000001</v>
      </c>
      <c r="BW105" s="49"/>
      <c r="BY105" s="529"/>
      <c r="BZ105" s="529"/>
      <c r="CA105" s="529"/>
      <c r="CC105" s="529"/>
    </row>
    <row r="106" spans="1:81">
      <c r="A106">
        <f t="shared" si="106"/>
        <v>36000</v>
      </c>
      <c r="B106">
        <f t="shared" si="86"/>
        <v>36</v>
      </c>
      <c r="C106">
        <f t="shared" si="55"/>
        <v>1.01624061059521</v>
      </c>
      <c r="D106">
        <f t="shared" si="56"/>
        <v>0.17901852631309353</v>
      </c>
      <c r="F106">
        <f t="shared" si="57"/>
        <v>7.4346099285680801E-3</v>
      </c>
      <c r="G106">
        <f t="shared" si="58"/>
        <v>2.6093259894057842E-2</v>
      </c>
      <c r="H106">
        <f t="shared" si="59"/>
        <v>-3.1154993901059425</v>
      </c>
      <c r="J106">
        <f t="shared" si="60"/>
        <v>15</v>
      </c>
      <c r="M106">
        <f t="shared" si="61"/>
        <v>4.1832689388499031E-2</v>
      </c>
      <c r="N106">
        <f t="shared" si="62"/>
        <v>-1.5707963250000001</v>
      </c>
      <c r="O106">
        <f t="shared" si="63"/>
        <v>17.569877600807914</v>
      </c>
      <c r="P106">
        <f t="shared" si="64"/>
        <v>1.5138499604782918</v>
      </c>
      <c r="Q106">
        <f t="shared" si="65"/>
        <v>13.726499652429199</v>
      </c>
      <c r="R106">
        <f t="shared" si="66"/>
        <v>1.4978799454576683</v>
      </c>
      <c r="S106">
        <f t="shared" si="67"/>
        <v>0.98188212261391805</v>
      </c>
      <c r="T106">
        <f t="shared" si="68"/>
        <v>-0.19064549740962569</v>
      </c>
      <c r="U106">
        <f t="shared" si="69"/>
        <v>0.95761689249238036</v>
      </c>
      <c r="V106">
        <f t="shared" si="70"/>
        <v>-0.29218461974915777</v>
      </c>
      <c r="X106">
        <f t="shared" si="87"/>
        <v>0.6288293805271884</v>
      </c>
      <c r="Y106">
        <f t="shared" si="71"/>
        <v>-113.35267543448732</v>
      </c>
      <c r="Z106">
        <f t="shared" si="88"/>
        <v>66.647324565512676</v>
      </c>
      <c r="AC106">
        <v>1</v>
      </c>
      <c r="AD106">
        <f t="shared" si="72"/>
        <v>17.54139672054</v>
      </c>
      <c r="AE106">
        <f t="shared" si="73"/>
        <v>-3.2535717743912917E-4</v>
      </c>
      <c r="AF106">
        <f t="shared" si="74"/>
        <v>1.0816629157656002E-3</v>
      </c>
      <c r="AG106">
        <f t="shared" si="89"/>
        <v>14616.524318902357</v>
      </c>
      <c r="AH106">
        <f t="shared" si="90"/>
        <v>-5321.0579862531913</v>
      </c>
      <c r="AJ106">
        <f t="shared" si="75"/>
        <v>22100</v>
      </c>
      <c r="AK106">
        <f t="shared" si="76"/>
        <v>4265.0633780969765</v>
      </c>
      <c r="AL106">
        <v>1</v>
      </c>
      <c r="AM106">
        <f t="shared" si="77"/>
        <v>13.69002529976256</v>
      </c>
      <c r="AN106">
        <f t="shared" si="91"/>
        <v>427.1849891634501</v>
      </c>
      <c r="AO106">
        <f t="shared" si="92"/>
        <v>-1583.1099312294509</v>
      </c>
      <c r="AQ106">
        <f t="shared" si="78"/>
        <v>1.9286403085824493</v>
      </c>
      <c r="AR106">
        <f t="shared" si="79"/>
        <v>-138.86210221793635</v>
      </c>
      <c r="AT106">
        <f t="shared" si="104"/>
        <v>-710703.28002184653</v>
      </c>
      <c r="AU106">
        <f t="shared" si="105"/>
        <v>-2039943.7009589642</v>
      </c>
      <c r="AV106">
        <f t="shared" si="93"/>
        <v>-1.9060393169296921</v>
      </c>
      <c r="AW106">
        <f t="shared" si="94"/>
        <v>-204484.21763095108</v>
      </c>
      <c r="AX106">
        <f t="shared" si="95"/>
        <v>-75314.162757052021</v>
      </c>
      <c r="AY106">
        <f t="shared" si="103"/>
        <v>-2.788697549758111</v>
      </c>
      <c r="BA106">
        <f t="shared" si="80"/>
        <v>9.913142191669305</v>
      </c>
      <c r="BB106">
        <f t="shared" si="96"/>
        <v>19.924226712721062</v>
      </c>
      <c r="BC106">
        <f t="shared" si="97"/>
        <v>0.88265823282841893</v>
      </c>
      <c r="BD106">
        <f t="shared" si="81"/>
        <v>-129.42740844866842</v>
      </c>
      <c r="BF106">
        <f t="shared" si="82"/>
        <v>1.011146561086893</v>
      </c>
      <c r="BG106">
        <f t="shared" si="83"/>
        <v>-117.67536875718032</v>
      </c>
      <c r="BH106">
        <f t="shared" si="98"/>
        <v>62.324631242819677</v>
      </c>
      <c r="BI106">
        <f t="shared" si="99"/>
        <v>62.324631242819677</v>
      </c>
      <c r="BJ106">
        <f t="shared" si="84"/>
        <v>0</v>
      </c>
      <c r="BK106">
        <f t="shared" si="100"/>
        <v>0</v>
      </c>
      <c r="BM106">
        <f t="shared" si="101"/>
        <v>-18.913080151634169</v>
      </c>
      <c r="BN106">
        <f t="shared" si="85"/>
        <v>-168.24796030851192</v>
      </c>
      <c r="BQ106" s="47">
        <f t="shared" si="102"/>
        <v>36.826187513006204</v>
      </c>
      <c r="BR106" s="529"/>
      <c r="BS106" s="529"/>
      <c r="BT106" s="529">
        <v>912.01099999999997</v>
      </c>
      <c r="BU106" s="529">
        <v>15.6715</v>
      </c>
      <c r="BV106" s="529">
        <v>-261.74869999999999</v>
      </c>
      <c r="BW106" s="49"/>
      <c r="BY106" s="529"/>
      <c r="BZ106" s="529"/>
      <c r="CA106" s="529"/>
      <c r="CC106" s="529"/>
    </row>
    <row r="107" spans="1:81">
      <c r="A107">
        <f t="shared" si="106"/>
        <v>36500</v>
      </c>
      <c r="B107">
        <f t="shared" si="86"/>
        <v>36.5</v>
      </c>
      <c r="C107">
        <f t="shared" si="55"/>
        <v>1.0166911418465556</v>
      </c>
      <c r="D107">
        <f t="shared" si="56"/>
        <v>0.18145103669093857</v>
      </c>
      <c r="F107">
        <f t="shared" si="57"/>
        <v>7.2308954774889331E-3</v>
      </c>
      <c r="G107">
        <f t="shared" si="58"/>
        <v>2.5730678594607891E-2</v>
      </c>
      <c r="H107">
        <f t="shared" si="59"/>
        <v>-3.1158619714053923</v>
      </c>
      <c r="J107">
        <f t="shared" si="60"/>
        <v>15</v>
      </c>
      <c r="M107">
        <f t="shared" si="61"/>
        <v>4.1259638848930552E-2</v>
      </c>
      <c r="N107">
        <f t="shared" si="62"/>
        <v>-1.5707963250000001</v>
      </c>
      <c r="O107">
        <f t="shared" si="63"/>
        <v>17.813118581296095</v>
      </c>
      <c r="P107">
        <f t="shared" si="64"/>
        <v>1.5146283966769407</v>
      </c>
      <c r="Q107">
        <f t="shared" si="65"/>
        <v>13.916140544651796</v>
      </c>
      <c r="R107">
        <f t="shared" si="66"/>
        <v>1.4988753353270794</v>
      </c>
      <c r="S107">
        <f t="shared" si="67"/>
        <v>0.98138941359350285</v>
      </c>
      <c r="T107">
        <f t="shared" si="68"/>
        <v>-0.19322836369567245</v>
      </c>
      <c r="U107">
        <f t="shared" si="69"/>
        <v>0.95650764052792381</v>
      </c>
      <c r="V107">
        <f t="shared" si="70"/>
        <v>-0.29601125666477007</v>
      </c>
      <c r="X107">
        <f t="shared" si="87"/>
        <v>0.49572764765340144</v>
      </c>
      <c r="Y107">
        <f t="shared" si="71"/>
        <v>-113.49968196951241</v>
      </c>
      <c r="Z107">
        <f t="shared" si="88"/>
        <v>66.500318030487591</v>
      </c>
      <c r="AC107">
        <v>1</v>
      </c>
      <c r="AD107">
        <f t="shared" si="72"/>
        <v>17.785027230547502</v>
      </c>
      <c r="AE107">
        <f t="shared" si="73"/>
        <v>-3.3445763861364187E-4</v>
      </c>
      <c r="AF107">
        <f t="shared" si="74"/>
        <v>1.0966860118179001E-3</v>
      </c>
      <c r="AG107">
        <f t="shared" si="89"/>
        <v>14582.681937735719</v>
      </c>
      <c r="AH107">
        <f t="shared" si="90"/>
        <v>-5359.1358895938884</v>
      </c>
      <c r="AJ107">
        <f t="shared" si="75"/>
        <v>22100</v>
      </c>
      <c r="AK107">
        <f t="shared" si="76"/>
        <v>4324.3003694594345</v>
      </c>
      <c r="AL107">
        <v>1</v>
      </c>
      <c r="AM107">
        <f t="shared" si="77"/>
        <v>13.88016454003704</v>
      </c>
      <c r="AN107">
        <f t="shared" si="91"/>
        <v>424.05472693345092</v>
      </c>
      <c r="AO107">
        <f t="shared" si="92"/>
        <v>-1561.6490143573403</v>
      </c>
      <c r="AQ107">
        <f t="shared" si="78"/>
        <v>1.876172607879925</v>
      </c>
      <c r="AR107">
        <f t="shared" si="79"/>
        <v>-136.96060037523452</v>
      </c>
      <c r="AT107">
        <f t="shared" si="104"/>
        <v>-706630.84053024044</v>
      </c>
      <c r="AU107">
        <f t="shared" si="105"/>
        <v>-2007307.5372313347</v>
      </c>
      <c r="AV107">
        <f t="shared" si="93"/>
        <v>-1.9092777402047565</v>
      </c>
      <c r="AW107">
        <f t="shared" si="94"/>
        <v>-198601.1667456759</v>
      </c>
      <c r="AX107">
        <f t="shared" si="95"/>
        <v>-73879.244079772543</v>
      </c>
      <c r="AY107">
        <f t="shared" si="103"/>
        <v>-2.7854564356894569</v>
      </c>
      <c r="BA107">
        <f t="shared" si="80"/>
        <v>10.042840965149253</v>
      </c>
      <c r="BB107">
        <f t="shared" si="96"/>
        <v>20.037131708286459</v>
      </c>
      <c r="BC107">
        <f t="shared" si="97"/>
        <v>0.8761786954847004</v>
      </c>
      <c r="BD107">
        <f t="shared" si="81"/>
        <v>-129.79865859208513</v>
      </c>
      <c r="BF107">
        <f t="shared" si="82"/>
        <v>0.88657936022619677</v>
      </c>
      <c r="BG107">
        <f t="shared" si="83"/>
        <v>-117.92802070037804</v>
      </c>
      <c r="BH107">
        <f t="shared" si="98"/>
        <v>62.071979299621958</v>
      </c>
      <c r="BI107">
        <f t="shared" si="99"/>
        <v>62.071979299621958</v>
      </c>
      <c r="BJ107">
        <f t="shared" si="84"/>
        <v>0</v>
      </c>
      <c r="BK107">
        <f t="shared" si="100"/>
        <v>0</v>
      </c>
      <c r="BM107">
        <f t="shared" si="101"/>
        <v>-19.150552348060259</v>
      </c>
      <c r="BN107">
        <f t="shared" si="85"/>
        <v>-168.12936210829295</v>
      </c>
      <c r="BQ107" s="47">
        <f t="shared" si="102"/>
        <v>36.939092508571591</v>
      </c>
      <c r="BR107" s="529"/>
      <c r="BS107" s="529"/>
      <c r="BT107" s="529">
        <v>933.25400000000002</v>
      </c>
      <c r="BU107" s="529">
        <v>15.471399999999999</v>
      </c>
      <c r="BV107" s="529">
        <v>-261.20730000000003</v>
      </c>
      <c r="BW107" s="49"/>
      <c r="BY107" s="529"/>
      <c r="BZ107" s="529"/>
      <c r="CA107" s="529"/>
      <c r="CC107" s="529"/>
    </row>
    <row r="108" spans="1:81">
      <c r="A108">
        <f t="shared" si="106"/>
        <v>37000</v>
      </c>
      <c r="B108">
        <f t="shared" si="86"/>
        <v>37</v>
      </c>
      <c r="C108">
        <f t="shared" si="55"/>
        <v>1.0171476836178637</v>
      </c>
      <c r="D108">
        <f t="shared" si="56"/>
        <v>0.1838813777978677</v>
      </c>
      <c r="F108">
        <f t="shared" si="57"/>
        <v>7.0354590656773039E-3</v>
      </c>
      <c r="G108">
        <f t="shared" si="58"/>
        <v>2.5378102779825728E-2</v>
      </c>
      <c r="H108">
        <f t="shared" si="59"/>
        <v>-3.1162145472201743</v>
      </c>
      <c r="J108">
        <f t="shared" si="60"/>
        <v>15</v>
      </c>
      <c r="M108">
        <f t="shared" si="61"/>
        <v>4.0702076161782834E-2</v>
      </c>
      <c r="N108">
        <f t="shared" si="62"/>
        <v>-1.5707963250000001</v>
      </c>
      <c r="O108">
        <f t="shared" si="63"/>
        <v>18.056370065051109</v>
      </c>
      <c r="P108">
        <f t="shared" si="64"/>
        <v>1.5153858594785781</v>
      </c>
      <c r="Q108">
        <f t="shared" si="65"/>
        <v>14.105794854252226</v>
      </c>
      <c r="R108">
        <f t="shared" si="66"/>
        <v>1.4998439598333884</v>
      </c>
      <c r="S108">
        <f t="shared" si="67"/>
        <v>0.98089066496041954</v>
      </c>
      <c r="T108">
        <f t="shared" si="68"/>
        <v>-0.19580862192096093</v>
      </c>
      <c r="U108">
        <f t="shared" si="69"/>
        <v>0.95538701415091898</v>
      </c>
      <c r="V108">
        <f t="shared" si="70"/>
        <v>-0.29982898294362331</v>
      </c>
      <c r="X108">
        <f t="shared" si="87"/>
        <v>0.36424444870292533</v>
      </c>
      <c r="Y108">
        <f t="shared" si="71"/>
        <v>-113.64831477928445</v>
      </c>
      <c r="Z108">
        <f t="shared" si="88"/>
        <v>66.351685220715552</v>
      </c>
      <c r="AC108">
        <v>1</v>
      </c>
      <c r="AD108">
        <f t="shared" si="72"/>
        <v>18.028657740555001</v>
      </c>
      <c r="AE108">
        <f t="shared" si="73"/>
        <v>-3.4368362339056157E-4</v>
      </c>
      <c r="AF108">
        <f t="shared" si="74"/>
        <v>1.1117091078702002E-3</v>
      </c>
      <c r="AG108">
        <f t="shared" si="89"/>
        <v>14548.53236171917</v>
      </c>
      <c r="AH108">
        <f t="shared" si="90"/>
        <v>-5397.1783397415884</v>
      </c>
      <c r="AJ108">
        <f t="shared" si="75"/>
        <v>22100</v>
      </c>
      <c r="AK108">
        <f t="shared" si="76"/>
        <v>4383.5373608218924</v>
      </c>
      <c r="AL108">
        <v>1</v>
      </c>
      <c r="AM108">
        <f t="shared" si="77"/>
        <v>14.070303780311521</v>
      </c>
      <c r="AN108">
        <f t="shared" si="91"/>
        <v>421.0496573447881</v>
      </c>
      <c r="AO108">
        <f t="shared" si="92"/>
        <v>-1540.7592246153504</v>
      </c>
      <c r="AQ108">
        <f t="shared" si="78"/>
        <v>1.8258170531312763</v>
      </c>
      <c r="AR108">
        <f t="shared" si="79"/>
        <v>-135.11046193171444</v>
      </c>
      <c r="AT108">
        <f t="shared" si="104"/>
        <v>-702652.30012627051</v>
      </c>
      <c r="AU108">
        <f t="shared" si="105"/>
        <v>-1975513.1880718644</v>
      </c>
      <c r="AV108">
        <f t="shared" si="93"/>
        <v>-1.9125230860415101</v>
      </c>
      <c r="AW108">
        <f t="shared" si="94"/>
        <v>-192954.62098914693</v>
      </c>
      <c r="AX108">
        <f t="shared" si="95"/>
        <v>-72504.155190316407</v>
      </c>
      <c r="AY108">
        <f t="shared" si="103"/>
        <v>-2.7821579974239832</v>
      </c>
      <c r="BA108">
        <f t="shared" si="80"/>
        <v>10.172141052668996</v>
      </c>
      <c r="BB108">
        <f t="shared" si="96"/>
        <v>20.148247474373623</v>
      </c>
      <c r="BC108">
        <f t="shared" si="97"/>
        <v>0.86963491138247306</v>
      </c>
      <c r="BD108">
        <f t="shared" si="81"/>
        <v>-130.17358980361595</v>
      </c>
      <c r="BF108">
        <f t="shared" si="82"/>
        <v>0.76360175415794007</v>
      </c>
      <c r="BG108">
        <f t="shared" si="83"/>
        <v>-118.18390472971409</v>
      </c>
      <c r="BH108">
        <f t="shared" si="98"/>
        <v>61.816095270285913</v>
      </c>
      <c r="BI108">
        <f t="shared" si="99"/>
        <v>61.816095270285913</v>
      </c>
      <c r="BJ108">
        <f t="shared" si="84"/>
        <v>0</v>
      </c>
      <c r="BK108">
        <f t="shared" si="100"/>
        <v>0</v>
      </c>
      <c r="BM108">
        <f t="shared" si="101"/>
        <v>-19.38464572021568</v>
      </c>
      <c r="BN108">
        <f t="shared" si="85"/>
        <v>-168.01031492609815</v>
      </c>
      <c r="BQ108" s="47">
        <f t="shared" si="102"/>
        <v>37.050208274658758</v>
      </c>
      <c r="BR108" s="529"/>
      <c r="BS108" s="529"/>
      <c r="BT108" s="529">
        <v>954.99300000000005</v>
      </c>
      <c r="BU108" s="529">
        <v>15.352499999999999</v>
      </c>
      <c r="BV108" s="529">
        <v>-261.26609999999999</v>
      </c>
      <c r="BW108" s="49"/>
      <c r="BY108" s="529"/>
      <c r="BZ108" s="529"/>
      <c r="CA108" s="529"/>
      <c r="CC108" s="529"/>
    </row>
    <row r="109" spans="1:81">
      <c r="A109">
        <f t="shared" si="106"/>
        <v>37500</v>
      </c>
      <c r="B109">
        <f t="shared" si="86"/>
        <v>37.5</v>
      </c>
      <c r="C109">
        <f t="shared" si="55"/>
        <v>1.017610227819435</v>
      </c>
      <c r="D109">
        <f t="shared" si="56"/>
        <v>0.18630952386316746</v>
      </c>
      <c r="F109">
        <f t="shared" si="57"/>
        <v>6.8478572313477115E-3</v>
      </c>
      <c r="G109">
        <f t="shared" si="58"/>
        <v>2.5035121344254285E-2</v>
      </c>
      <c r="H109">
        <f t="shared" si="59"/>
        <v>-3.1165575286557461</v>
      </c>
      <c r="J109">
        <f t="shared" si="60"/>
        <v>15</v>
      </c>
      <c r="M109">
        <f t="shared" si="61"/>
        <v>4.0159381812959069E-2</v>
      </c>
      <c r="N109">
        <f t="shared" si="62"/>
        <v>-1.5707963250000001</v>
      </c>
      <c r="O109">
        <f t="shared" si="63"/>
        <v>18.299631633222688</v>
      </c>
      <c r="P109">
        <f t="shared" si="64"/>
        <v>1.5161231844099881</v>
      </c>
      <c r="Q109">
        <f t="shared" si="65"/>
        <v>14.295462047215539</v>
      </c>
      <c r="R109">
        <f t="shared" si="66"/>
        <v>1.5007868824622541</v>
      </c>
      <c r="S109">
        <f t="shared" si="67"/>
        <v>0.98038590582574747</v>
      </c>
      <c r="T109">
        <f t="shared" si="68"/>
        <v>-0.19838624172884495</v>
      </c>
      <c r="U109">
        <f t="shared" si="69"/>
        <v>0.95425515111585446</v>
      </c>
      <c r="V109">
        <f t="shared" si="70"/>
        <v>-0.30363771877714346</v>
      </c>
      <c r="X109">
        <f t="shared" si="87"/>
        <v>0.23433110416928227</v>
      </c>
      <c r="Y109">
        <f t="shared" si="71"/>
        <v>-113.79848377756372</v>
      </c>
      <c r="Z109">
        <f t="shared" si="88"/>
        <v>66.201516222436283</v>
      </c>
      <c r="AC109">
        <v>1</v>
      </c>
      <c r="AD109">
        <f t="shared" si="72"/>
        <v>18.2722882505625</v>
      </c>
      <c r="AE109">
        <f t="shared" si="73"/>
        <v>-3.5303513176988837E-4</v>
      </c>
      <c r="AF109">
        <f t="shared" si="74"/>
        <v>1.1267322039225001E-3</v>
      </c>
      <c r="AG109">
        <f t="shared" si="89"/>
        <v>14514.081000297625</v>
      </c>
      <c r="AH109">
        <f t="shared" si="90"/>
        <v>-5435.169490265258</v>
      </c>
      <c r="AJ109">
        <f t="shared" si="75"/>
        <v>22100</v>
      </c>
      <c r="AK109">
        <f t="shared" si="76"/>
        <v>4442.7743521843495</v>
      </c>
      <c r="AL109">
        <v>1</v>
      </c>
      <c r="AM109">
        <f t="shared" si="77"/>
        <v>14.260443020585999</v>
      </c>
      <c r="AN109">
        <f t="shared" si="91"/>
        <v>418.16320304529688</v>
      </c>
      <c r="AO109">
        <f t="shared" si="92"/>
        <v>-1520.4181781488401</v>
      </c>
      <c r="AQ109">
        <f t="shared" si="78"/>
        <v>1.7774617845716316</v>
      </c>
      <c r="AR109">
        <f t="shared" si="79"/>
        <v>-133.30963384287239</v>
      </c>
      <c r="AT109">
        <f t="shared" si="104"/>
        <v>-698762.23030500673</v>
      </c>
      <c r="AU109">
        <f t="shared" si="105"/>
        <v>-1944527.6297770836</v>
      </c>
      <c r="AV109">
        <f t="shared" si="93"/>
        <v>-1.915774644662803</v>
      </c>
      <c r="AW109">
        <f t="shared" si="94"/>
        <v>-187532.18944735796</v>
      </c>
      <c r="AX109">
        <f t="shared" si="95"/>
        <v>-71185.444935579391</v>
      </c>
      <c r="AY109">
        <f t="shared" si="103"/>
        <v>-2.7788034873373602</v>
      </c>
      <c r="BA109">
        <f t="shared" si="80"/>
        <v>10.301027923840676</v>
      </c>
      <c r="BB109">
        <f t="shared" si="96"/>
        <v>20.257611289010654</v>
      </c>
      <c r="BC109">
        <f t="shared" si="97"/>
        <v>0.86302884267455715</v>
      </c>
      <c r="BD109">
        <f t="shared" si="81"/>
        <v>-130.55208966018549</v>
      </c>
      <c r="BF109">
        <f t="shared" si="82"/>
        <v>0.64215968308514726</v>
      </c>
      <c r="BG109">
        <f t="shared" si="83"/>
        <v>-118.44293345327371</v>
      </c>
      <c r="BH109">
        <f t="shared" si="98"/>
        <v>61.55706654672629</v>
      </c>
      <c r="BI109">
        <f t="shared" si="99"/>
        <v>61.55706654672629</v>
      </c>
      <c r="BJ109">
        <f t="shared" si="84"/>
        <v>0</v>
      </c>
      <c r="BK109">
        <f t="shared" si="100"/>
        <v>0</v>
      </c>
      <c r="BM109">
        <f t="shared" si="101"/>
        <v>-19.615451605925507</v>
      </c>
      <c r="BN109">
        <f t="shared" si="85"/>
        <v>-167.89084379308824</v>
      </c>
      <c r="BQ109" s="47">
        <f t="shared" si="102"/>
        <v>37.159572089295793</v>
      </c>
      <c r="BR109" s="529"/>
      <c r="BS109" s="529"/>
      <c r="BT109" s="529">
        <v>977.23699999999997</v>
      </c>
      <c r="BU109" s="529">
        <v>15.0807</v>
      </c>
      <c r="BV109" s="529">
        <v>-260.93240000000003</v>
      </c>
      <c r="BW109" s="49"/>
      <c r="BY109" s="529"/>
      <c r="BZ109" s="529"/>
      <c r="CA109" s="529"/>
      <c r="CC109" s="529"/>
    </row>
    <row r="110" spans="1:81">
      <c r="A110">
        <f t="shared" si="106"/>
        <v>38000</v>
      </c>
      <c r="B110">
        <f t="shared" si="86"/>
        <v>38</v>
      </c>
      <c r="C110">
        <f t="shared" si="55"/>
        <v>1.0180787662700093</v>
      </c>
      <c r="D110">
        <f t="shared" si="56"/>
        <v>0.18873544926618624</v>
      </c>
      <c r="F110">
        <f t="shared" si="57"/>
        <v>6.6676758764088262E-3</v>
      </c>
      <c r="G110">
        <f t="shared" si="58"/>
        <v>2.470134553075827E-2</v>
      </c>
      <c r="H110">
        <f t="shared" si="59"/>
        <v>-3.1168913044692421</v>
      </c>
      <c r="J110">
        <f t="shared" si="60"/>
        <v>15</v>
      </c>
      <c r="M110">
        <f t="shared" si="61"/>
        <v>3.9630968894367506E-2</v>
      </c>
      <c r="N110">
        <f t="shared" si="62"/>
        <v>-1.5707963250000001</v>
      </c>
      <c r="O110">
        <f t="shared" si="63"/>
        <v>18.542902888922981</v>
      </c>
      <c r="P110">
        <f t="shared" si="64"/>
        <v>1.5168411632419436</v>
      </c>
      <c r="Q110">
        <f t="shared" si="65"/>
        <v>14.485141617460821</v>
      </c>
      <c r="R110">
        <f t="shared" si="66"/>
        <v>1.5017051111834909</v>
      </c>
      <c r="S110">
        <f t="shared" si="67"/>
        <v>0.97987516556977228</v>
      </c>
      <c r="T110">
        <f t="shared" si="68"/>
        <v>-0.20096119296496462</v>
      </c>
      <c r="U110">
        <f t="shared" si="69"/>
        <v>0.9531121896495498</v>
      </c>
      <c r="V110">
        <f t="shared" si="70"/>
        <v>-0.3074373857755095</v>
      </c>
      <c r="X110">
        <f t="shared" si="87"/>
        <v>0.10594105969252822</v>
      </c>
      <c r="Y110">
        <f t="shared" si="71"/>
        <v>-113.95010336978511</v>
      </c>
      <c r="Z110">
        <f t="shared" si="88"/>
        <v>66.049896630214889</v>
      </c>
      <c r="AC110">
        <v>1</v>
      </c>
      <c r="AD110">
        <f t="shared" si="72"/>
        <v>18.515918760569999</v>
      </c>
      <c r="AE110">
        <f t="shared" si="73"/>
        <v>-3.6251216375162229E-4</v>
      </c>
      <c r="AF110">
        <f t="shared" si="74"/>
        <v>1.1417552999748001E-3</v>
      </c>
      <c r="AG110">
        <f t="shared" si="89"/>
        <v>14479.333269559655</v>
      </c>
      <c r="AH110">
        <f t="shared" si="90"/>
        <v>-5473.0943078318469</v>
      </c>
      <c r="AJ110">
        <f t="shared" si="75"/>
        <v>22100</v>
      </c>
      <c r="AK110">
        <f t="shared" si="76"/>
        <v>4502.0113435468083</v>
      </c>
      <c r="AL110">
        <v>1</v>
      </c>
      <c r="AM110">
        <f t="shared" si="77"/>
        <v>14.450582260860481</v>
      </c>
      <c r="AN110">
        <f t="shared" si="91"/>
        <v>415.38921234677133</v>
      </c>
      <c r="AO110">
        <f t="shared" si="92"/>
        <v>-1500.6046397442528</v>
      </c>
      <c r="AQ110">
        <f t="shared" si="78"/>
        <v>1.7310022503029254</v>
      </c>
      <c r="AR110">
        <f t="shared" si="79"/>
        <v>-131.55617102302233</v>
      </c>
      <c r="AT110">
        <f t="shared" si="104"/>
        <v>-694955.57231376274</v>
      </c>
      <c r="AU110">
        <f t="shared" si="105"/>
        <v>-1914319.5824725041</v>
      </c>
      <c r="AV110">
        <f t="shared" si="93"/>
        <v>-1.9190317406506034</v>
      </c>
      <c r="AW110">
        <f t="shared" si="94"/>
        <v>-182322.28089344816</v>
      </c>
      <c r="AX110">
        <f t="shared" si="95"/>
        <v>-69919.910268265579</v>
      </c>
      <c r="AY110">
        <f t="shared" si="103"/>
        <v>-2.7753941049649558</v>
      </c>
      <c r="BA110">
        <f t="shared" si="80"/>
        <v>10.429486848337637</v>
      </c>
      <c r="BB110">
        <f t="shared" si="96"/>
        <v>20.365258815859846</v>
      </c>
      <c r="BC110">
        <f t="shared" si="97"/>
        <v>0.85636236431435231</v>
      </c>
      <c r="BD110">
        <f t="shared" si="81"/>
        <v>-130.93405073487696</v>
      </c>
      <c r="BF110">
        <f t="shared" si="82"/>
        <v>0.52220119111115793</v>
      </c>
      <c r="BG110">
        <f t="shared" si="83"/>
        <v>-118.70502318623853</v>
      </c>
      <c r="BH110">
        <f t="shared" si="98"/>
        <v>61.294976813761465</v>
      </c>
      <c r="BI110">
        <f t="shared" si="99"/>
        <v>61.294976813761465</v>
      </c>
      <c r="BJ110">
        <f t="shared" si="84"/>
        <v>0</v>
      </c>
      <c r="BK110">
        <f t="shared" si="100"/>
        <v>0</v>
      </c>
      <c r="BM110">
        <f t="shared" si="101"/>
        <v>-19.843057624748688</v>
      </c>
      <c r="BN110">
        <f t="shared" si="85"/>
        <v>-167.77097245136159</v>
      </c>
      <c r="BQ110" s="47">
        <f t="shared" si="102"/>
        <v>37.267219616144985</v>
      </c>
      <c r="BR110" s="529"/>
      <c r="BS110" s="529"/>
      <c r="BT110" s="529">
        <v>1000</v>
      </c>
      <c r="BU110" s="529">
        <v>14.883800000000001</v>
      </c>
      <c r="BV110" s="529">
        <v>-260.5154</v>
      </c>
      <c r="BW110" s="49"/>
      <c r="BY110" s="529"/>
      <c r="BZ110" s="529"/>
      <c r="CA110" s="529"/>
      <c r="CC110" s="529"/>
    </row>
    <row r="111" spans="1:81">
      <c r="A111">
        <f t="shared" si="106"/>
        <v>38500</v>
      </c>
      <c r="B111">
        <f t="shared" si="86"/>
        <v>38.5</v>
      </c>
      <c r="C111">
        <f t="shared" si="55"/>
        <v>1.0185532906974528</v>
      </c>
      <c r="D111">
        <f t="shared" si="56"/>
        <v>0.19115912853766223</v>
      </c>
      <c r="F111">
        <f t="shared" si="57"/>
        <v>6.4945279592286669E-3</v>
      </c>
      <c r="G111">
        <f t="shared" si="58"/>
        <v>2.437640742419097E-2</v>
      </c>
      <c r="H111">
        <f t="shared" si="59"/>
        <v>-3.1172162425758092</v>
      </c>
      <c r="J111">
        <f t="shared" si="60"/>
        <v>15</v>
      </c>
      <c r="M111">
        <f t="shared" si="61"/>
        <v>3.911628098664844E-2</v>
      </c>
      <c r="N111">
        <f t="shared" si="62"/>
        <v>-1.5707963250000001</v>
      </c>
      <c r="O111">
        <f t="shared" si="63"/>
        <v>18.786183455806686</v>
      </c>
      <c r="P111">
        <f t="shared" si="64"/>
        <v>1.5175405468138345</v>
      </c>
      <c r="Q111">
        <f t="shared" si="65"/>
        <v>14.674833085040371</v>
      </c>
      <c r="R111">
        <f t="shared" si="66"/>
        <v>1.5025996020213013</v>
      </c>
      <c r="S111">
        <f t="shared" si="67"/>
        <v>0.97935847383750363</v>
      </c>
      <c r="T111">
        <f t="shared" si="68"/>
        <v>-0.20353344567891021</v>
      </c>
      <c r="U111">
        <f t="shared" si="69"/>
        <v>0.95195826841114162</v>
      </c>
      <c r="V111">
        <f t="shared" si="70"/>
        <v>-0.31122790696915942</v>
      </c>
      <c r="X111">
        <f t="shared" si="87"/>
        <v>-2.0970234663887491E-2</v>
      </c>
      <c r="Y111">
        <f t="shared" si="71"/>
        <v>-114.10309217307167</v>
      </c>
      <c r="Z111">
        <f t="shared" si="88"/>
        <v>65.896907826928327</v>
      </c>
      <c r="AC111">
        <v>1</v>
      </c>
      <c r="AD111">
        <f t="shared" si="72"/>
        <v>18.759549270577502</v>
      </c>
      <c r="AE111">
        <f t="shared" si="73"/>
        <v>-3.7211471933576326E-4</v>
      </c>
      <c r="AF111">
        <f t="shared" si="74"/>
        <v>1.1567783960271E-3</v>
      </c>
      <c r="AG111">
        <f t="shared" si="89"/>
        <v>14444.294590445987</v>
      </c>
      <c r="AH111">
        <f t="shared" si="90"/>
        <v>-5510.9385249770403</v>
      </c>
      <c r="AJ111">
        <f t="shared" si="75"/>
        <v>22100</v>
      </c>
      <c r="AK111">
        <f t="shared" si="76"/>
        <v>4561.2483349092663</v>
      </c>
      <c r="AL111">
        <v>1</v>
      </c>
      <c r="AM111">
        <f t="shared" si="77"/>
        <v>14.640721501134959</v>
      </c>
      <c r="AN111">
        <f t="shared" si="91"/>
        <v>412.72192664196132</v>
      </c>
      <c r="AO111">
        <f t="shared" si="92"/>
        <v>-1481.2984504675419</v>
      </c>
      <c r="AQ111">
        <f t="shared" si="78"/>
        <v>1.6863406408094435</v>
      </c>
      <c r="AR111">
        <f t="shared" si="79"/>
        <v>-129.84822934232716</v>
      </c>
      <c r="AT111">
        <f t="shared" si="104"/>
        <v>-691227.60848699184</v>
      </c>
      <c r="AU111">
        <f t="shared" si="105"/>
        <v>-1884859.3962720374</v>
      </c>
      <c r="AV111">
        <f t="shared" si="93"/>
        <v>-1.9222937308249455</v>
      </c>
      <c r="AW111">
        <f t="shared" si="94"/>
        <v>-177314.04274169158</v>
      </c>
      <c r="AX111">
        <f t="shared" si="95"/>
        <v>-68704.575120429159</v>
      </c>
      <c r="AY111">
        <f t="shared" si="103"/>
        <v>-2.7719310013954548</v>
      </c>
      <c r="BA111">
        <f t="shared" si="80"/>
        <v>10.557502898861394</v>
      </c>
      <c r="BB111">
        <f t="shared" si="96"/>
        <v>20.471224186896208</v>
      </c>
      <c r="BC111">
        <f t="shared" si="97"/>
        <v>0.84963727057050931</v>
      </c>
      <c r="BD111">
        <f t="shared" si="81"/>
        <v>-131.3193702236693</v>
      </c>
      <c r="BF111">
        <f t="shared" si="82"/>
        <v>0.40367630822603168</v>
      </c>
      <c r="BG111">
        <f t="shared" si="83"/>
        <v>-118.97009366385382</v>
      </c>
      <c r="BH111">
        <f t="shared" si="98"/>
        <v>61.029906336146183</v>
      </c>
      <c r="BI111">
        <f t="shared" si="99"/>
        <v>61.029906336146183</v>
      </c>
      <c r="BJ111">
        <f t="shared" si="84"/>
        <v>0</v>
      </c>
      <c r="BK111">
        <f t="shared" si="100"/>
        <v>0</v>
      </c>
      <c r="BM111">
        <f t="shared" si="101"/>
        <v>-20.067547878670172</v>
      </c>
      <c r="BN111">
        <f t="shared" si="85"/>
        <v>-167.65072344018452</v>
      </c>
      <c r="BQ111" s="47">
        <f t="shared" si="102"/>
        <v>37.37318498718134</v>
      </c>
      <c r="BR111" s="529"/>
      <c r="BS111" s="529"/>
      <c r="BT111" s="529">
        <v>1023.293</v>
      </c>
      <c r="BU111" s="529">
        <v>14.7437</v>
      </c>
      <c r="BV111" s="529">
        <v>-261.12389999999999</v>
      </c>
      <c r="BW111" s="49"/>
      <c r="BY111" s="529"/>
      <c r="BZ111" s="529"/>
      <c r="CA111" s="529"/>
      <c r="CC111" s="529"/>
    </row>
    <row r="112" spans="1:81">
      <c r="A112">
        <f t="shared" si="106"/>
        <v>39000</v>
      </c>
      <c r="B112">
        <f t="shared" si="86"/>
        <v>39</v>
      </c>
      <c r="C112">
        <f t="shared" si="55"/>
        <v>1.0190337927394559</v>
      </c>
      <c r="D112">
        <f t="shared" si="56"/>
        <v>0.19358053636102715</v>
      </c>
      <c r="F112">
        <f t="shared" si="57"/>
        <v>6.3280513965668179E-3</v>
      </c>
      <c r="G112">
        <f t="shared" si="58"/>
        <v>2.4059958565866613E-2</v>
      </c>
      <c r="H112">
        <f t="shared" si="59"/>
        <v>-3.1175326914341337</v>
      </c>
      <c r="J112">
        <f t="shared" si="60"/>
        <v>15</v>
      </c>
      <c r="M112">
        <f t="shared" si="61"/>
        <v>3.8614790204768337E-2</v>
      </c>
      <c r="N112">
        <f t="shared" si="62"/>
        <v>-1.5707963250000001</v>
      </c>
      <c r="O112">
        <f t="shared" si="63"/>
        <v>19.029472976759884</v>
      </c>
      <c r="P112">
        <f t="shared" si="64"/>
        <v>1.5182220476424781</v>
      </c>
      <c r="Q112">
        <f t="shared" si="65"/>
        <v>14.86453599447624</v>
      </c>
      <c r="R112">
        <f t="shared" si="66"/>
        <v>1.5034712623529081</v>
      </c>
      <c r="S112">
        <f t="shared" si="67"/>
        <v>0.97883586053416938</v>
      </c>
      <c r="T112">
        <f t="shared" si="68"/>
        <v>-0.20610297012584883</v>
      </c>
      <c r="U112">
        <f t="shared" si="69"/>
        <v>0.95079352645242321</v>
      </c>
      <c r="V112">
        <f t="shared" si="70"/>
        <v>-0.31500920680982997</v>
      </c>
      <c r="X112">
        <f t="shared" si="87"/>
        <v>-0.14644543662349452</v>
      </c>
      <c r="Y112">
        <f t="shared" si="71"/>
        <v>-114.25737275722614</v>
      </c>
      <c r="Z112">
        <f t="shared" si="88"/>
        <v>65.742627242773864</v>
      </c>
      <c r="AC112">
        <v>1</v>
      </c>
      <c r="AD112">
        <f t="shared" si="72"/>
        <v>19.003179780585</v>
      </c>
      <c r="AE112">
        <f t="shared" si="73"/>
        <v>-3.8184279852231134E-4</v>
      </c>
      <c r="AF112">
        <f t="shared" si="74"/>
        <v>1.1718014920794001E-3</v>
      </c>
      <c r="AG112">
        <f t="shared" si="89"/>
        <v>14408.970386981056</v>
      </c>
      <c r="AH112">
        <f t="shared" si="90"/>
        <v>-5548.6885964379635</v>
      </c>
      <c r="AJ112">
        <f t="shared" si="75"/>
        <v>22100</v>
      </c>
      <c r="AK112">
        <f t="shared" si="76"/>
        <v>4620.4853262717243</v>
      </c>
      <c r="AL112">
        <v>1</v>
      </c>
      <c r="AM112">
        <f t="shared" si="77"/>
        <v>14.83086074140944</v>
      </c>
      <c r="AN112">
        <f t="shared" si="91"/>
        <v>410.15595069022766</v>
      </c>
      <c r="AO112">
        <f t="shared" si="92"/>
        <v>-1462.4804606754396</v>
      </c>
      <c r="AQ112">
        <f t="shared" si="78"/>
        <v>1.6433853738701725</v>
      </c>
      <c r="AR112">
        <f t="shared" si="79"/>
        <v>-128.18405916187345</v>
      </c>
      <c r="AT112">
        <f t="shared" si="104"/>
        <v>-687573.93613012345</v>
      </c>
      <c r="AU112">
        <f t="shared" si="105"/>
        <v>-1856118.9462300087</v>
      </c>
      <c r="AV112">
        <f t="shared" si="93"/>
        <v>-1.9255600022842445</v>
      </c>
      <c r="AW112">
        <f t="shared" si="94"/>
        <v>-172497.30535958428</v>
      </c>
      <c r="AX112">
        <f t="shared" si="95"/>
        <v>-67536.671338238695</v>
      </c>
      <c r="AY112">
        <f t="shared" si="103"/>
        <v>-2.7684152833318838</v>
      </c>
      <c r="BA112">
        <f t="shared" si="80"/>
        <v>10.685060954686929</v>
      </c>
      <c r="BB112">
        <f t="shared" si="96"/>
        <v>20.575540080228571</v>
      </c>
      <c r="BC112">
        <f t="shared" si="97"/>
        <v>0.84285528104763929</v>
      </c>
      <c r="BD112">
        <f t="shared" si="81"/>
        <v>-131.70794960047573</v>
      </c>
      <c r="BF112">
        <f t="shared" si="82"/>
        <v>0.28653694086261816</v>
      </c>
      <c r="BG112">
        <f t="shared" si="83"/>
        <v>-119.2380677757774</v>
      </c>
      <c r="BH112">
        <f t="shared" si="98"/>
        <v>60.761932224222605</v>
      </c>
      <c r="BI112">
        <f t="shared" si="99"/>
        <v>60.761932224222605</v>
      </c>
      <c r="BJ112">
        <f t="shared" si="84"/>
        <v>0</v>
      </c>
      <c r="BK112">
        <f t="shared" si="100"/>
        <v>0</v>
      </c>
      <c r="BM112">
        <f t="shared" si="101"/>
        <v>-20.289003139365953</v>
      </c>
      <c r="BN112">
        <f t="shared" si="85"/>
        <v>-167.53011817530171</v>
      </c>
      <c r="BQ112" s="47">
        <f t="shared" si="102"/>
        <v>37.477500880513702</v>
      </c>
      <c r="BR112" s="529"/>
      <c r="BS112" s="529"/>
      <c r="BT112" s="529">
        <v>1047.1289999999999</v>
      </c>
      <c r="BU112" s="529">
        <v>14.586600000000001</v>
      </c>
      <c r="BV112" s="529">
        <v>-260.40769999999998</v>
      </c>
      <c r="BW112" s="49"/>
      <c r="BY112" s="529"/>
      <c r="BZ112" s="529"/>
      <c r="CA112" s="529"/>
      <c r="CC112" s="529"/>
    </row>
    <row r="113" spans="1:81">
      <c r="A113">
        <f t="shared" si="106"/>
        <v>39500</v>
      </c>
      <c r="B113">
        <f t="shared" si="86"/>
        <v>39.5</v>
      </c>
      <c r="C113">
        <f t="shared" si="55"/>
        <v>1.0195202639442316</v>
      </c>
      <c r="D113">
        <f t="shared" si="56"/>
        <v>0.19599964757368488</v>
      </c>
      <c r="F113">
        <f t="shared" si="57"/>
        <v>6.167907153240444E-3</v>
      </c>
      <c r="G113">
        <f t="shared" si="58"/>
        <v>2.3751668677635097E-2</v>
      </c>
      <c r="H113">
        <f t="shared" si="59"/>
        <v>-3.1178409813223653</v>
      </c>
      <c r="J113">
        <f t="shared" si="60"/>
        <v>15</v>
      </c>
      <c r="M113">
        <f t="shared" si="61"/>
        <v>3.812599539204975E-2</v>
      </c>
      <c r="N113">
        <f t="shared" si="62"/>
        <v>-1.5707963250000001</v>
      </c>
      <c r="O113">
        <f t="shared" si="63"/>
        <v>19.272771112687906</v>
      </c>
      <c r="P113">
        <f t="shared" si="64"/>
        <v>1.5188863423340879</v>
      </c>
      <c r="Q113">
        <f t="shared" si="65"/>
        <v>15.054249913222121</v>
      </c>
      <c r="R113">
        <f t="shared" si="66"/>
        <v>1.5043209539593514</v>
      </c>
      <c r="S113">
        <f t="shared" si="67"/>
        <v>0.97830735582069328</v>
      </c>
      <c r="T113">
        <f t="shared" si="68"/>
        <v>-0.20866973676811476</v>
      </c>
      <c r="U113">
        <f t="shared" si="69"/>
        <v>0.94961810317854689</v>
      </c>
      <c r="V113">
        <f t="shared" si="70"/>
        <v>-0.3187812111711355</v>
      </c>
      <c r="X113">
        <f t="shared" si="87"/>
        <v>-0.27052541610992731</v>
      </c>
      <c r="Y113">
        <f t="shared" si="71"/>
        <v>-114.41287140489345</v>
      </c>
      <c r="Z113">
        <f t="shared" si="88"/>
        <v>65.587128595106549</v>
      </c>
      <c r="AC113">
        <v>1</v>
      </c>
      <c r="AD113">
        <f t="shared" si="72"/>
        <v>19.246810290592503</v>
      </c>
      <c r="AE113">
        <f t="shared" si="73"/>
        <v>-3.9169640131126636E-4</v>
      </c>
      <c r="AF113">
        <f t="shared" si="74"/>
        <v>1.1868245881317E-3</v>
      </c>
      <c r="AG113">
        <f t="shared" si="89"/>
        <v>14373.366084528583</v>
      </c>
      <c r="AH113">
        <f t="shared" si="90"/>
        <v>-5586.3316587299541</v>
      </c>
      <c r="AJ113">
        <f t="shared" si="75"/>
        <v>22100</v>
      </c>
      <c r="AK113">
        <f t="shared" si="76"/>
        <v>4679.7223176341822</v>
      </c>
      <c r="AL113">
        <v>1</v>
      </c>
      <c r="AM113">
        <f t="shared" si="77"/>
        <v>15.02099998168392</v>
      </c>
      <c r="AN113">
        <f t="shared" si="91"/>
        <v>407.68622548724124</v>
      </c>
      <c r="AO113">
        <f t="shared" si="92"/>
        <v>-1444.1324679424545</v>
      </c>
      <c r="AQ113">
        <f t="shared" si="78"/>
        <v>1.6020506247997437</v>
      </c>
      <c r="AR113">
        <f t="shared" si="79"/>
        <v>-126.56199935917975</v>
      </c>
      <c r="AT113">
        <f t="shared" si="104"/>
        <v>-683990.44369615149</v>
      </c>
      <c r="AU113">
        <f t="shared" si="105"/>
        <v>-1828071.5353035694</v>
      </c>
      <c r="AV113">
        <f t="shared" si="93"/>
        <v>-1.9288299705927887</v>
      </c>
      <c r="AW113">
        <f t="shared" si="94"/>
        <v>-167862.53120826915</v>
      </c>
      <c r="AX113">
        <f t="shared" si="95"/>
        <v>-66413.621452617575</v>
      </c>
      <c r="AY113">
        <f t="shared" si="103"/>
        <v>-2.7648480168482497</v>
      </c>
      <c r="BA113">
        <f t="shared" si="80"/>
        <v>10.812145705775404</v>
      </c>
      <c r="BB113">
        <f t="shared" si="96"/>
        <v>20.678237793415477</v>
      </c>
      <c r="BC113">
        <f t="shared" si="97"/>
        <v>0.83601804625546094</v>
      </c>
      <c r="BD113">
        <f t="shared" si="81"/>
        <v>-132.09969429805517</v>
      </c>
      <c r="BF113">
        <f t="shared" si="82"/>
        <v>0.17073677030571718</v>
      </c>
      <c r="BG113">
        <f t="shared" si="83"/>
        <v>-119.50887132002281</v>
      </c>
      <c r="BH113">
        <f t="shared" si="98"/>
        <v>60.491128679977194</v>
      </c>
      <c r="BI113">
        <f t="shared" si="99"/>
        <v>60.491128679977194</v>
      </c>
      <c r="BJ113">
        <f t="shared" si="84"/>
        <v>0</v>
      </c>
      <c r="BK113">
        <f t="shared" si="100"/>
        <v>0</v>
      </c>
      <c r="BM113">
        <f t="shared" si="101"/>
        <v>-20.507501023109761</v>
      </c>
      <c r="BN113">
        <f t="shared" si="85"/>
        <v>-167.40917702196765</v>
      </c>
      <c r="BQ113" s="47">
        <f t="shared" si="102"/>
        <v>37.580198593700615</v>
      </c>
      <c r="BR113" s="529"/>
      <c r="BS113" s="529"/>
      <c r="BT113" s="529">
        <v>1071.519</v>
      </c>
      <c r="BU113" s="529">
        <v>14.3581</v>
      </c>
      <c r="BV113" s="529">
        <v>-260.5301</v>
      </c>
      <c r="BW113" s="49"/>
      <c r="BY113" s="529"/>
      <c r="BZ113" s="529"/>
      <c r="CA113" s="529"/>
      <c r="CC113" s="529"/>
    </row>
    <row r="114" spans="1:81">
      <c r="A114">
        <f t="shared" si="106"/>
        <v>40000</v>
      </c>
      <c r="B114">
        <f t="shared" si="86"/>
        <v>40</v>
      </c>
      <c r="C114">
        <f t="shared" si="55"/>
        <v>1.0200126957712219</v>
      </c>
      <c r="D114">
        <f t="shared" si="56"/>
        <v>0.1984164371682659</v>
      </c>
      <c r="F114">
        <f t="shared" si="57"/>
        <v>6.0137775005346924E-3</v>
      </c>
      <c r="G114">
        <f t="shared" si="58"/>
        <v>2.345122448553217E-2</v>
      </c>
      <c r="H114">
        <f t="shared" si="59"/>
        <v>-3.1181414255144682</v>
      </c>
      <c r="J114">
        <f t="shared" si="60"/>
        <v>15</v>
      </c>
      <c r="M114">
        <f t="shared" si="61"/>
        <v>3.7649420449649126E-2</v>
      </c>
      <c r="N114">
        <f t="shared" si="62"/>
        <v>-1.5707963250000001</v>
      </c>
      <c r="O114">
        <f t="shared" si="63"/>
        <v>19.516077541393742</v>
      </c>
      <c r="P114">
        <f t="shared" si="64"/>
        <v>1.5195340738165026</v>
      </c>
      <c r="Q114">
        <f t="shared" si="65"/>
        <v>15.243974430239678</v>
      </c>
      <c r="R114">
        <f t="shared" si="66"/>
        <v>1.5051494958498708</v>
      </c>
      <c r="S114">
        <f t="shared" si="67"/>
        <v>0.97777299010915231</v>
      </c>
      <c r="T114">
        <f t="shared" si="68"/>
        <v>-0.21123371627676257</v>
      </c>
      <c r="U114">
        <f t="shared" si="69"/>
        <v>0.94843213830911532</v>
      </c>
      <c r="V114">
        <f t="shared" si="70"/>
        <v>-0.32254384734869324</v>
      </c>
      <c r="X114">
        <f t="shared" si="87"/>
        <v>-0.3932493525085245</v>
      </c>
      <c r="Y114">
        <f t="shared" si="71"/>
        <v>-114.56951788926273</v>
      </c>
      <c r="Z114">
        <f t="shared" si="88"/>
        <v>65.430482110737273</v>
      </c>
      <c r="AC114">
        <v>1</v>
      </c>
      <c r="AD114">
        <f t="shared" si="72"/>
        <v>19.490440800600002</v>
      </c>
      <c r="AE114">
        <f t="shared" si="73"/>
        <v>-4.0167552770262855E-4</v>
      </c>
      <c r="AF114">
        <f t="shared" si="74"/>
        <v>1.2018476841840001E-3</v>
      </c>
      <c r="AG114">
        <f t="shared" si="89"/>
        <v>14337.487108071728</v>
      </c>
      <c r="AH114">
        <f t="shared" si="90"/>
        <v>-5623.8554926811794</v>
      </c>
      <c r="AJ114">
        <f t="shared" si="75"/>
        <v>22100</v>
      </c>
      <c r="AK114">
        <f t="shared" si="76"/>
        <v>4738.9593089966402</v>
      </c>
      <c r="AL114">
        <v>1</v>
      </c>
      <c r="AM114">
        <f t="shared" si="77"/>
        <v>15.211139221958401</v>
      </c>
      <c r="AN114">
        <f t="shared" si="91"/>
        <v>405.3080034654364</v>
      </c>
      <c r="AO114">
        <f t="shared" si="92"/>
        <v>-1426.2371594901108</v>
      </c>
      <c r="AQ114">
        <f t="shared" si="78"/>
        <v>1.562255897516013</v>
      </c>
      <c r="AR114">
        <f t="shared" si="79"/>
        <v>-124.98047180128106</v>
      </c>
      <c r="AT114">
        <f t="shared" si="104"/>
        <v>-680473.28902737482</v>
      </c>
      <c r="AU114">
        <f t="shared" si="105"/>
        <v>-1800691.8046218082</v>
      </c>
      <c r="AV114">
        <f t="shared" si="93"/>
        <v>-1.9321030781026218</v>
      </c>
      <c r="AW114">
        <f t="shared" si="94"/>
        <v>-163400.7683396255</v>
      </c>
      <c r="AX114">
        <f t="shared" si="95"/>
        <v>-65333.023087586924</v>
      </c>
      <c r="AY114">
        <f t="shared" si="103"/>
        <v>-2.7612302308671581</v>
      </c>
      <c r="BA114">
        <f t="shared" si="80"/>
        <v>10.938741657443991</v>
      </c>
      <c r="BB114">
        <f t="shared" si="96"/>
        <v>20.779347312598819</v>
      </c>
      <c r="BC114">
        <f t="shared" si="97"/>
        <v>0.8291271527645363</v>
      </c>
      <c r="BD114">
        <f t="shared" si="81"/>
        <v>-132.49451341261047</v>
      </c>
      <c r="BF114">
        <f t="shared" si="82"/>
        <v>5.6231158307030696E-2</v>
      </c>
      <c r="BG114">
        <f t="shared" si="83"/>
        <v>-119.78243277488563</v>
      </c>
      <c r="BH114">
        <f t="shared" si="98"/>
        <v>60.217567225114365</v>
      </c>
      <c r="BI114">
        <f t="shared" si="99"/>
        <v>60.217567225114365</v>
      </c>
      <c r="BJ114">
        <f t="shared" si="84"/>
        <v>40000</v>
      </c>
      <c r="BK114">
        <f t="shared" si="100"/>
        <v>60.217567225114365</v>
      </c>
      <c r="BM114">
        <f t="shared" si="101"/>
        <v>-20.723116154291787</v>
      </c>
      <c r="BN114">
        <f t="shared" si="85"/>
        <v>-167.28791936227515</v>
      </c>
      <c r="BQ114" s="47">
        <f t="shared" si="102"/>
        <v>37.681308112883954</v>
      </c>
      <c r="BR114" s="529"/>
      <c r="BS114" s="529"/>
      <c r="BT114" s="529">
        <v>1096.4780000000001</v>
      </c>
      <c r="BU114" s="529">
        <v>14.1501</v>
      </c>
      <c r="BV114" s="529">
        <v>-260.5471</v>
      </c>
      <c r="BW114" s="49"/>
      <c r="BY114" s="529"/>
      <c r="BZ114" s="529"/>
      <c r="CA114" s="529"/>
      <c r="CC114" s="529"/>
    </row>
    <row r="115" spans="1:81">
      <c r="A115">
        <f t="shared" si="106"/>
        <v>40500</v>
      </c>
      <c r="B115">
        <f t="shared" si="86"/>
        <v>40.5</v>
      </c>
      <c r="C115">
        <f t="shared" si="55"/>
        <v>1.0205110795918091</v>
      </c>
      <c r="D115">
        <f t="shared" si="56"/>
        <v>0.20083088029385651</v>
      </c>
      <c r="F115">
        <f t="shared" si="57"/>
        <v>5.8653644265055675E-3</v>
      </c>
      <c r="G115">
        <f t="shared" si="58"/>
        <v>2.3158328634017091E-2</v>
      </c>
      <c r="H115">
        <f t="shared" si="59"/>
        <v>-3.1184343213659833</v>
      </c>
      <c r="J115">
        <f t="shared" si="60"/>
        <v>15</v>
      </c>
      <c r="M115">
        <f t="shared" si="61"/>
        <v>3.7184612789776916E-2</v>
      </c>
      <c r="N115">
        <f t="shared" si="62"/>
        <v>-1.5707963250000001</v>
      </c>
      <c r="O115">
        <f t="shared" si="63"/>
        <v>19.759391956539098</v>
      </c>
      <c r="P115">
        <f t="shared" si="64"/>
        <v>1.5201658534070921</v>
      </c>
      <c r="Q115">
        <f t="shared" si="65"/>
        <v>15.433709154679516</v>
      </c>
      <c r="R115">
        <f t="shared" si="66"/>
        <v>1.5059576668792154</v>
      </c>
      <c r="S115">
        <f t="shared" si="67"/>
        <v>0.97723279405822161</v>
      </c>
      <c r="T115">
        <f t="shared" si="68"/>
        <v>-0.21379487953308346</v>
      </c>
      <c r="U115">
        <f t="shared" si="69"/>
        <v>0.94723577183966856</v>
      </c>
      <c r="V115">
        <f t="shared" si="70"/>
        <v>-0.3262970440598007</v>
      </c>
      <c r="X115">
        <f t="shared" si="87"/>
        <v>-0.51465482536067075</v>
      </c>
      <c r="Y115">
        <f t="shared" si="71"/>
        <v>-114.72724526783146</v>
      </c>
      <c r="Z115">
        <f t="shared" si="88"/>
        <v>65.272754732168536</v>
      </c>
      <c r="AC115">
        <v>1</v>
      </c>
      <c r="AD115">
        <f t="shared" si="72"/>
        <v>19.734071310607501</v>
      </c>
      <c r="AE115">
        <f t="shared" si="73"/>
        <v>-4.1178017769639779E-4</v>
      </c>
      <c r="AF115">
        <f t="shared" si="74"/>
        <v>1.2168707802363002E-3</v>
      </c>
      <c r="AG115">
        <f t="shared" si="89"/>
        <v>14301.33888051871</v>
      </c>
      <c r="AH115">
        <f t="shared" si="90"/>
        <v>-5661.2484886675002</v>
      </c>
      <c r="AJ115">
        <f t="shared" si="75"/>
        <v>22100</v>
      </c>
      <c r="AK115">
        <f t="shared" si="76"/>
        <v>4798.1963003590981</v>
      </c>
      <c r="AL115">
        <v>1</v>
      </c>
      <c r="AM115">
        <f t="shared" si="77"/>
        <v>15.401278462232879</v>
      </c>
      <c r="AN115">
        <f t="shared" si="91"/>
        <v>403.01682579948823</v>
      </c>
      <c r="AO115">
        <f t="shared" si="92"/>
        <v>-1408.7780587440195</v>
      </c>
      <c r="AQ115">
        <f t="shared" si="78"/>
        <v>1.5239256324291375</v>
      </c>
      <c r="AR115">
        <f t="shared" si="79"/>
        <v>-123.43797622676013</v>
      </c>
      <c r="AT115">
        <f t="shared" si="104"/>
        <v>-677018.87945984281</v>
      </c>
      <c r="AU115">
        <f t="shared" si="105"/>
        <v>-1773955.6504277398</v>
      </c>
      <c r="AV115">
        <f t="shared" si="93"/>
        <v>-1.9353787923982773</v>
      </c>
      <c r="AW115">
        <f t="shared" si="94"/>
        <v>-159103.60782946818</v>
      </c>
      <c r="AX115">
        <f t="shared" si="95"/>
        <v>-64292.634831741816</v>
      </c>
      <c r="AY115">
        <f t="shared" si="103"/>
        <v>-2.7575629203812859</v>
      </c>
      <c r="BA115">
        <f t="shared" si="80"/>
        <v>11.064833135583179</v>
      </c>
      <c r="BB115">
        <f t="shared" si="96"/>
        <v>20.878897377751965</v>
      </c>
      <c r="BC115">
        <f t="shared" si="97"/>
        <v>0.82218412798300866</v>
      </c>
      <c r="BD115">
        <f t="shared" si="81"/>
        <v>-132.89231943010131</v>
      </c>
      <c r="BF115">
        <f t="shared" si="82"/>
        <v>-5.7022940679699291E-2</v>
      </c>
      <c r="BG115">
        <f t="shared" si="83"/>
        <v>-120.05868308739558</v>
      </c>
      <c r="BH115">
        <f t="shared" si="98"/>
        <v>59.941316912604421</v>
      </c>
      <c r="BI115">
        <f t="shared" si="99"/>
        <v>59.941316912604421</v>
      </c>
      <c r="BJ115">
        <f t="shared" si="84"/>
        <v>0</v>
      </c>
      <c r="BK115">
        <f t="shared" si="100"/>
        <v>0</v>
      </c>
      <c r="BM115">
        <f t="shared" si="101"/>
        <v>-20.935920318431663</v>
      </c>
      <c r="BN115">
        <f t="shared" si="85"/>
        <v>-167.16636365729426</v>
      </c>
      <c r="BQ115" s="47">
        <f t="shared" si="102"/>
        <v>37.780858178037107</v>
      </c>
      <c r="BR115" s="529"/>
      <c r="BS115" s="529"/>
      <c r="BT115" s="529">
        <v>1122.018</v>
      </c>
      <c r="BU115" s="529">
        <v>13.9679</v>
      </c>
      <c r="BV115" s="529">
        <v>-259.93099999999998</v>
      </c>
      <c r="BW115" s="49"/>
      <c r="BY115" s="529"/>
      <c r="BZ115" s="529"/>
      <c r="CA115" s="529"/>
      <c r="CC115" s="529"/>
    </row>
    <row r="116" spans="1:81">
      <c r="A116">
        <f t="shared" si="106"/>
        <v>41000</v>
      </c>
      <c r="B116">
        <f t="shared" si="86"/>
        <v>41</v>
      </c>
      <c r="C116">
        <f t="shared" si="55"/>
        <v>1.0210154066900303</v>
      </c>
      <c r="D116">
        <f t="shared" si="56"/>
        <v>0.20324295225720362</v>
      </c>
      <c r="F116">
        <f t="shared" si="57"/>
        <v>5.7223881831964885E-3</v>
      </c>
      <c r="G116">
        <f t="shared" si="58"/>
        <v>2.2872698682728645E-2</v>
      </c>
      <c r="H116">
        <f t="shared" si="59"/>
        <v>-3.1187199513172716</v>
      </c>
      <c r="J116">
        <f t="shared" si="60"/>
        <v>15</v>
      </c>
      <c r="M116">
        <f t="shared" si="61"/>
        <v>3.6731141902096712E-2</v>
      </c>
      <c r="N116">
        <f t="shared" si="62"/>
        <v>-1.5707963250000001</v>
      </c>
      <c r="O116">
        <f t="shared" si="63"/>
        <v>20.00271406668115</v>
      </c>
      <c r="P116">
        <f t="shared" si="64"/>
        <v>1.5207822627302712</v>
      </c>
      <c r="Q116">
        <f t="shared" si="65"/>
        <v>15.623453714657966</v>
      </c>
      <c r="R116">
        <f t="shared" si="66"/>
        <v>1.5067462081753487</v>
      </c>
      <c r="S116">
        <f t="shared" si="67"/>
        <v>0.97668679856860041</v>
      </c>
      <c r="T116">
        <f t="shared" si="68"/>
        <v>-0.21635319763008443</v>
      </c>
      <c r="U116">
        <f t="shared" si="69"/>
        <v>0.94602914400359006</v>
      </c>
      <c r="V116">
        <f t="shared" si="70"/>
        <v>-0.33004073144267304</v>
      </c>
      <c r="X116">
        <f t="shared" si="87"/>
        <v>-0.6347778990196673</v>
      </c>
      <c r="Y116">
        <f t="shared" si="71"/>
        <v>-114.88598969089678</v>
      </c>
      <c r="Z116">
        <f t="shared" si="88"/>
        <v>65.114010309103222</v>
      </c>
      <c r="AC116">
        <v>1</v>
      </c>
      <c r="AD116">
        <f t="shared" si="72"/>
        <v>19.977701820615</v>
      </c>
      <c r="AE116">
        <f t="shared" si="73"/>
        <v>-4.2201035129257414E-4</v>
      </c>
      <c r="AF116">
        <f t="shared" si="74"/>
        <v>1.2318938762886002E-3</v>
      </c>
      <c r="AG116">
        <f t="shared" si="89"/>
        <v>14264.926821034433</v>
      </c>
      <c r="AH116">
        <f t="shared" si="90"/>
        <v>-5698.4996143150038</v>
      </c>
      <c r="AJ116">
        <f t="shared" si="75"/>
        <v>22100</v>
      </c>
      <c r="AK116">
        <f t="shared" si="76"/>
        <v>4857.4332917215561</v>
      </c>
      <c r="AL116">
        <v>1</v>
      </c>
      <c r="AM116">
        <f t="shared" si="77"/>
        <v>15.591417702507361</v>
      </c>
      <c r="AN116">
        <f t="shared" si="91"/>
        <v>400.80850161534005</v>
      </c>
      <c r="AO116">
        <f t="shared" si="92"/>
        <v>-1391.7394756793069</v>
      </c>
      <c r="AQ116">
        <f t="shared" si="78"/>
        <v>1.486988847583643</v>
      </c>
      <c r="AR116">
        <f t="shared" si="79"/>
        <v>-121.93308550185874</v>
      </c>
      <c r="AT116">
        <f t="shared" si="104"/>
        <v>-673623.85361010546</v>
      </c>
      <c r="AU116">
        <f t="shared" si="105"/>
        <v>-1747840.1471213957</v>
      </c>
      <c r="AV116">
        <f t="shared" si="93"/>
        <v>-1.9386566048539433</v>
      </c>
      <c r="AW116">
        <f t="shared" si="94"/>
        <v>-154963.14477133763</v>
      </c>
      <c r="AX116">
        <f t="shared" si="95"/>
        <v>-63290.363418826921</v>
      </c>
      <c r="AY116">
        <f t="shared" si="103"/>
        <v>-2.7538470494393348</v>
      </c>
      <c r="BA116">
        <f t="shared" si="80"/>
        <v>11.19040429241247</v>
      </c>
      <c r="BB116">
        <f t="shared" si="96"/>
        <v>20.976915544315023</v>
      </c>
      <c r="BC116">
        <f t="shared" si="97"/>
        <v>0.81519044458539147</v>
      </c>
      <c r="BD116">
        <f t="shared" si="81"/>
        <v>-133.29302797249335</v>
      </c>
      <c r="BF116">
        <f t="shared" si="82"/>
        <v>-0.16906706117384776</v>
      </c>
      <c r="BG116">
        <f t="shared" si="83"/>
        <v>-120.33755547697812</v>
      </c>
      <c r="BH116">
        <f t="shared" si="98"/>
        <v>59.662444523021875</v>
      </c>
      <c r="BI116">
        <f t="shared" si="99"/>
        <v>59.662444523021875</v>
      </c>
      <c r="BJ116">
        <f t="shared" si="84"/>
        <v>0</v>
      </c>
      <c r="BK116">
        <f t="shared" si="100"/>
        <v>0</v>
      </c>
      <c r="BM116">
        <f t="shared" si="101"/>
        <v>-21.145982605488868</v>
      </c>
      <c r="BN116">
        <f t="shared" si="85"/>
        <v>-167.04452750448476</v>
      </c>
      <c r="BQ116" s="47">
        <f t="shared" si="102"/>
        <v>37.878876344600158</v>
      </c>
      <c r="BR116" s="529"/>
      <c r="BS116" s="529"/>
      <c r="BT116" s="529">
        <v>1148.154</v>
      </c>
      <c r="BU116" s="529">
        <v>13.7508</v>
      </c>
      <c r="BV116" s="529">
        <v>-259.94799999999998</v>
      </c>
      <c r="BW116" s="49"/>
      <c r="BY116" s="529"/>
      <c r="BZ116" s="529"/>
      <c r="CA116" s="529"/>
      <c r="CC116" s="529"/>
    </row>
    <row r="117" spans="1:81">
      <c r="A117">
        <f t="shared" si="106"/>
        <v>41500</v>
      </c>
      <c r="B117">
        <f t="shared" si="86"/>
        <v>41.5</v>
      </c>
      <c r="C117">
        <f t="shared" si="55"/>
        <v>1.0215256682632998</v>
      </c>
      <c r="D117">
        <f t="shared" si="56"/>
        <v>0.20565262852389432</v>
      </c>
      <c r="F117">
        <f t="shared" si="57"/>
        <v>5.5845859574338843E-3</v>
      </c>
      <c r="G117">
        <f t="shared" si="58"/>
        <v>2.2594066178504568E-2</v>
      </c>
      <c r="H117">
        <f t="shared" si="59"/>
        <v>-3.1189985838214955</v>
      </c>
      <c r="J117">
        <f t="shared" si="60"/>
        <v>15</v>
      </c>
      <c r="M117">
        <f t="shared" si="61"/>
        <v>3.6288598023758195E-2</v>
      </c>
      <c r="N117">
        <f t="shared" si="62"/>
        <v>-1.5707963250000001</v>
      </c>
      <c r="O117">
        <f t="shared" si="63"/>
        <v>20.246043594378602</v>
      </c>
      <c r="P117">
        <f t="shared" si="64"/>
        <v>1.5213838554972208</v>
      </c>
      <c r="Q117">
        <f t="shared" si="65"/>
        <v>15.81320775612164</v>
      </c>
      <c r="R117">
        <f t="shared" si="66"/>
        <v>1.507515825393364</v>
      </c>
      <c r="S117">
        <f t="shared" si="67"/>
        <v>0.97613503477842611</v>
      </c>
      <c r="T117">
        <f t="shared" si="68"/>
        <v>-0.21890864187393039</v>
      </c>
      <c r="U117">
        <f t="shared" si="69"/>
        <v>0.94481239523443949</v>
      </c>
      <c r="V117">
        <f t="shared" si="70"/>
        <v>-0.33377484105524563</v>
      </c>
      <c r="X117">
        <f t="shared" si="87"/>
        <v>-0.75365320174797756</v>
      </c>
      <c r="Y117">
        <f t="shared" si="71"/>
        <v>-115.04569022356053</v>
      </c>
      <c r="Z117">
        <f t="shared" si="88"/>
        <v>64.954309776439473</v>
      </c>
      <c r="AC117">
        <v>1</v>
      </c>
      <c r="AD117">
        <f t="shared" si="72"/>
        <v>20.221332330622502</v>
      </c>
      <c r="AE117">
        <f t="shared" si="73"/>
        <v>-4.3236604849115754E-4</v>
      </c>
      <c r="AF117">
        <f t="shared" si="74"/>
        <v>1.2469169723409001E-3</v>
      </c>
      <c r="AG117">
        <f t="shared" si="89"/>
        <v>14228.256343398871</v>
      </c>
      <c r="AH117">
        <f t="shared" si="90"/>
        <v>-5735.598384460317</v>
      </c>
      <c r="AJ117">
        <f t="shared" si="75"/>
        <v>22100</v>
      </c>
      <c r="AK117">
        <f t="shared" si="76"/>
        <v>4916.670283084014</v>
      </c>
      <c r="AL117">
        <v>1</v>
      </c>
      <c r="AM117">
        <f t="shared" si="77"/>
        <v>15.78155694278184</v>
      </c>
      <c r="AN117">
        <f t="shared" si="91"/>
        <v>398.67908892272351</v>
      </c>
      <c r="AO117">
        <f t="shared" si="92"/>
        <v>-1375.1064606463317</v>
      </c>
      <c r="AQ117">
        <f t="shared" si="78"/>
        <v>1.4513788098693758</v>
      </c>
      <c r="AR117">
        <f t="shared" si="79"/>
        <v>-120.4644412191582</v>
      </c>
      <c r="AT117">
        <f t="shared" si="104"/>
        <v>-670285.06468332</v>
      </c>
      <c r="AU117">
        <f t="shared" si="105"/>
        <v>-1722323.4758876148</v>
      </c>
      <c r="AV117">
        <f t="shared" si="93"/>
        <v>-1.9419360292936321</v>
      </c>
      <c r="AW117">
        <f t="shared" si="94"/>
        <v>-150971.9424951245</v>
      </c>
      <c r="AX117">
        <f t="shared" si="95"/>
        <v>-62324.252081282313</v>
      </c>
      <c r="AY117">
        <f t="shared" si="103"/>
        <v>-2.7500835539150916</v>
      </c>
      <c r="BA117">
        <f t="shared" si="80"/>
        <v>11.315439112765233</v>
      </c>
      <c r="BB117">
        <f t="shared" si="96"/>
        <v>21.073428241467695</v>
      </c>
      <c r="BC117">
        <f t="shared" si="97"/>
        <v>0.80814752462145956</v>
      </c>
      <c r="BD117">
        <f t="shared" si="81"/>
        <v>-133.69655756233618</v>
      </c>
      <c r="BF117">
        <f t="shared" si="82"/>
        <v>-0.2799413027350795</v>
      </c>
      <c r="BG117">
        <f t="shared" si="83"/>
        <v>-120.6189852531344</v>
      </c>
      <c r="BH117">
        <f t="shared" si="98"/>
        <v>59.381014746865603</v>
      </c>
      <c r="BI117">
        <f t="shared" si="99"/>
        <v>59.381014746865603</v>
      </c>
      <c r="BJ117">
        <f t="shared" si="84"/>
        <v>0</v>
      </c>
      <c r="BK117">
        <f t="shared" si="100"/>
        <v>0</v>
      </c>
      <c r="BM117">
        <f t="shared" si="101"/>
        <v>-21.353369544202778</v>
      </c>
      <c r="BN117">
        <f t="shared" si="85"/>
        <v>-166.9224276907982</v>
      </c>
      <c r="BQ117" s="47">
        <f t="shared" si="102"/>
        <v>37.975389041752834</v>
      </c>
      <c r="BR117" s="529"/>
      <c r="BS117" s="529"/>
      <c r="BT117" s="529">
        <v>1174.8979999999999</v>
      </c>
      <c r="BU117" s="529">
        <v>13.6038</v>
      </c>
      <c r="BV117" s="529">
        <v>-260.19870000000003</v>
      </c>
      <c r="BW117" s="49"/>
      <c r="BY117" s="529"/>
      <c r="BZ117" s="529"/>
      <c r="CA117" s="529"/>
      <c r="CC117" s="529"/>
    </row>
    <row r="118" spans="1:81">
      <c r="A118">
        <f t="shared" si="106"/>
        <v>42000</v>
      </c>
      <c r="B118">
        <f t="shared" si="86"/>
        <v>42</v>
      </c>
      <c r="C118">
        <f t="shared" si="55"/>
        <v>1.0220418554231323</v>
      </c>
      <c r="D118">
        <f t="shared" si="56"/>
        <v>0.20805988471951051</v>
      </c>
      <c r="F118">
        <f t="shared" si="57"/>
        <v>5.4517106533130124E-3</v>
      </c>
      <c r="G118">
        <f t="shared" si="58"/>
        <v>2.2322175796132174E-2</v>
      </c>
      <c r="H118">
        <f t="shared" si="59"/>
        <v>-3.1192704742038679</v>
      </c>
      <c r="J118">
        <f t="shared" si="60"/>
        <v>15</v>
      </c>
      <c r="M118">
        <f t="shared" si="61"/>
        <v>3.5856590904427742E-2</v>
      </c>
      <c r="N118">
        <f t="shared" si="62"/>
        <v>-1.5707963250000001</v>
      </c>
      <c r="O118">
        <f t="shared" si="63"/>
        <v>20.489380275361352</v>
      </c>
      <c r="P118">
        <f t="shared" si="64"/>
        <v>1.5219711591592195</v>
      </c>
      <c r="Q118">
        <f t="shared" si="65"/>
        <v>16.002970941792519</v>
      </c>
      <c r="R118">
        <f t="shared" si="66"/>
        <v>1.5082671908099339</v>
      </c>
      <c r="S118">
        <f t="shared" si="67"/>
        <v>0.9755775340586762</v>
      </c>
      <c r="T118">
        <f t="shared" si="68"/>
        <v>-0.22146118378534918</v>
      </c>
      <c r="U118">
        <f t="shared" si="69"/>
        <v>0.94358566612873196</v>
      </c>
      <c r="V118">
        <f t="shared" si="70"/>
        <v>-0.33749930587355104</v>
      </c>
      <c r="X118">
        <f t="shared" si="87"/>
        <v>-0.87131399969132128</v>
      </c>
      <c r="Y118">
        <f t="shared" si="71"/>
        <v>-115.20628868015041</v>
      </c>
      <c r="Z118">
        <f t="shared" si="88"/>
        <v>64.793711319849592</v>
      </c>
      <c r="AC118">
        <v>1</v>
      </c>
      <c r="AD118">
        <f t="shared" si="72"/>
        <v>20.464962840630001</v>
      </c>
      <c r="AE118">
        <f t="shared" si="73"/>
        <v>-4.4284726929214805E-4</v>
      </c>
      <c r="AF118">
        <f t="shared" si="74"/>
        <v>1.2619400683932002E-3</v>
      </c>
      <c r="AG118">
        <f t="shared" si="89"/>
        <v>14191.332854392687</v>
      </c>
      <c r="AH118">
        <f t="shared" si="90"/>
        <v>-5772.53483317877</v>
      </c>
      <c r="AJ118">
        <f t="shared" si="75"/>
        <v>22100</v>
      </c>
      <c r="AK118">
        <f t="shared" si="76"/>
        <v>4975.907274446472</v>
      </c>
      <c r="AL118">
        <v>1</v>
      </c>
      <c r="AM118">
        <f t="shared" si="77"/>
        <v>15.97169618305632</v>
      </c>
      <c r="AN118">
        <f t="shared" si="91"/>
        <v>396.62487711001501</v>
      </c>
      <c r="AO118">
        <f t="shared" si="92"/>
        <v>-1358.864761396736</v>
      </c>
      <c r="AQ118">
        <f t="shared" si="78"/>
        <v>1.4170327334561428</v>
      </c>
      <c r="AR118">
        <f t="shared" si="79"/>
        <v>-119.03074961031599</v>
      </c>
      <c r="AT118">
        <f t="shared" si="104"/>
        <v>-666999.56515888334</v>
      </c>
      <c r="AU118">
        <f t="shared" si="105"/>
        <v>-1697384.858441497</v>
      </c>
      <c r="AV118">
        <f t="shared" si="93"/>
        <v>-1.9452166007458149</v>
      </c>
      <c r="AW118">
        <f t="shared" si="94"/>
        <v>-147122.99970990932</v>
      </c>
      <c r="AX118">
        <f t="shared" si="95"/>
        <v>-61392.469956261433</v>
      </c>
      <c r="AY118">
        <f t="shared" si="103"/>
        <v>-2.7462733440764486</v>
      </c>
      <c r="BA118">
        <f t="shared" si="80"/>
        <v>11.439921420893992</v>
      </c>
      <c r="BB118">
        <f t="shared" si="96"/>
        <v>21.168460827270636</v>
      </c>
      <c r="BC118">
        <f t="shared" si="97"/>
        <v>0.8010567433306337</v>
      </c>
      <c r="BD118">
        <f t="shared" si="81"/>
        <v>-134.10282940421507</v>
      </c>
      <c r="BF118">
        <f t="shared" si="82"/>
        <v>-0.38968440085995598</v>
      </c>
      <c r="BG118">
        <f t="shared" si="83"/>
        <v>-120.90290964605808</v>
      </c>
      <c r="BH118">
        <f t="shared" si="98"/>
        <v>59.097090353941923</v>
      </c>
      <c r="BI118">
        <f t="shared" si="99"/>
        <v>59.097090353941923</v>
      </c>
      <c r="BJ118">
        <f t="shared" si="84"/>
        <v>0</v>
      </c>
      <c r="BK118">
        <f t="shared" si="100"/>
        <v>0</v>
      </c>
      <c r="BM118">
        <f t="shared" si="101"/>
        <v>-21.558145228130595</v>
      </c>
      <c r="BN118">
        <f t="shared" si="85"/>
        <v>-166.80008024184303</v>
      </c>
      <c r="BQ118" s="47">
        <f t="shared" si="102"/>
        <v>38.070421627555774</v>
      </c>
      <c r="BR118" s="529"/>
      <c r="BS118" s="529"/>
      <c r="BT118" s="529">
        <v>1202.2639999999999</v>
      </c>
      <c r="BU118" s="529">
        <v>13.412800000000001</v>
      </c>
      <c r="BV118" s="529">
        <v>-259.34100000000001</v>
      </c>
      <c r="BW118" s="49"/>
      <c r="BY118" s="529"/>
      <c r="BZ118" s="529"/>
      <c r="CA118" s="529"/>
      <c r="CC118" s="529"/>
    </row>
    <row r="119" spans="1:81">
      <c r="A119">
        <f t="shared" si="106"/>
        <v>42500</v>
      </c>
      <c r="B119">
        <f t="shared" si="86"/>
        <v>42.5</v>
      </c>
      <c r="C119">
        <f t="shared" si="55"/>
        <v>1.0225639591958742</v>
      </c>
      <c r="D119">
        <f t="shared" si="56"/>
        <v>0.21046469663075851</v>
      </c>
      <c r="F119">
        <f t="shared" si="57"/>
        <v>5.3235297757585637E-3</v>
      </c>
      <c r="G119">
        <f t="shared" si="58"/>
        <v>2.2056784541939978E-2</v>
      </c>
      <c r="H119">
        <f t="shared" si="59"/>
        <v>-3.1195358654580603</v>
      </c>
      <c r="J119">
        <f t="shared" si="60"/>
        <v>15</v>
      </c>
      <c r="M119">
        <f t="shared" si="61"/>
        <v>3.5434748658493297E-2</v>
      </c>
      <c r="N119">
        <f t="shared" si="62"/>
        <v>-1.5707963250000001</v>
      </c>
      <c r="O119">
        <f t="shared" si="63"/>
        <v>20.732723857758483</v>
      </c>
      <c r="P119">
        <f t="shared" si="64"/>
        <v>1.5225446764449284</v>
      </c>
      <c r="Q119">
        <f t="shared" si="65"/>
        <v>16.192742950186979</v>
      </c>
      <c r="R119">
        <f t="shared" si="66"/>
        <v>1.5090009452712836</v>
      </c>
      <c r="S119">
        <f t="shared" si="67"/>
        <v>0.97501432800855681</v>
      </c>
      <c r="T119">
        <f t="shared" si="68"/>
        <v>-0.22401079510099919</v>
      </c>
      <c r="U119">
        <f t="shared" si="69"/>
        <v>0.94234909740917316</v>
      </c>
      <c r="V119">
        <f t="shared" si="70"/>
        <v>-0.34121406028967532</v>
      </c>
      <c r="X119">
        <f t="shared" si="87"/>
        <v>-0.98779226612586479</v>
      </c>
      <c r="Y119">
        <f t="shared" si="71"/>
        <v>-115.36772947005642</v>
      </c>
      <c r="Z119">
        <f t="shared" si="88"/>
        <v>64.632270529943582</v>
      </c>
      <c r="AC119">
        <v>1</v>
      </c>
      <c r="AD119">
        <f t="shared" si="72"/>
        <v>20.708593350637504</v>
      </c>
      <c r="AE119">
        <f t="shared" si="73"/>
        <v>-4.5345401369554567E-4</v>
      </c>
      <c r="AF119">
        <f t="shared" si="74"/>
        <v>1.2769631644455003E-3</v>
      </c>
      <c r="AG119">
        <f t="shared" si="89"/>
        <v>14154.161752210803</v>
      </c>
      <c r="AH119">
        <f t="shared" si="90"/>
        <v>-5809.2994877085739</v>
      </c>
      <c r="AJ119">
        <f t="shared" si="75"/>
        <v>22100</v>
      </c>
      <c r="AK119">
        <f t="shared" si="76"/>
        <v>5035.1442658089309</v>
      </c>
      <c r="AL119">
        <v>1</v>
      </c>
      <c r="AM119">
        <f t="shared" si="77"/>
        <v>16.1618354233308</v>
      </c>
      <c r="AN119">
        <f t="shared" si="91"/>
        <v>394.64237085701529</v>
      </c>
      <c r="AO119">
        <f t="shared" si="92"/>
        <v>-1343.0007830552279</v>
      </c>
      <c r="AQ119">
        <f t="shared" si="78"/>
        <v>1.3838915029061722</v>
      </c>
      <c r="AR119">
        <f t="shared" si="79"/>
        <v>-117.63077774702464</v>
      </c>
      <c r="AT119">
        <f t="shared" si="104"/>
        <v>-663764.59272490721</v>
      </c>
      <c r="AU119">
        <f t="shared" si="105"/>
        <v>-1673004.4954686228</v>
      </c>
      <c r="AV119">
        <f t="shared" si="93"/>
        <v>-1.9484978742847814</v>
      </c>
      <c r="AW119">
        <f t="shared" si="94"/>
        <v>-143409.72030151056</v>
      </c>
      <c r="AX119">
        <f t="shared" si="95"/>
        <v>-60493.302437298553</v>
      </c>
      <c r="AY119">
        <f t="shared" si="103"/>
        <v>-2.7424173069696307</v>
      </c>
      <c r="BA119">
        <f t="shared" si="80"/>
        <v>11.563834887787008</v>
      </c>
      <c r="BB119">
        <f t="shared" si="96"/>
        <v>21.262037640887442</v>
      </c>
      <c r="BC119">
        <f t="shared" si="97"/>
        <v>0.79391943268484932</v>
      </c>
      <c r="BD119">
        <f t="shared" si="81"/>
        <v>-134.51176718175958</v>
      </c>
      <c r="BF119">
        <f t="shared" si="82"/>
        <v>-0.49833379310639131</v>
      </c>
      <c r="BG119">
        <f t="shared" si="83"/>
        <v>-121.18926764921017</v>
      </c>
      <c r="BH119">
        <f t="shared" si="98"/>
        <v>58.810732350789834</v>
      </c>
      <c r="BI119">
        <f t="shared" si="99"/>
        <v>58.810732350789834</v>
      </c>
      <c r="BJ119">
        <f t="shared" si="84"/>
        <v>0</v>
      </c>
      <c r="BK119">
        <f t="shared" si="100"/>
        <v>0</v>
      </c>
      <c r="BM119">
        <f t="shared" si="101"/>
        <v>-21.760371433993836</v>
      </c>
      <c r="BN119">
        <f t="shared" si="85"/>
        <v>-166.67750046745059</v>
      </c>
      <c r="BQ119" s="47">
        <f t="shared" si="102"/>
        <v>38.163998441172581</v>
      </c>
      <c r="BR119" s="529"/>
      <c r="BS119" s="529"/>
      <c r="BT119" s="529">
        <v>1230.269</v>
      </c>
      <c r="BU119" s="529">
        <v>13.1837</v>
      </c>
      <c r="BV119" s="529">
        <v>-259.55099999999999</v>
      </c>
      <c r="BW119" s="49"/>
      <c r="BY119" s="529"/>
      <c r="BZ119" s="529"/>
      <c r="CA119" s="529"/>
      <c r="CC119" s="529"/>
    </row>
    <row r="120" spans="1:81">
      <c r="A120">
        <f t="shared" si="106"/>
        <v>43000</v>
      </c>
      <c r="B120">
        <f t="shared" si="86"/>
        <v>43</v>
      </c>
      <c r="C120">
        <f t="shared" si="55"/>
        <v>1.0230919705234365</v>
      </c>
      <c r="D120">
        <f t="shared" si="56"/>
        <v>0.2128670402065736</v>
      </c>
      <c r="F120">
        <f t="shared" si="57"/>
        <v>5.1998244056680777E-3</v>
      </c>
      <c r="G120">
        <f t="shared" si="58"/>
        <v>2.1797661014912519E-2</v>
      </c>
      <c r="H120">
        <f t="shared" si="59"/>
        <v>-3.1197949889850878</v>
      </c>
      <c r="J120">
        <f t="shared" si="60"/>
        <v>15</v>
      </c>
      <c r="M120">
        <f t="shared" si="61"/>
        <v>3.5022716697348029E-2</v>
      </c>
      <c r="N120">
        <f t="shared" si="62"/>
        <v>-1.5707963250000001</v>
      </c>
      <c r="O120">
        <f t="shared" si="63"/>
        <v>20.976074101379929</v>
      </c>
      <c r="P120">
        <f t="shared" si="64"/>
        <v>1.5231048867910131</v>
      </c>
      <c r="Q120">
        <f t="shared" si="65"/>
        <v>16.382523474702818</v>
      </c>
      <c r="R120">
        <f t="shared" si="66"/>
        <v>1.5097177000064907</v>
      </c>
      <c r="S120">
        <f t="shared" si="67"/>
        <v>0.97444544845088266</v>
      </c>
      <c r="T120">
        <f t="shared" si="68"/>
        <v>-0.22655744777480008</v>
      </c>
      <c r="U120">
        <f t="shared" si="69"/>
        <v>0.94110282988836547</v>
      </c>
      <c r="V120">
        <f t="shared" si="70"/>
        <v>-0.34491904010930363</v>
      </c>
      <c r="X120">
        <f t="shared" si="87"/>
        <v>-1.1031187463391143</v>
      </c>
      <c r="Y120">
        <f t="shared" si="71"/>
        <v>-115.52995945407514</v>
      </c>
      <c r="Z120">
        <f t="shared" si="88"/>
        <v>64.47004054592486</v>
      </c>
      <c r="AC120">
        <v>1</v>
      </c>
      <c r="AD120">
        <f t="shared" si="72"/>
        <v>20.952223860645002</v>
      </c>
      <c r="AE120">
        <f t="shared" si="73"/>
        <v>-4.6418628170135018E-4</v>
      </c>
      <c r="AF120">
        <f t="shared" si="74"/>
        <v>1.2919862604978002E-3</v>
      </c>
      <c r="AG120">
        <f t="shared" si="89"/>
        <v>14116.74842490431</v>
      </c>
      <c r="AH120">
        <f t="shared" si="90"/>
        <v>-5845.8833441151637</v>
      </c>
      <c r="AJ120">
        <f t="shared" si="75"/>
        <v>22100</v>
      </c>
      <c r="AK120">
        <f t="shared" si="76"/>
        <v>5094.3812571713879</v>
      </c>
      <c r="AL120">
        <v>1</v>
      </c>
      <c r="AM120">
        <f t="shared" si="77"/>
        <v>16.351974663605279</v>
      </c>
      <c r="AN120">
        <f t="shared" si="91"/>
        <v>392.72827533605835</v>
      </c>
      <c r="AO120">
        <f t="shared" si="92"/>
        <v>-1327.5015508052363</v>
      </c>
      <c r="AQ120">
        <f t="shared" si="78"/>
        <v>1.35189941868325</v>
      </c>
      <c r="AR120">
        <f t="shared" si="79"/>
        <v>-116.2633500067595</v>
      </c>
      <c r="AT120">
        <f t="shared" si="104"/>
        <v>-660577.55734622106</v>
      </c>
      <c r="AU120">
        <f t="shared" si="105"/>
        <v>-1649163.5093766199</v>
      </c>
      <c r="AV120">
        <f t="shared" si="93"/>
        <v>-1.9517794239516999</v>
      </c>
      <c r="AW120">
        <f t="shared" si="94"/>
        <v>-139825.88554281063</v>
      </c>
      <c r="AX120">
        <f t="shared" si="95"/>
        <v>-59625.142376782569</v>
      </c>
      <c r="AY120">
        <f t="shared" si="103"/>
        <v>-2.7385163086324544</v>
      </c>
      <c r="BA120">
        <f t="shared" si="80"/>
        <v>11.687163038987142</v>
      </c>
      <c r="BB120">
        <f t="shared" si="96"/>
        <v>21.354182052083178</v>
      </c>
      <c r="BC120">
        <f t="shared" si="97"/>
        <v>0.78673688468075453</v>
      </c>
      <c r="BD120">
        <f t="shared" si="81"/>
        <v>-134.92329686901456</v>
      </c>
      <c r="BF120">
        <f t="shared" si="82"/>
        <v>-0.60592568080882492</v>
      </c>
      <c r="BG120">
        <f t="shared" si="83"/>
        <v>-121.47799987296145</v>
      </c>
      <c r="BH120">
        <f t="shared" si="98"/>
        <v>58.522000127038552</v>
      </c>
      <c r="BI120">
        <f t="shared" si="99"/>
        <v>58.522000127038552</v>
      </c>
      <c r="BJ120">
        <f t="shared" si="84"/>
        <v>0</v>
      </c>
      <c r="BK120">
        <f t="shared" si="100"/>
        <v>0</v>
      </c>
      <c r="BM120">
        <f t="shared" si="101"/>
        <v>-21.960107732892006</v>
      </c>
      <c r="BN120">
        <f t="shared" si="85"/>
        <v>-166.55470300394688</v>
      </c>
      <c r="BQ120" s="47">
        <f t="shared" si="102"/>
        <v>38.25614285236832</v>
      </c>
      <c r="BR120" s="529"/>
      <c r="BS120" s="529"/>
      <c r="BT120" s="529">
        <v>1258.925</v>
      </c>
      <c r="BU120" s="529">
        <v>13.0792</v>
      </c>
      <c r="BV120" s="529">
        <v>-259.27199999999999</v>
      </c>
      <c r="BW120" s="49"/>
      <c r="BY120" s="529"/>
      <c r="BZ120" s="529"/>
      <c r="CA120" s="529"/>
      <c r="CC120" s="529"/>
    </row>
    <row r="121" spans="1:81">
      <c r="A121">
        <f t="shared" si="106"/>
        <v>43500</v>
      </c>
      <c r="B121">
        <f t="shared" si="86"/>
        <v>43.5</v>
      </c>
      <c r="C121">
        <f t="shared" si="55"/>
        <v>1.0236258802640346</v>
      </c>
      <c r="D121">
        <f t="shared" si="56"/>
        <v>0.21526689155919915</v>
      </c>
      <c r="F121">
        <f t="shared" si="57"/>
        <v>5.080388258138821E-3</v>
      </c>
      <c r="G121">
        <f t="shared" si="58"/>
        <v>2.1544584720520205E-2</v>
      </c>
      <c r="H121">
        <f t="shared" si="59"/>
        <v>-3.1200480652794802</v>
      </c>
      <c r="J121">
        <f t="shared" si="60"/>
        <v>15</v>
      </c>
      <c r="M121">
        <f t="shared" si="61"/>
        <v>3.4620156735309542E-2</v>
      </c>
      <c r="N121">
        <f t="shared" si="62"/>
        <v>-1.5707963250000001</v>
      </c>
      <c r="O121">
        <f t="shared" si="63"/>
        <v>21.219430777047457</v>
      </c>
      <c r="P121">
        <f t="shared" si="64"/>
        <v>1.5236522476746353</v>
      </c>
      <c r="Q121">
        <f t="shared" si="65"/>
        <v>16.572312222768797</v>
      </c>
      <c r="R121">
        <f t="shared" si="66"/>
        <v>1.5104180383168317</v>
      </c>
      <c r="S121">
        <f t="shared" si="67"/>
        <v>0.97387092742744685</v>
      </c>
      <c r="T121">
        <f t="shared" si="68"/>
        <v>-0.22910111397922581</v>
      </c>
      <c r="U121">
        <f t="shared" si="69"/>
        <v>0.93984700443299762</v>
      </c>
      <c r="V121">
        <f t="shared" si="70"/>
        <v>-0.34861418254885967</v>
      </c>
      <c r="X121">
        <f t="shared" si="87"/>
        <v>-1.2173230184733614</v>
      </c>
      <c r="Y121">
        <f t="shared" si="71"/>
        <v>-115.6929278104346</v>
      </c>
      <c r="Z121">
        <f t="shared" si="88"/>
        <v>64.307072189565403</v>
      </c>
      <c r="AC121">
        <v>1</v>
      </c>
      <c r="AD121">
        <f t="shared" si="72"/>
        <v>21.195854370652501</v>
      </c>
      <c r="AE121">
        <f t="shared" si="73"/>
        <v>-4.750440733095617E-4</v>
      </c>
      <c r="AF121">
        <f t="shared" si="74"/>
        <v>1.3070093565501002E-3</v>
      </c>
      <c r="AG121">
        <f t="shared" si="89"/>
        <v>14079.098248851338</v>
      </c>
      <c r="AH121">
        <f t="shared" si="90"/>
        <v>-5882.2778445543236</v>
      </c>
      <c r="AJ121">
        <f t="shared" si="75"/>
        <v>22100</v>
      </c>
      <c r="AK121">
        <f t="shared" si="76"/>
        <v>5153.6182485338459</v>
      </c>
      <c r="AL121">
        <v>1</v>
      </c>
      <c r="AM121">
        <f t="shared" si="77"/>
        <v>16.542113903879759</v>
      </c>
      <c r="AN121">
        <f t="shared" si="91"/>
        <v>390.87948258501933</v>
      </c>
      <c r="AO121">
        <f t="shared" si="92"/>
        <v>-1312.3546750771291</v>
      </c>
      <c r="AQ121">
        <f t="shared" si="78"/>
        <v>1.321003963011889</v>
      </c>
      <c r="AR121">
        <f t="shared" si="79"/>
        <v>-114.92734478203434</v>
      </c>
      <c r="AT121">
        <f t="shared" si="104"/>
        <v>-657436.02936245012</v>
      </c>
      <c r="AU121">
        <f t="shared" si="105"/>
        <v>-1625843.8910100667</v>
      </c>
      <c r="AV121">
        <f t="shared" si="93"/>
        <v>-1.955060841748987</v>
      </c>
      <c r="AW121">
        <f t="shared" si="94"/>
        <v>-136365.628499415</v>
      </c>
      <c r="AX121">
        <f t="shared" si="95"/>
        <v>-58786.482054908709</v>
      </c>
      <c r="AY121">
        <f t="shared" si="103"/>
        <v>-2.7345711961491506</v>
      </c>
      <c r="BA121">
        <f t="shared" si="80"/>
        <v>11.809889262903454</v>
      </c>
      <c r="BB121">
        <f t="shared" si="96"/>
        <v>21.444916508179791</v>
      </c>
      <c r="BC121">
        <f t="shared" si="97"/>
        <v>0.77951035440016359</v>
      </c>
      <c r="BD121">
        <f t="shared" si="81"/>
        <v>-135.33734655508906</v>
      </c>
      <c r="BF121">
        <f t="shared" si="82"/>
        <v>-0.7124950867155142</v>
      </c>
      <c r="BG121">
        <f t="shared" si="83"/>
        <v>-121.76904840849468</v>
      </c>
      <c r="BH121">
        <f t="shared" si="98"/>
        <v>58.230951591505317</v>
      </c>
      <c r="BI121">
        <f t="shared" si="99"/>
        <v>58.230951591505317</v>
      </c>
      <c r="BJ121">
        <f t="shared" si="84"/>
        <v>0</v>
      </c>
      <c r="BK121">
        <f t="shared" si="100"/>
        <v>0</v>
      </c>
      <c r="BM121">
        <f t="shared" si="101"/>
        <v>-22.157411594895304</v>
      </c>
      <c r="BN121">
        <f t="shared" si="85"/>
        <v>-166.43170185340566</v>
      </c>
      <c r="BQ121" s="47">
        <f t="shared" si="102"/>
        <v>38.346877308464926</v>
      </c>
      <c r="BR121" s="529"/>
      <c r="BS121" s="529"/>
      <c r="BT121" s="529">
        <v>1288.25</v>
      </c>
      <c r="BU121" s="529">
        <v>12.807</v>
      </c>
      <c r="BV121" s="529">
        <v>-258.86099999999999</v>
      </c>
      <c r="BW121" s="49"/>
      <c r="BY121" s="529"/>
      <c r="BZ121" s="529"/>
      <c r="CA121" s="529"/>
      <c r="CC121" s="529"/>
    </row>
    <row r="122" spans="1:81">
      <c r="A122">
        <f t="shared" si="106"/>
        <v>44000</v>
      </c>
      <c r="B122">
        <f t="shared" si="86"/>
        <v>44</v>
      </c>
      <c r="C122">
        <f t="shared" si="55"/>
        <v>1.0241656791929297</v>
      </c>
      <c r="D122">
        <f t="shared" si="56"/>
        <v>0.21766422696524093</v>
      </c>
      <c r="F122">
        <f t="shared" si="57"/>
        <v>4.9650268161573058E-3</v>
      </c>
      <c r="G122">
        <f t="shared" si="58"/>
        <v>2.1297345432911591E-2</v>
      </c>
      <c r="H122">
        <f t="shared" si="59"/>
        <v>-3.1202953045670885</v>
      </c>
      <c r="J122">
        <f t="shared" si="60"/>
        <v>15</v>
      </c>
      <c r="M122">
        <f t="shared" si="61"/>
        <v>3.4226745863317386E-2</v>
      </c>
      <c r="N122">
        <f t="shared" si="62"/>
        <v>-1.5707963250000001</v>
      </c>
      <c r="O122">
        <f t="shared" si="63"/>
        <v>21.462793665971095</v>
      </c>
      <c r="P122">
        <f t="shared" si="64"/>
        <v>1.5241871958555682</v>
      </c>
      <c r="Q122">
        <f t="shared" si="65"/>
        <v>16.762108915051812</v>
      </c>
      <c r="R122">
        <f t="shared" si="66"/>
        <v>1.5111025171509416</v>
      </c>
      <c r="S122">
        <f t="shared" si="67"/>
        <v>0.97329079719438494</v>
      </c>
      <c r="T122">
        <f t="shared" si="68"/>
        <v>-0.23164176610656084</v>
      </c>
      <c r="U122">
        <f t="shared" si="69"/>
        <v>0.93858176192852627</v>
      </c>
      <c r="V122">
        <f t="shared" si="70"/>
        <v>-0.3522994262322493</v>
      </c>
      <c r="X122">
        <f t="shared" si="87"/>
        <v>-1.3304335506318234</v>
      </c>
      <c r="Y122">
        <f t="shared" si="71"/>
        <v>-115.85658590974444</v>
      </c>
      <c r="Z122">
        <f t="shared" si="88"/>
        <v>64.143414090255561</v>
      </c>
      <c r="AC122">
        <v>1</v>
      </c>
      <c r="AD122">
        <f t="shared" si="72"/>
        <v>21.43948488066</v>
      </c>
      <c r="AE122">
        <f t="shared" si="73"/>
        <v>-4.8602738852018053E-4</v>
      </c>
      <c r="AF122">
        <f t="shared" si="74"/>
        <v>1.3220324526024001E-3</v>
      </c>
      <c r="AG122">
        <f t="shared" si="89"/>
        <v>14041.216587257239</v>
      </c>
      <c r="AH122">
        <f t="shared" si="90"/>
        <v>-5918.4748560057187</v>
      </c>
      <c r="AJ122">
        <f t="shared" si="75"/>
        <v>22100</v>
      </c>
      <c r="AK122">
        <f t="shared" si="76"/>
        <v>5212.8552398963038</v>
      </c>
      <c r="AL122">
        <v>1</v>
      </c>
      <c r="AM122">
        <f t="shared" si="77"/>
        <v>16.732253144154242</v>
      </c>
      <c r="AN122">
        <f t="shared" si="91"/>
        <v>389.0930589474753</v>
      </c>
      <c r="AO122">
        <f t="shared" si="92"/>
        <v>-1297.5483190461816</v>
      </c>
      <c r="AQ122">
        <f t="shared" si="78"/>
        <v>1.2911555842479019</v>
      </c>
      <c r="AR122">
        <f t="shared" si="79"/>
        <v>-113.62169141381537</v>
      </c>
      <c r="AT122">
        <f t="shared" si="104"/>
        <v>-654337.72852323565</v>
      </c>
      <c r="AU122">
        <f t="shared" si="105"/>
        <v>-1603028.4500124503</v>
      </c>
      <c r="AV122">
        <f t="shared" si="93"/>
        <v>-1.9583417367021836</v>
      </c>
      <c r="AW122">
        <f t="shared" si="94"/>
        <v>-133023.41043496481</v>
      </c>
      <c r="AX122">
        <f t="shared" si="95"/>
        <v>-57975.905840019877</v>
      </c>
      <c r="AY122">
        <f t="shared" si="103"/>
        <v>-2.7305827995581518</v>
      </c>
      <c r="BA122">
        <f t="shared" si="80"/>
        <v>11.931996819605763</v>
      </c>
      <c r="BB122">
        <f t="shared" si="96"/>
        <v>21.534262578634809</v>
      </c>
      <c r="BC122">
        <f t="shared" si="97"/>
        <v>0.77224106285596816</v>
      </c>
      <c r="BD122">
        <f t="shared" si="81"/>
        <v>-135.75384628109751</v>
      </c>
      <c r="BF122">
        <f t="shared" si="82"/>
        <v>-0.81807590885067827</v>
      </c>
      <c r="BG122">
        <f t="shared" si="83"/>
        <v>-122.06235670122868</v>
      </c>
      <c r="BH122">
        <f t="shared" si="98"/>
        <v>57.93764329877132</v>
      </c>
      <c r="BI122">
        <f t="shared" si="99"/>
        <v>57.93764329877132</v>
      </c>
      <c r="BJ122">
        <f t="shared" si="84"/>
        <v>0</v>
      </c>
      <c r="BK122">
        <f t="shared" si="100"/>
        <v>0</v>
      </c>
      <c r="BM122">
        <f t="shared" si="101"/>
        <v>-22.35233848748549</v>
      </c>
      <c r="BN122">
        <f t="shared" si="85"/>
        <v>-166.3085104201312</v>
      </c>
      <c r="BQ122" s="47">
        <f t="shared" si="102"/>
        <v>38.436223378919948</v>
      </c>
      <c r="BR122" s="529"/>
      <c r="BS122" s="529"/>
      <c r="BT122" s="529">
        <v>1318.2570000000001</v>
      </c>
      <c r="BU122" s="529">
        <v>12.682600000000001</v>
      </c>
      <c r="BV122" s="529">
        <v>-258.68299999999999</v>
      </c>
      <c r="BW122" s="49"/>
      <c r="BY122" s="529"/>
      <c r="BZ122" s="529"/>
      <c r="CA122" s="529"/>
      <c r="CC122" s="529"/>
    </row>
    <row r="123" spans="1:81">
      <c r="A123">
        <f t="shared" si="106"/>
        <v>44500</v>
      </c>
      <c r="B123">
        <f t="shared" si="86"/>
        <v>44.5</v>
      </c>
      <c r="C123">
        <f t="shared" si="55"/>
        <v>1.0247113580031773</v>
      </c>
      <c r="D123">
        <f t="shared" si="56"/>
        <v>0.22005902286669587</v>
      </c>
      <c r="F123">
        <f t="shared" si="57"/>
        <v>4.8535565329091744E-3</v>
      </c>
      <c r="G123">
        <f t="shared" si="58"/>
        <v>2.105574260152299E-2</v>
      </c>
      <c r="H123">
        <f t="shared" si="59"/>
        <v>-3.1205369073984772</v>
      </c>
      <c r="J123">
        <f t="shared" si="60"/>
        <v>15</v>
      </c>
      <c r="M123">
        <f t="shared" si="61"/>
        <v>3.3842175685077872E-2</v>
      </c>
      <c r="N123">
        <f t="shared" si="62"/>
        <v>-1.5707963250000001</v>
      </c>
      <c r="O123">
        <f t="shared" si="63"/>
        <v>21.706162559167431</v>
      </c>
      <c r="P123">
        <f t="shared" si="64"/>
        <v>1.5247101485350048</v>
      </c>
      <c r="Q123">
        <f t="shared" si="65"/>
        <v>16.95191328471719</v>
      </c>
      <c r="R123">
        <f t="shared" si="66"/>
        <v>1.5117716685746778</v>
      </c>
      <c r="S123">
        <f t="shared" si="67"/>
        <v>0.97270509021752938</v>
      </c>
      <c r="T123">
        <f t="shared" si="68"/>
        <v>-0.23417937677011896</v>
      </c>
      <c r="U123">
        <f t="shared" si="69"/>
        <v>0.93730724324436643</v>
      </c>
      <c r="V123">
        <f t="shared" si="70"/>
        <v>-0.35597471118721469</v>
      </c>
      <c r="X123">
        <f t="shared" si="87"/>
        <v>-1.4424777545218253</v>
      </c>
      <c r="Y123">
        <f t="shared" si="71"/>
        <v>-116.02088719818526</v>
      </c>
      <c r="Z123">
        <f t="shared" si="88"/>
        <v>63.979112801814736</v>
      </c>
      <c r="AC123">
        <v>1</v>
      </c>
      <c r="AD123">
        <f t="shared" si="72"/>
        <v>21.683115390667503</v>
      </c>
      <c r="AE123">
        <f t="shared" si="73"/>
        <v>-4.9713622733320631E-4</v>
      </c>
      <c r="AF123">
        <f t="shared" si="74"/>
        <v>1.3370555486547002E-3</v>
      </c>
      <c r="AG123">
        <f t="shared" si="89"/>
        <v>14003.108788684616</v>
      </c>
      <c r="AH123">
        <f t="shared" si="90"/>
        <v>-5954.4666503599474</v>
      </c>
      <c r="AJ123">
        <f t="shared" si="75"/>
        <v>22100</v>
      </c>
      <c r="AK123">
        <f t="shared" si="76"/>
        <v>5272.0922312587618</v>
      </c>
      <c r="AL123">
        <v>1</v>
      </c>
      <c r="AM123">
        <f t="shared" si="77"/>
        <v>16.922392384428719</v>
      </c>
      <c r="AN123">
        <f t="shared" si="91"/>
        <v>387.36623348568372</v>
      </c>
      <c r="AO123">
        <f t="shared" si="92"/>
        <v>-1283.0711682642093</v>
      </c>
      <c r="AQ123">
        <f t="shared" si="78"/>
        <v>1.2623074981065388</v>
      </c>
      <c r="AR123">
        <f t="shared" si="79"/>
        <v>-112.34536733148195</v>
      </c>
      <c r="AT123">
        <f t="shared" si="104"/>
        <v>-651280.51387698902</v>
      </c>
      <c r="AU123">
        <f t="shared" si="105"/>
        <v>-1580700.7685474511</v>
      </c>
      <c r="AV123">
        <f t="shared" si="93"/>
        <v>-1.9616217339840403</v>
      </c>
      <c r="AW123">
        <f t="shared" si="94"/>
        <v>-129793.99903979806</v>
      </c>
      <c r="AX123">
        <f t="shared" si="95"/>
        <v>-57192.083473385632</v>
      </c>
      <c r="AY123">
        <f t="shared" si="103"/>
        <v>-2.7265519336231905</v>
      </c>
      <c r="BA123">
        <f t="shared" si="80"/>
        <v>12.053468850091818</v>
      </c>
      <c r="BB123">
        <f t="shared" si="96"/>
        <v>21.622240997397103</v>
      </c>
      <c r="BC123">
        <f t="shared" si="97"/>
        <v>0.76493019963915021</v>
      </c>
      <c r="BD123">
        <f t="shared" si="81"/>
        <v>-136.17272788849726</v>
      </c>
      <c r="BF123">
        <f t="shared" si="82"/>
        <v>-0.92270097087868352</v>
      </c>
      <c r="BG123">
        <f t="shared" si="83"/>
        <v>-122.35786943309586</v>
      </c>
      <c r="BH123">
        <f t="shared" si="98"/>
        <v>57.642130566904143</v>
      </c>
      <c r="BI123">
        <f t="shared" si="99"/>
        <v>57.642130566904143</v>
      </c>
      <c r="BJ123">
        <f t="shared" si="84"/>
        <v>0</v>
      </c>
      <c r="BK123">
        <f t="shared" si="100"/>
        <v>0</v>
      </c>
      <c r="BM123">
        <f t="shared" si="101"/>
        <v>-22.54494196827579</v>
      </c>
      <c r="BN123">
        <f t="shared" si="85"/>
        <v>-166.18514154459859</v>
      </c>
      <c r="BQ123" s="47">
        <f t="shared" si="102"/>
        <v>38.524201797682238</v>
      </c>
      <c r="BR123" s="529"/>
      <c r="BS123" s="529"/>
      <c r="BT123" s="529">
        <v>1348.963</v>
      </c>
      <c r="BU123" s="529">
        <v>12.475899999999999</v>
      </c>
      <c r="BV123" s="529">
        <v>-258.79700000000003</v>
      </c>
      <c r="BW123" s="49"/>
      <c r="BY123" s="529"/>
      <c r="BZ123" s="529"/>
      <c r="CA123" s="529"/>
      <c r="CC123" s="529"/>
    </row>
    <row r="124" spans="1:81">
      <c r="A124">
        <f t="shared" si="106"/>
        <v>45000</v>
      </c>
      <c r="B124">
        <f t="shared" si="86"/>
        <v>45</v>
      </c>
      <c r="C124">
        <f t="shared" si="55"/>
        <v>1.025262907306375</v>
      </c>
      <c r="D124">
        <f t="shared" si="56"/>
        <v>0.22245125587195563</v>
      </c>
      <c r="F124">
        <f t="shared" si="57"/>
        <v>4.7458040965583127E-3</v>
      </c>
      <c r="G124">
        <f t="shared" si="58"/>
        <v>2.081958479852479E-2</v>
      </c>
      <c r="H124">
        <f t="shared" si="59"/>
        <v>-3.1207730652014756</v>
      </c>
      <c r="J124">
        <f t="shared" si="60"/>
        <v>15</v>
      </c>
      <c r="M124">
        <f t="shared" si="61"/>
        <v>3.3466151510799222E-2</v>
      </c>
      <c r="N124">
        <f t="shared" si="62"/>
        <v>-1.5707963250000001</v>
      </c>
      <c r="O124">
        <f t="shared" si="63"/>
        <v>21.949537256916557</v>
      </c>
      <c r="P124">
        <f t="shared" si="64"/>
        <v>1.5252215044375006</v>
      </c>
      <c r="Q124">
        <f t="shared" si="65"/>
        <v>17.141725076737963</v>
      </c>
      <c r="R124">
        <f t="shared" si="66"/>
        <v>1.5124260011438009</v>
      </c>
      <c r="S124">
        <f t="shared" si="67"/>
        <v>0.97211383916776117</v>
      </c>
      <c r="T124">
        <f t="shared" si="68"/>
        <v>-0.23671391880542458</v>
      </c>
      <c r="U124">
        <f t="shared" si="69"/>
        <v>0.93602358919959394</v>
      </c>
      <c r="V124">
        <f t="shared" si="70"/>
        <v>-0.35963997884130683</v>
      </c>
      <c r="X124">
        <f t="shared" si="87"/>
        <v>-1.5534820358860175</v>
      </c>
      <c r="Y124">
        <f t="shared" si="71"/>
        <v>-116.18578708830724</v>
      </c>
      <c r="Z124">
        <f t="shared" si="88"/>
        <v>63.814212911692763</v>
      </c>
      <c r="AC124">
        <v>1</v>
      </c>
      <c r="AD124">
        <f t="shared" si="72"/>
        <v>21.926745900675002</v>
      </c>
      <c r="AE124">
        <f t="shared" si="73"/>
        <v>-5.0837058974863931E-4</v>
      </c>
      <c r="AF124">
        <f t="shared" si="74"/>
        <v>1.3520786447070001E-3</v>
      </c>
      <c r="AG124">
        <f t="shared" si="89"/>
        <v>13964.780185613483</v>
      </c>
      <c r="AH124">
        <f t="shared" si="90"/>
        <v>-5990.2458857528818</v>
      </c>
      <c r="AJ124">
        <f t="shared" si="75"/>
        <v>22100</v>
      </c>
      <c r="AK124">
        <f t="shared" si="76"/>
        <v>5331.3292226212197</v>
      </c>
      <c r="AL124">
        <v>1</v>
      </c>
      <c r="AM124">
        <f t="shared" si="77"/>
        <v>17.112531624703202</v>
      </c>
      <c r="AN124">
        <f t="shared" si="91"/>
        <v>385.69638728130451</v>
      </c>
      <c r="AO124">
        <f t="shared" si="92"/>
        <v>-1268.9124022638764</v>
      </c>
      <c r="AQ124">
        <f t="shared" si="78"/>
        <v>1.2344155042587335</v>
      </c>
      <c r="AR124">
        <f t="shared" si="79"/>
        <v>-111.09739538328601</v>
      </c>
      <c r="AT124">
        <f t="shared" si="104"/>
        <v>-648262.37443790375</v>
      </c>
      <c r="AU124">
        <f t="shared" si="105"/>
        <v>-1558845.1581174748</v>
      </c>
      <c r="AV124">
        <f t="shared" si="93"/>
        <v>-1.9649004740959919</v>
      </c>
      <c r="AW124">
        <f t="shared" si="94"/>
        <v>-126672.44832392463</v>
      </c>
      <c r="AX124">
        <f t="shared" si="95"/>
        <v>-56433.763918638273</v>
      </c>
      <c r="AY124">
        <f t="shared" si="103"/>
        <v>-2.7224793994771379</v>
      </c>
      <c r="BA124">
        <f t="shared" si="80"/>
        <v>12.174288386016368</v>
      </c>
      <c r="BB124">
        <f t="shared" si="96"/>
        <v>21.708871703181508</v>
      </c>
      <c r="BC124">
        <f t="shared" si="97"/>
        <v>0.75757892538114602</v>
      </c>
      <c r="BD124">
        <f t="shared" si="81"/>
        <v>-136.59392487800534</v>
      </c>
      <c r="BF124">
        <f t="shared" si="82"/>
        <v>-1.0264020692241118</v>
      </c>
      <c r="BG124">
        <f t="shared" si="83"/>
        <v>-122.65553241306039</v>
      </c>
      <c r="BH124">
        <f t="shared" si="98"/>
        <v>57.344467586939615</v>
      </c>
      <c r="BI124">
        <f t="shared" si="99"/>
        <v>57.344467586939615</v>
      </c>
      <c r="BJ124">
        <f t="shared" si="84"/>
        <v>0</v>
      </c>
      <c r="BK124">
        <f t="shared" si="100"/>
        <v>0</v>
      </c>
      <c r="BM124">
        <f t="shared" si="101"/>
        <v>-22.73527377240562</v>
      </c>
      <c r="BN124">
        <f t="shared" si="85"/>
        <v>-166.06160753505506</v>
      </c>
      <c r="BQ124" s="47">
        <f t="shared" si="102"/>
        <v>38.610832503466646</v>
      </c>
      <c r="BR124" s="529"/>
      <c r="BS124" s="529"/>
      <c r="BT124" s="529">
        <v>1380.384</v>
      </c>
      <c r="BU124" s="529">
        <v>12.2584</v>
      </c>
      <c r="BV124" s="529">
        <v>-258.41000000000003</v>
      </c>
      <c r="BW124" s="49"/>
      <c r="BY124" s="529"/>
      <c r="BZ124" s="529"/>
      <c r="CA124" s="529"/>
      <c r="CC124" s="529"/>
    </row>
    <row r="125" spans="1:81">
      <c r="A125">
        <f t="shared" si="106"/>
        <v>45500</v>
      </c>
      <c r="B125">
        <f t="shared" si="86"/>
        <v>45.5</v>
      </c>
      <c r="C125">
        <f t="shared" si="55"/>
        <v>1.0258203176334195</v>
      </c>
      <c r="D125">
        <f t="shared" si="56"/>
        <v>0.22484090275678495</v>
      </c>
      <c r="F125">
        <f t="shared" si="57"/>
        <v>4.6416057519583203E-3</v>
      </c>
      <c r="G125">
        <f t="shared" si="58"/>
        <v>2.0588689203851384E-2</v>
      </c>
      <c r="H125">
        <f t="shared" si="59"/>
        <v>-3.1210039607961488</v>
      </c>
      <c r="J125">
        <f t="shared" si="60"/>
        <v>15</v>
      </c>
      <c r="M125">
        <f t="shared" si="61"/>
        <v>3.3098391604087146E-2</v>
      </c>
      <c r="N125">
        <f t="shared" si="62"/>
        <v>-1.5707963250000001</v>
      </c>
      <c r="O125">
        <f t="shared" si="63"/>
        <v>22.192917568254682</v>
      </c>
      <c r="P125">
        <f t="shared" si="64"/>
        <v>1.5257216448219291</v>
      </c>
      <c r="Q125">
        <f t="shared" si="65"/>
        <v>17.331544047249437</v>
      </c>
      <c r="R125">
        <f t="shared" si="66"/>
        <v>1.5130660011868788</v>
      </c>
      <c r="S125">
        <f t="shared" si="67"/>
        <v>0.97151707691635525</v>
      </c>
      <c r="T125">
        <f t="shared" si="68"/>
        <v>-0.23924536527135731</v>
      </c>
      <c r="U125">
        <f t="shared" si="69"/>
        <v>0.93473094052917771</v>
      </c>
      <c r="V125">
        <f t="shared" si="70"/>
        <v>-0.36329517201748485</v>
      </c>
      <c r="X125">
        <f t="shared" si="87"/>
        <v>-1.6634718419514014</v>
      </c>
      <c r="Y125">
        <f t="shared" si="71"/>
        <v>-116.35124285686486</v>
      </c>
      <c r="Z125">
        <f t="shared" si="88"/>
        <v>63.648757143135143</v>
      </c>
      <c r="AC125">
        <v>1</v>
      </c>
      <c r="AD125">
        <f t="shared" si="72"/>
        <v>22.170376410682504</v>
      </c>
      <c r="AE125">
        <f t="shared" si="73"/>
        <v>-5.197304757664792E-4</v>
      </c>
      <c r="AF125">
        <f t="shared" si="74"/>
        <v>1.3671017407593002E-3</v>
      </c>
      <c r="AG125">
        <f t="shared" si="89"/>
        <v>13926.236093032016</v>
      </c>
      <c r="AH125">
        <f t="shared" si="90"/>
        <v>-6025.8055890503429</v>
      </c>
      <c r="AJ125">
        <f t="shared" si="75"/>
        <v>22100</v>
      </c>
      <c r="AK125">
        <f t="shared" si="76"/>
        <v>5390.5662139836786</v>
      </c>
      <c r="AL125">
        <v>1</v>
      </c>
      <c r="AM125">
        <f t="shared" si="77"/>
        <v>17.302670864977678</v>
      </c>
      <c r="AN125">
        <f t="shared" si="91"/>
        <v>384.08104354706734</v>
      </c>
      <c r="AO125">
        <f t="shared" si="92"/>
        <v>-1255.0616679883858</v>
      </c>
      <c r="AQ125">
        <f t="shared" si="78"/>
        <v>1.2074378169524269</v>
      </c>
      <c r="AR125">
        <f t="shared" si="79"/>
        <v>-109.87684134267086</v>
      </c>
      <c r="AT125">
        <f t="shared" si="104"/>
        <v>-645281.42056332913</v>
      </c>
      <c r="AU125">
        <f t="shared" si="105"/>
        <v>-1537446.6192404779</v>
      </c>
      <c r="AV125">
        <f t="shared" si="93"/>
        <v>-1.9681776121026151</v>
      </c>
      <c r="AW125">
        <f t="shared" si="94"/>
        <v>-123654.08003069587</v>
      </c>
      <c r="AX125">
        <f t="shared" si="95"/>
        <v>-55699.769722418845</v>
      </c>
      <c r="AY125">
        <f t="shared" si="103"/>
        <v>-2.7183659861471812</v>
      </c>
      <c r="BA125">
        <f t="shared" si="80"/>
        <v>12.294438359870439</v>
      </c>
      <c r="BB125">
        <f t="shared" si="96"/>
        <v>21.794173877793426</v>
      </c>
      <c r="BC125">
        <f t="shared" si="97"/>
        <v>0.75018837404456606</v>
      </c>
      <c r="BD125">
        <f t="shared" si="81"/>
        <v>-137.01737227835</v>
      </c>
      <c r="BF125">
        <f t="shared" si="82"/>
        <v>-1.1292100171808614</v>
      </c>
      <c r="BG125">
        <f t="shared" si="83"/>
        <v>-122.95529247531935</v>
      </c>
      <c r="BH125">
        <f t="shared" si="98"/>
        <v>57.044707524680646</v>
      </c>
      <c r="BI125">
        <f t="shared" si="99"/>
        <v>57.044707524680646</v>
      </c>
      <c r="BJ125">
        <f t="shared" si="84"/>
        <v>0</v>
      </c>
      <c r="BK125">
        <f t="shared" si="100"/>
        <v>0</v>
      </c>
      <c r="BM125">
        <f t="shared" si="101"/>
        <v>-22.92338389497429</v>
      </c>
      <c r="BN125">
        <f t="shared" si="85"/>
        <v>-165.93792019696937</v>
      </c>
      <c r="BQ125" s="47">
        <f t="shared" si="102"/>
        <v>38.696134678078565</v>
      </c>
      <c r="BR125" s="529"/>
      <c r="BS125" s="529"/>
      <c r="BT125" s="529">
        <v>1412.538</v>
      </c>
      <c r="BU125" s="529">
        <v>12.0929</v>
      </c>
      <c r="BV125" s="529">
        <v>-258.13599999999997</v>
      </c>
      <c r="BW125" s="49"/>
      <c r="BY125" s="529"/>
      <c r="BZ125" s="529"/>
      <c r="CA125" s="529"/>
      <c r="CC125" s="529"/>
    </row>
    <row r="126" spans="1:81">
      <c r="A126">
        <f t="shared" si="106"/>
        <v>46000</v>
      </c>
      <c r="B126">
        <f t="shared" si="86"/>
        <v>46</v>
      </c>
      <c r="C126">
        <f t="shared" si="55"/>
        <v>1.0263835794352634</v>
      </c>
      <c r="D126">
        <f t="shared" si="56"/>
        <v>0.22722794046527456</v>
      </c>
      <c r="F126">
        <f t="shared" si="57"/>
        <v>4.5408066743062182E-3</v>
      </c>
      <c r="G126">
        <f t="shared" si="58"/>
        <v>2.0362881124855195E-2</v>
      </c>
      <c r="H126">
        <f t="shared" si="59"/>
        <v>-3.1212297688751449</v>
      </c>
      <c r="J126">
        <f t="shared" si="60"/>
        <v>15</v>
      </c>
      <c r="M126">
        <f t="shared" si="61"/>
        <v>3.2738626477955765E-2</v>
      </c>
      <c r="N126">
        <f t="shared" si="62"/>
        <v>-1.5707963250000001</v>
      </c>
      <c r="O126">
        <f t="shared" si="63"/>
        <v>22.436303310499689</v>
      </c>
      <c r="P126">
        <f t="shared" si="64"/>
        <v>1.5262109344268224</v>
      </c>
      <c r="Q126">
        <f t="shared" si="65"/>
        <v>17.521369962945592</v>
      </c>
      <c r="R126">
        <f t="shared" si="66"/>
        <v>1.5136921340051823</v>
      </c>
      <c r="S126">
        <f t="shared" si="67"/>
        <v>0.9709148365303244</v>
      </c>
      <c r="T126">
        <f t="shared" si="68"/>
        <v>-0.24177368945125896</v>
      </c>
      <c r="U126">
        <f t="shared" si="69"/>
        <v>0.9334294378507435</v>
      </c>
      <c r="V126">
        <f t="shared" si="70"/>
        <v>-0.36694023492935007</v>
      </c>
      <c r="X126">
        <f t="shared" si="87"/>
        <v>-1.7724717061072839</v>
      </c>
      <c r="Y126">
        <f t="shared" si="71"/>
        <v>-116.51721354916127</v>
      </c>
      <c r="Z126">
        <f t="shared" si="88"/>
        <v>63.482786450838731</v>
      </c>
      <c r="AC126">
        <v>1</v>
      </c>
      <c r="AD126">
        <f t="shared" si="72"/>
        <v>22.414006920689999</v>
      </c>
      <c r="AE126">
        <f t="shared" si="73"/>
        <v>-5.3121588538672631E-4</v>
      </c>
      <c r="AF126">
        <f t="shared" si="74"/>
        <v>1.3821248368116E-3</v>
      </c>
      <c r="AG126">
        <f t="shared" si="89"/>
        <v>13887.48180705811</v>
      </c>
      <c r="AH126">
        <f t="shared" si="90"/>
        <v>-6061.1391393947906</v>
      </c>
      <c r="AJ126">
        <f t="shared" si="75"/>
        <v>22100</v>
      </c>
      <c r="AK126">
        <f t="shared" si="76"/>
        <v>5449.8032053461366</v>
      </c>
      <c r="AL126">
        <v>1</v>
      </c>
      <c r="AM126">
        <f t="shared" si="77"/>
        <v>17.492810105252161</v>
      </c>
      <c r="AN126">
        <f t="shared" si="91"/>
        <v>382.51785847996547</v>
      </c>
      <c r="AO126">
        <f t="shared" si="92"/>
        <v>-1241.5090549116194</v>
      </c>
      <c r="AQ126">
        <f t="shared" si="78"/>
        <v>1.1813349084465445</v>
      </c>
      <c r="AR126">
        <f t="shared" si="79"/>
        <v>-108.68281157708211</v>
      </c>
      <c r="AT126">
        <f t="shared" si="104"/>
        <v>-642335.87598022749</v>
      </c>
      <c r="AU126">
        <f t="shared" si="105"/>
        <v>-1516490.803766971</v>
      </c>
      <c r="AV126">
        <f t="shared" si="93"/>
        <v>-1.9714528169150505</v>
      </c>
      <c r="AW126">
        <f t="shared" si="94"/>
        <v>-120734.46644132001</v>
      </c>
      <c r="AX126">
        <f t="shared" si="95"/>
        <v>-54988.991838385264</v>
      </c>
      <c r="AY126">
        <f t="shared" si="103"/>
        <v>-2.7142124719691685</v>
      </c>
      <c r="BA126">
        <f t="shared" si="80"/>
        <v>12.413901615598855</v>
      </c>
      <c r="BB126">
        <f t="shared" si="96"/>
        <v>21.878165982624687</v>
      </c>
      <c r="BC126">
        <f t="shared" si="97"/>
        <v>0.74275965505411801</v>
      </c>
      <c r="BD126">
        <f t="shared" si="81"/>
        <v>-137.44300652417772</v>
      </c>
      <c r="BF126">
        <f t="shared" si="82"/>
        <v>-1.2311546862243445</v>
      </c>
      <c r="BG126">
        <f t="shared" si="83"/>
        <v>-123.25709738467697</v>
      </c>
      <c r="BH126">
        <f t="shared" si="98"/>
        <v>56.742902615323032</v>
      </c>
      <c r="BI126">
        <f t="shared" si="99"/>
        <v>56.742902615323032</v>
      </c>
      <c r="BJ126">
        <f t="shared" si="84"/>
        <v>0</v>
      </c>
      <c r="BK126">
        <f t="shared" si="100"/>
        <v>0</v>
      </c>
      <c r="BM126">
        <f t="shared" si="101"/>
        <v>-23.10932066884903</v>
      </c>
      <c r="BN126">
        <f t="shared" si="85"/>
        <v>-165.81409086049925</v>
      </c>
      <c r="BQ126" s="47">
        <f t="shared" si="102"/>
        <v>38.780126782909818</v>
      </c>
      <c r="BR126" s="529"/>
      <c r="BS126" s="529"/>
      <c r="BT126" s="529">
        <v>1445.44</v>
      </c>
      <c r="BU126" s="529">
        <v>11.918900000000001</v>
      </c>
      <c r="BV126" s="529">
        <v>-257.92899999999997</v>
      </c>
      <c r="BW126" s="49"/>
      <c r="BY126" s="529"/>
      <c r="BZ126" s="529"/>
      <c r="CA126" s="529"/>
      <c r="CC126" s="529"/>
    </row>
    <row r="127" spans="1:81">
      <c r="A127">
        <f t="shared" si="106"/>
        <v>46500</v>
      </c>
      <c r="B127">
        <f t="shared" si="86"/>
        <v>46.5</v>
      </c>
      <c r="C127">
        <f t="shared" si="55"/>
        <v>1.0269526830836766</v>
      </c>
      <c r="D127">
        <f t="shared" si="56"/>
        <v>0.22961234611076903</v>
      </c>
      <c r="F127">
        <f t="shared" si="57"/>
        <v>4.4432603902356963E-3</v>
      </c>
      <c r="G127">
        <f t="shared" si="58"/>
        <v>2.0141993547889633E-2</v>
      </c>
      <c r="H127">
        <f t="shared" si="59"/>
        <v>-3.1214506564521107</v>
      </c>
      <c r="J127">
        <f t="shared" si="60"/>
        <v>15</v>
      </c>
      <c r="M127">
        <f t="shared" si="61"/>
        <v>3.2386598236257315E-2</v>
      </c>
      <c r="N127">
        <f t="shared" si="62"/>
        <v>-1.5707963250000001</v>
      </c>
      <c r="O127">
        <f t="shared" si="63"/>
        <v>22.679694308807264</v>
      </c>
      <c r="P127">
        <f t="shared" si="64"/>
        <v>1.5266897223550082</v>
      </c>
      <c r="Q127">
        <f t="shared" si="65"/>
        <v>17.711202600514198</v>
      </c>
      <c r="R127">
        <f t="shared" si="66"/>
        <v>1.5143048449957657</v>
      </c>
      <c r="S127">
        <f t="shared" si="67"/>
        <v>0.97030715126776157</v>
      </c>
      <c r="T127">
        <f t="shared" si="68"/>
        <v>-0.24429886485400365</v>
      </c>
      <c r="U127">
        <f t="shared" si="69"/>
        <v>0.93211922163188432</v>
      </c>
      <c r="V127">
        <f t="shared" si="70"/>
        <v>-0.37057511317602287</v>
      </c>
      <c r="X127">
        <f t="shared" si="87"/>
        <v>-1.8805052900053787</v>
      </c>
      <c r="Y127">
        <f t="shared" si="71"/>
        <v>-116.6836598894217</v>
      </c>
      <c r="Z127">
        <f t="shared" si="88"/>
        <v>63.316340110578295</v>
      </c>
      <c r="AC127">
        <v>1</v>
      </c>
      <c r="AD127">
        <f t="shared" si="72"/>
        <v>22.657637430697502</v>
      </c>
      <c r="AE127">
        <f t="shared" si="73"/>
        <v>-5.4282681860938042E-4</v>
      </c>
      <c r="AF127">
        <f t="shared" si="74"/>
        <v>1.3971479328639001E-3</v>
      </c>
      <c r="AG127">
        <f t="shared" si="89"/>
        <v>13848.522603592195</v>
      </c>
      <c r="AH127">
        <f t="shared" si="90"/>
        <v>-6096.2402527333115</v>
      </c>
      <c r="AJ127">
        <f t="shared" si="75"/>
        <v>22100</v>
      </c>
      <c r="AK127">
        <f t="shared" si="76"/>
        <v>5509.0401967085945</v>
      </c>
      <c r="AL127">
        <v>1</v>
      </c>
      <c r="AM127">
        <f t="shared" si="77"/>
        <v>17.682949345526641</v>
      </c>
      <c r="AN127">
        <f t="shared" si="91"/>
        <v>381.00461279317165</v>
      </c>
      <c r="AO127">
        <f t="shared" si="92"/>
        <v>-1228.2450717250517</v>
      </c>
      <c r="AQ127">
        <f t="shared" si="78"/>
        <v>1.1560693641618498</v>
      </c>
      <c r="AR127">
        <f t="shared" si="79"/>
        <v>-107.51445086705202</v>
      </c>
      <c r="AT127">
        <f t="shared" si="104"/>
        <v>-639424.07040532457</v>
      </c>
      <c r="AU127">
        <f t="shared" si="105"/>
        <v>-1495963.9796379278</v>
      </c>
      <c r="AV127">
        <f t="shared" si="93"/>
        <v>-1.9747257706197066</v>
      </c>
      <c r="AW127">
        <f t="shared" si="94"/>
        <v>-117909.41445270147</v>
      </c>
      <c r="AX127">
        <f t="shared" si="95"/>
        <v>-54300.384871693379</v>
      </c>
      <c r="AY127">
        <f t="shared" si="103"/>
        <v>-2.7100196258982878</v>
      </c>
      <c r="BA127">
        <f t="shared" si="80"/>
        <v>12.532660919643009</v>
      </c>
      <c r="BB127">
        <f t="shared" si="96"/>
        <v>21.960865793432628</v>
      </c>
      <c r="BC127">
        <f t="shared" si="97"/>
        <v>0.73529385527858127</v>
      </c>
      <c r="BD127">
        <f t="shared" si="81"/>
        <v>-137.87076534249448</v>
      </c>
      <c r="BF127">
        <f t="shared" si="82"/>
        <v>-1.3322650447237785</v>
      </c>
      <c r="BG127">
        <f t="shared" si="83"/>
        <v>-123.5608957486251</v>
      </c>
      <c r="BH127">
        <f t="shared" si="98"/>
        <v>56.4391042513749</v>
      </c>
      <c r="BI127">
        <f t="shared" si="99"/>
        <v>56.4391042513749</v>
      </c>
      <c r="BJ127">
        <f t="shared" si="84"/>
        <v>0</v>
      </c>
      <c r="BK127">
        <f t="shared" si="100"/>
        <v>0</v>
      </c>
      <c r="BM127">
        <f t="shared" si="101"/>
        <v>-23.293130838156411</v>
      </c>
      <c r="BN127">
        <f t="shared" si="85"/>
        <v>-165.69013040613063</v>
      </c>
      <c r="BQ127" s="47">
        <f t="shared" si="102"/>
        <v>38.86282659371777</v>
      </c>
      <c r="BR127" s="529"/>
      <c r="BS127" s="529"/>
      <c r="BT127" s="529">
        <v>1479.1079999999999</v>
      </c>
      <c r="BU127" s="529">
        <v>11.714700000000001</v>
      </c>
      <c r="BV127" s="529">
        <v>-257.745</v>
      </c>
      <c r="BW127" s="49"/>
      <c r="BY127" s="529"/>
      <c r="BZ127" s="529"/>
      <c r="CA127" s="529"/>
      <c r="CC127" s="529"/>
    </row>
    <row r="128" spans="1:81">
      <c r="A128">
        <f t="shared" si="106"/>
        <v>47000</v>
      </c>
      <c r="B128">
        <f t="shared" si="86"/>
        <v>47</v>
      </c>
      <c r="C128">
        <f t="shared" si="55"/>
        <v>1.0275276188720113</v>
      </c>
      <c r="D128">
        <f t="shared" si="56"/>
        <v>0.23199409697676893</v>
      </c>
      <c r="F128">
        <f t="shared" si="57"/>
        <v>4.3488282422821239E-3</v>
      </c>
      <c r="G128">
        <f t="shared" si="58"/>
        <v>1.992586671936367E-2</v>
      </c>
      <c r="H128">
        <f t="shared" si="59"/>
        <v>-3.1216667832806366</v>
      </c>
      <c r="J128">
        <f t="shared" si="60"/>
        <v>15</v>
      </c>
      <c r="M128">
        <f t="shared" si="61"/>
        <v>3.2042059957148192E-2</v>
      </c>
      <c r="N128">
        <f t="shared" si="62"/>
        <v>-1.5707963250000001</v>
      </c>
      <c r="O128">
        <f t="shared" si="63"/>
        <v>22.923090395755167</v>
      </c>
      <c r="P128">
        <f t="shared" si="64"/>
        <v>1.5271583429020408</v>
      </c>
      <c r="Q128">
        <f t="shared" si="65"/>
        <v>17.901041746107801</v>
      </c>
      <c r="R128">
        <f t="shared" si="66"/>
        <v>1.5149045607034013</v>
      </c>
      <c r="S128">
        <f t="shared" si="67"/>
        <v>0.96969405457317781</v>
      </c>
      <c r="T128">
        <f t="shared" si="68"/>
        <v>-0.24682086521503074</v>
      </c>
      <c r="U128">
        <f t="shared" si="69"/>
        <v>0.93080043215802033</v>
      </c>
      <c r="V128">
        <f t="shared" si="70"/>
        <v>-0.37419975373667014</v>
      </c>
      <c r="X128">
        <f t="shared" si="87"/>
        <v>-1.9875954232602542</v>
      </c>
      <c r="Y128">
        <f t="shared" si="71"/>
        <v>-116.85054419675406</v>
      </c>
      <c r="Z128">
        <f t="shared" si="88"/>
        <v>63.149455803245942</v>
      </c>
      <c r="AC128">
        <v>1</v>
      </c>
      <c r="AD128">
        <f t="shared" si="72"/>
        <v>22.901267940705001</v>
      </c>
      <c r="AE128">
        <f t="shared" si="73"/>
        <v>-5.5456327543444164E-4</v>
      </c>
      <c r="AF128">
        <f t="shared" si="74"/>
        <v>1.4121710289162002E-3</v>
      </c>
      <c r="AG128">
        <f t="shared" si="89"/>
        <v>13809.363737001353</v>
      </c>
      <c r="AH128">
        <f t="shared" si="90"/>
        <v>-6131.1029672531649</v>
      </c>
      <c r="AJ128">
        <f t="shared" si="75"/>
        <v>22100</v>
      </c>
      <c r="AK128">
        <f t="shared" si="76"/>
        <v>5568.2771880710525</v>
      </c>
      <c r="AL128">
        <v>1</v>
      </c>
      <c r="AM128">
        <f t="shared" si="77"/>
        <v>17.873088585801121</v>
      </c>
      <c r="AN128">
        <f t="shared" si="91"/>
        <v>379.53920386977916</v>
      </c>
      <c r="AO128">
        <f t="shared" si="92"/>
        <v>-1215.2606244779408</v>
      </c>
      <c r="AQ128">
        <f t="shared" si="78"/>
        <v>1.1316057485572026</v>
      </c>
      <c r="AR128">
        <f t="shared" si="79"/>
        <v>-106.37094036437705</v>
      </c>
      <c r="AT128">
        <f t="shared" si="104"/>
        <v>-636544.43270883348</v>
      </c>
      <c r="AU128">
        <f t="shared" si="105"/>
        <v>-1475852.9979013018</v>
      </c>
      <c r="AV128">
        <f t="shared" si="93"/>
        <v>-1.9779961678488809</v>
      </c>
      <c r="AW128">
        <f t="shared" si="94"/>
        <v>-115174.95082211999</v>
      </c>
      <c r="AX128">
        <f t="shared" si="95"/>
        <v>-53632.962705457707</v>
      </c>
      <c r="AY128">
        <f t="shared" si="103"/>
        <v>-2.7057882087226313</v>
      </c>
      <c r="BA128">
        <f t="shared" si="80"/>
        <v>12.650698972395134</v>
      </c>
      <c r="BB128">
        <f t="shared" si="96"/>
        <v>22.042290433506231</v>
      </c>
      <c r="BC128">
        <f t="shared" si="97"/>
        <v>0.72779204087375038</v>
      </c>
      <c r="BD128">
        <f t="shared" si="81"/>
        <v>-138.30058764707286</v>
      </c>
      <c r="BF128">
        <f t="shared" si="82"/>
        <v>-1.4325691942361223</v>
      </c>
      <c r="BG128">
        <f t="shared" si="83"/>
        <v>-123.86663693570237</v>
      </c>
      <c r="BH128">
        <f t="shared" si="98"/>
        <v>56.133363064297626</v>
      </c>
      <c r="BI128">
        <f t="shared" si="99"/>
        <v>56.133363064297626</v>
      </c>
      <c r="BJ128">
        <f t="shared" si="84"/>
        <v>0</v>
      </c>
      <c r="BK128">
        <f t="shared" si="100"/>
        <v>0</v>
      </c>
      <c r="BM128">
        <f t="shared" si="101"/>
        <v>-23.474859627742358</v>
      </c>
      <c r="BN128">
        <f t="shared" si="85"/>
        <v>-165.56604928862947</v>
      </c>
      <c r="BQ128" s="47">
        <f t="shared" si="102"/>
        <v>38.94425123379137</v>
      </c>
      <c r="BR128" s="529"/>
      <c r="BS128" s="529"/>
      <c r="BT128" s="529">
        <v>1513.5609999999999</v>
      </c>
      <c r="BU128" s="529">
        <v>11.5252</v>
      </c>
      <c r="BV128" s="529">
        <v>-257.61</v>
      </c>
      <c r="BW128" s="49"/>
      <c r="BY128" s="529"/>
      <c r="BZ128" s="529"/>
      <c r="CA128" s="529"/>
      <c r="CC128" s="529"/>
    </row>
    <row r="129" spans="1:81">
      <c r="A129">
        <f t="shared" si="106"/>
        <v>47500</v>
      </c>
      <c r="B129">
        <f t="shared" si="86"/>
        <v>47.5</v>
      </c>
      <c r="C129">
        <f t="shared" si="55"/>
        <v>1.0281083770159702</v>
      </c>
      <c r="D129">
        <f t="shared" si="56"/>
        <v>0.23437317051780804</v>
      </c>
      <c r="F129">
        <f t="shared" si="57"/>
        <v>4.2573788930403119E-3</v>
      </c>
      <c r="G129">
        <f t="shared" si="58"/>
        <v>1.9714347754025113E-2</v>
      </c>
      <c r="H129">
        <f t="shared" si="59"/>
        <v>-3.1218783022459751</v>
      </c>
      <c r="J129">
        <f t="shared" si="60"/>
        <v>15</v>
      </c>
      <c r="M129">
        <f t="shared" si="61"/>
        <v>3.1704775115494001E-2</v>
      </c>
      <c r="N129">
        <f t="shared" si="62"/>
        <v>-1.5707963250000001</v>
      </c>
      <c r="O129">
        <f t="shared" si="63"/>
        <v>23.166491410953753</v>
      </c>
      <c r="P129">
        <f t="shared" si="64"/>
        <v>1.5276171163325452</v>
      </c>
      <c r="Q129">
        <f t="shared" si="65"/>
        <v>18.090887194847898</v>
      </c>
      <c r="R129">
        <f t="shared" si="66"/>
        <v>1.515491689806568</v>
      </c>
      <c r="S129">
        <f t="shared" si="67"/>
        <v>0.969075580072846</v>
      </c>
      <c r="T129">
        <f t="shared" si="68"/>
        <v>-0.24933966449734071</v>
      </c>
      <c r="U129">
        <f t="shared" si="69"/>
        <v>0.92947320950082046</v>
      </c>
      <c r="V129">
        <f t="shared" si="70"/>
        <v>-0.3778141049646927</v>
      </c>
      <c r="X129">
        <f t="shared" si="87"/>
        <v>-2.093764140913501</v>
      </c>
      <c r="Y129">
        <f t="shared" si="71"/>
        <v>-117.01783030629245</v>
      </c>
      <c r="Z129">
        <f t="shared" si="88"/>
        <v>62.982169693707547</v>
      </c>
      <c r="AC129">
        <v>1</v>
      </c>
      <c r="AD129">
        <f t="shared" si="72"/>
        <v>23.144898450712503</v>
      </c>
      <c r="AE129">
        <f t="shared" si="73"/>
        <v>-5.6642525586190985E-4</v>
      </c>
      <c r="AF129">
        <f t="shared" si="74"/>
        <v>1.4271941249685003E-3</v>
      </c>
      <c r="AG129">
        <f t="shared" si="89"/>
        <v>13770.010438835154</v>
      </c>
      <c r="AH129">
        <f t="shared" si="90"/>
        <v>-6165.7216296574861</v>
      </c>
      <c r="AJ129">
        <f t="shared" si="75"/>
        <v>22100</v>
      </c>
      <c r="AK129">
        <f t="shared" si="76"/>
        <v>5627.5141794335104</v>
      </c>
      <c r="AL129">
        <v>1</v>
      </c>
      <c r="AM129">
        <f t="shared" si="77"/>
        <v>18.0632278260756</v>
      </c>
      <c r="AN129">
        <f t="shared" si="91"/>
        <v>378.11963848678141</v>
      </c>
      <c r="AO129">
        <f t="shared" si="92"/>
        <v>-1202.546996066566</v>
      </c>
      <c r="AQ129">
        <f t="shared" si="78"/>
        <v>1.1079104808331486</v>
      </c>
      <c r="AR129">
        <f t="shared" si="79"/>
        <v>-105.25149567914913</v>
      </c>
      <c r="AT129">
        <f t="shared" si="104"/>
        <v>-633695.48457636381</v>
      </c>
      <c r="AU129">
        <f t="shared" si="105"/>
        <v>-1456145.261820294</v>
      </c>
      <c r="AV129">
        <f t="shared" si="93"/>
        <v>-1.9812637151902153</v>
      </c>
      <c r="AW129">
        <f t="shared" si="94"/>
        <v>-112527.30848216535</v>
      </c>
      <c r="AX129">
        <f t="shared" si="95"/>
        <v>-52985.794474603026</v>
      </c>
      <c r="AY129">
        <f t="shared" si="103"/>
        <v>-2.7015189741856331</v>
      </c>
      <c r="BA129">
        <f t="shared" si="80"/>
        <v>12.767998420049722</v>
      </c>
      <c r="BB129">
        <f t="shared" si="96"/>
        <v>22.122456405315209</v>
      </c>
      <c r="BC129">
        <f t="shared" si="97"/>
        <v>0.72025525899541787</v>
      </c>
      <c r="BD129">
        <f t="shared" si="81"/>
        <v>-138.73241344030544</v>
      </c>
      <c r="BF129">
        <f t="shared" si="82"/>
        <v>-1.5320944035488668</v>
      </c>
      <c r="BG129">
        <f t="shared" si="83"/>
        <v>-124.1742709997411</v>
      </c>
      <c r="BH129">
        <f t="shared" si="98"/>
        <v>55.825729000258903</v>
      </c>
      <c r="BI129">
        <f t="shared" si="99"/>
        <v>55.825729000258903</v>
      </c>
      <c r="BJ129">
        <f t="shared" si="84"/>
        <v>0</v>
      </c>
      <c r="BK129">
        <f t="shared" si="100"/>
        <v>0</v>
      </c>
      <c r="BM129">
        <f t="shared" si="101"/>
        <v>-23.65455080886408</v>
      </c>
      <c r="BN129">
        <f t="shared" si="85"/>
        <v>-165.44185755943568</v>
      </c>
      <c r="BQ129" s="47">
        <f t="shared" si="102"/>
        <v>39.024417205600351</v>
      </c>
      <c r="BR129" s="529"/>
      <c r="BS129" s="529"/>
      <c r="BT129" s="529">
        <v>1548.817</v>
      </c>
      <c r="BU129" s="529">
        <v>11.3354</v>
      </c>
      <c r="BV129" s="529">
        <v>-257.471</v>
      </c>
      <c r="BW129" s="49"/>
      <c r="BY129" s="529"/>
      <c r="BZ129" s="529"/>
      <c r="CA129" s="529"/>
      <c r="CC129" s="529"/>
    </row>
    <row r="130" spans="1:81">
      <c r="A130">
        <f t="shared" si="106"/>
        <v>48000</v>
      </c>
      <c r="B130">
        <f t="shared" si="86"/>
        <v>48</v>
      </c>
      <c r="C130">
        <f t="shared" si="55"/>
        <v>1.0286949476543785</v>
      </c>
      <c r="D130">
        <f t="shared" si="56"/>
        <v>0.23674954436030501</v>
      </c>
      <c r="F130">
        <f t="shared" si="57"/>
        <v>4.1687878656838061E-3</v>
      </c>
      <c r="G130">
        <f t="shared" si="58"/>
        <v>1.9507290268423384E-2</v>
      </c>
      <c r="H130">
        <f t="shared" si="59"/>
        <v>-3.1220853597315767</v>
      </c>
      <c r="J130">
        <f t="shared" si="60"/>
        <v>15</v>
      </c>
      <c r="M130">
        <f t="shared" si="61"/>
        <v>3.137451704137427E-2</v>
      </c>
      <c r="N130">
        <f t="shared" si="62"/>
        <v>-1.5707963250000001</v>
      </c>
      <c r="O130">
        <f t="shared" si="63"/>
        <v>23.409897200680703</v>
      </c>
      <c r="P130">
        <f t="shared" si="64"/>
        <v>1.5280663496082525</v>
      </c>
      <c r="Q130">
        <f t="shared" si="65"/>
        <v>18.280738750359998</v>
      </c>
      <c r="R130">
        <f t="shared" si="66"/>
        <v>1.5160666240422598</v>
      </c>
      <c r="S130">
        <f t="shared" si="67"/>
        <v>0.96845176157014168</v>
      </c>
      <c r="T130">
        <f t="shared" si="68"/>
        <v>-0.25185523689245432</v>
      </c>
      <c r="U130">
        <f t="shared" si="69"/>
        <v>0.92813769348718855</v>
      </c>
      <c r="V130">
        <f t="shared" si="70"/>
        <v>-0.38141811658157942</v>
      </c>
      <c r="X130">
        <f t="shared" si="87"/>
        <v>-2.1990327188125245</v>
      </c>
      <c r="Y130">
        <f t="shared" si="71"/>
        <v>-117.18548349515103</v>
      </c>
      <c r="Z130">
        <f t="shared" si="88"/>
        <v>62.814516504848967</v>
      </c>
      <c r="AC130">
        <v>1</v>
      </c>
      <c r="AD130">
        <f t="shared" si="72"/>
        <v>23.388528960720002</v>
      </c>
      <c r="AE130">
        <f t="shared" si="73"/>
        <v>-5.7841275989178528E-4</v>
      </c>
      <c r="AF130">
        <f t="shared" si="74"/>
        <v>1.4422172210208002E-3</v>
      </c>
      <c r="AG130">
        <f t="shared" si="89"/>
        <v>13730.467916573312</v>
      </c>
      <c r="AH130">
        <f t="shared" si="90"/>
        <v>-6200.0908822193423</v>
      </c>
      <c r="AJ130">
        <f t="shared" si="75"/>
        <v>22100</v>
      </c>
      <c r="AK130">
        <f t="shared" si="76"/>
        <v>5686.7511707959684</v>
      </c>
      <c r="AL130">
        <v>1</v>
      </c>
      <c r="AM130">
        <f t="shared" si="77"/>
        <v>18.25336706635008</v>
      </c>
      <c r="AN130">
        <f t="shared" si="91"/>
        <v>376.74402606246247</v>
      </c>
      <c r="AO130">
        <f t="shared" si="92"/>
        <v>-1190.0958269767207</v>
      </c>
      <c r="AQ130">
        <f t="shared" si="78"/>
        <v>1.0849517196484757</v>
      </c>
      <c r="AR130">
        <f t="shared" si="79"/>
        <v>-104.15536508625367</v>
      </c>
      <c r="AT130">
        <f t="shared" si="104"/>
        <v>-630875.83462784369</v>
      </c>
      <c r="AU130">
        <f t="shared" si="105"/>
        <v>-1436828.697920427</v>
      </c>
      <c r="AV130">
        <f t="shared" si="93"/>
        <v>-1.9845281306321505</v>
      </c>
      <c r="AW130">
        <f t="shared" si="94"/>
        <v>-109962.91383823632</v>
      </c>
      <c r="AX130">
        <f t="shared" si="95"/>
        <v>-52358.000855988241</v>
      </c>
      <c r="AY130">
        <f t="shared" si="103"/>
        <v>-2.6972126700228918</v>
      </c>
      <c r="BA130">
        <f t="shared" si="80"/>
        <v>12.884541866836482</v>
      </c>
      <c r="BB130">
        <f t="shared" si="96"/>
        <v>22.201379620730904</v>
      </c>
      <c r="BC130">
        <f t="shared" si="97"/>
        <v>0.71268453939074128</v>
      </c>
      <c r="BD130">
        <f t="shared" si="81"/>
        <v>-139.16618372202601</v>
      </c>
      <c r="BF130">
        <f t="shared" si="82"/>
        <v>-1.6308671406264885</v>
      </c>
      <c r="BG130">
        <f t="shared" si="83"/>
        <v>-124.48374860964086</v>
      </c>
      <c r="BH130">
        <f t="shared" si="98"/>
        <v>55.516251390359145</v>
      </c>
      <c r="BI130">
        <f t="shared" si="99"/>
        <v>55.516251390359145</v>
      </c>
      <c r="BJ130">
        <f t="shared" si="84"/>
        <v>0</v>
      </c>
      <c r="BK130">
        <f t="shared" si="100"/>
        <v>0</v>
      </c>
      <c r="BM130">
        <f t="shared" si="101"/>
        <v>-23.832246761357393</v>
      </c>
      <c r="BN130">
        <f t="shared" si="85"/>
        <v>-165.31756488761485</v>
      </c>
      <c r="BQ130" s="47">
        <f t="shared" si="102"/>
        <v>39.103340421016036</v>
      </c>
      <c r="BR130" s="529"/>
      <c r="BS130" s="529"/>
      <c r="BT130" s="529">
        <v>1584.893</v>
      </c>
      <c r="BU130" s="529">
        <v>11.160399999999999</v>
      </c>
      <c r="BV130" s="529">
        <v>-256.94200000000001</v>
      </c>
      <c r="BW130" s="49"/>
      <c r="BY130" s="529"/>
      <c r="BZ130" s="529"/>
      <c r="CA130" s="529"/>
      <c r="CC130" s="529"/>
    </row>
    <row r="131" spans="1:81">
      <c r="A131">
        <f t="shared" si="106"/>
        <v>48500</v>
      </c>
      <c r="B131">
        <f t="shared" si="86"/>
        <v>48.5</v>
      </c>
      <c r="C131">
        <f t="shared" si="55"/>
        <v>1.0292873208499564</v>
      </c>
      <c r="D131">
        <f t="shared" si="56"/>
        <v>0.23912319630338988</v>
      </c>
      <c r="F131">
        <f t="shared" si="57"/>
        <v>4.0829371178261655E-3</v>
      </c>
      <c r="G131">
        <f t="shared" si="58"/>
        <v>1.930455403767738E-2</v>
      </c>
      <c r="H131">
        <f t="shared" si="59"/>
        <v>-3.1222880959623227</v>
      </c>
      <c r="J131">
        <f t="shared" si="60"/>
        <v>15</v>
      </c>
      <c r="M131">
        <f t="shared" si="61"/>
        <v>3.1051068412081759E-2</v>
      </c>
      <c r="N131">
        <f t="shared" si="62"/>
        <v>-1.5707963250000001</v>
      </c>
      <c r="O131">
        <f t="shared" si="63"/>
        <v>23.653307617538307</v>
      </c>
      <c r="P131">
        <f t="shared" si="64"/>
        <v>1.5285063370711989</v>
      </c>
      <c r="Q131">
        <f t="shared" si="65"/>
        <v>18.470596224337203</v>
      </c>
      <c r="R131">
        <f t="shared" si="66"/>
        <v>1.5166297390739951</v>
      </c>
      <c r="S131">
        <f t="shared" si="67"/>
        <v>0.96782263304088856</v>
      </c>
      <c r="T131">
        <f t="shared" si="68"/>
        <v>-0.25436755682133466</v>
      </c>
      <c r="U131">
        <f t="shared" si="69"/>
        <v>0.92679402366882369</v>
      </c>
      <c r="V131">
        <f t="shared" si="70"/>
        <v>-0.38501173967043828</v>
      </c>
      <c r="X131">
        <f t="shared" si="87"/>
        <v>-2.303421707042776</v>
      </c>
      <c r="Y131">
        <f t="shared" si="71"/>
        <v>-117.35347041284685</v>
      </c>
      <c r="Z131">
        <f t="shared" si="88"/>
        <v>62.646529587153154</v>
      </c>
      <c r="AC131">
        <v>1</v>
      </c>
      <c r="AD131">
        <f t="shared" si="72"/>
        <v>23.632159470727501</v>
      </c>
      <c r="AE131">
        <f t="shared" si="73"/>
        <v>-5.905257875240675E-4</v>
      </c>
      <c r="AF131">
        <f t="shared" si="74"/>
        <v>1.4572403170731003E-3</v>
      </c>
      <c r="AG131">
        <f t="shared" si="89"/>
        <v>13690.74135240535</v>
      </c>
      <c r="AH131">
        <f t="shared" si="90"/>
        <v>-6234.2056505576102</v>
      </c>
      <c r="AJ131">
        <f t="shared" si="75"/>
        <v>22100</v>
      </c>
      <c r="AK131">
        <f t="shared" si="76"/>
        <v>5745.9881621584254</v>
      </c>
      <c r="AL131">
        <v>1</v>
      </c>
      <c r="AM131">
        <f t="shared" si="77"/>
        <v>18.44350630662456</v>
      </c>
      <c r="AN131">
        <f t="shared" si="91"/>
        <v>375.41057238464515</v>
      </c>
      <c r="AO131">
        <f t="shared" si="92"/>
        <v>-1177.8990971913129</v>
      </c>
      <c r="AQ131">
        <f t="shared" si="78"/>
        <v>1.0626992561105206</v>
      </c>
      <c r="AR131">
        <f t="shared" si="79"/>
        <v>-103.08182784272051</v>
      </c>
      <c r="AT131">
        <f t="shared" si="104"/>
        <v>-628084.17295609228</v>
      </c>
      <c r="AU131">
        <f t="shared" si="105"/>
        <v>-1417891.7288351504</v>
      </c>
      <c r="AV131">
        <f t="shared" si="93"/>
        <v>-1.9877891430427892</v>
      </c>
      <c r="AW131">
        <f t="shared" si="94"/>
        <v>-107478.3749688995</v>
      </c>
      <c r="AX131">
        <f t="shared" si="95"/>
        <v>-51748.750646773056</v>
      </c>
      <c r="AY131">
        <f t="shared" si="103"/>
        <v>-2.6928700389184219</v>
      </c>
      <c r="BA131">
        <f t="shared" si="80"/>
        <v>13.000311887618778</v>
      </c>
      <c r="BB131">
        <f t="shared" si="96"/>
        <v>22.279075429901365</v>
      </c>
      <c r="BC131">
        <f t="shared" si="97"/>
        <v>0.70508089587563272</v>
      </c>
      <c r="BD131">
        <f t="shared" si="81"/>
        <v>-139.60184040486158</v>
      </c>
      <c r="BF131">
        <f t="shared" si="82"/>
        <v>-1.7289131026033062</v>
      </c>
      <c r="BG131">
        <f t="shared" si="83"/>
        <v>-124.79502098433862</v>
      </c>
      <c r="BH131">
        <f t="shared" si="98"/>
        <v>55.20497901566138</v>
      </c>
      <c r="BI131">
        <f t="shared" si="99"/>
        <v>55.20497901566138</v>
      </c>
      <c r="BJ131">
        <f t="shared" si="84"/>
        <v>0</v>
      </c>
      <c r="BK131">
        <f t="shared" si="100"/>
        <v>0</v>
      </c>
      <c r="BM131">
        <f t="shared" si="101"/>
        <v>-24.007988532504672</v>
      </c>
      <c r="BN131">
        <f t="shared" si="85"/>
        <v>-165.19318057947706</v>
      </c>
      <c r="BQ131" s="47">
        <f t="shared" si="102"/>
        <v>39.1810362301865</v>
      </c>
      <c r="BR131" s="529"/>
      <c r="BS131" s="529"/>
      <c r="BT131" s="529">
        <v>1621.81</v>
      </c>
      <c r="BU131" s="529">
        <v>10.9787</v>
      </c>
      <c r="BV131" s="529">
        <v>-256.75299999999999</v>
      </c>
      <c r="BW131" s="49"/>
      <c r="BY131" s="529"/>
      <c r="BZ131" s="529"/>
      <c r="CA131" s="529"/>
      <c r="CC131" s="529"/>
    </row>
    <row r="132" spans="1:81">
      <c r="A132">
        <f t="shared" si="106"/>
        <v>49000</v>
      </c>
      <c r="B132">
        <f t="shared" si="86"/>
        <v>49</v>
      </c>
      <c r="C132">
        <f t="shared" si="55"/>
        <v>1.0298854865900975</v>
      </c>
      <c r="D132">
        <f t="shared" si="56"/>
        <v>0.24149410431970519</v>
      </c>
      <c r="F132">
        <f t="shared" si="57"/>
        <v>3.999714645984186E-3</v>
      </c>
      <c r="G132">
        <f t="shared" si="58"/>
        <v>1.9106004673832312E-2</v>
      </c>
      <c r="H132">
        <f t="shared" si="59"/>
        <v>-3.1224866453261679</v>
      </c>
      <c r="J132">
        <f t="shared" si="60"/>
        <v>15</v>
      </c>
      <c r="M132">
        <f t="shared" si="61"/>
        <v>3.0734220775223774E-2</v>
      </c>
      <c r="N132">
        <f t="shared" si="62"/>
        <v>-1.5707963250000001</v>
      </c>
      <c r="O132">
        <f t="shared" si="63"/>
        <v>23.896722520131625</v>
      </c>
      <c r="P132">
        <f t="shared" si="64"/>
        <v>1.5289373610852695</v>
      </c>
      <c r="Q132">
        <f t="shared" si="65"/>
        <v>18.660459436130459</v>
      </c>
      <c r="R132">
        <f t="shared" si="66"/>
        <v>1.5171813953070514</v>
      </c>
      <c r="S132">
        <f t="shared" si="67"/>
        <v>0.96718822862870768</v>
      </c>
      <c r="T132">
        <f t="shared" si="68"/>
        <v>-0.25687659893527237</v>
      </c>
      <c r="U132">
        <f t="shared" si="69"/>
        <v>0.92544233929235875</v>
      </c>
      <c r="V132">
        <f t="shared" si="70"/>
        <v>-0.38859492666921081</v>
      </c>
      <c r="X132">
        <f t="shared" si="87"/>
        <v>-2.4069509615415994</v>
      </c>
      <c r="Y132">
        <f t="shared" si="71"/>
        <v>-117.52175901587766</v>
      </c>
      <c r="Z132">
        <f t="shared" si="88"/>
        <v>62.478240984122337</v>
      </c>
      <c r="AC132">
        <v>1</v>
      </c>
      <c r="AD132">
        <f t="shared" si="72"/>
        <v>23.875789980735</v>
      </c>
      <c r="AE132">
        <f t="shared" si="73"/>
        <v>-6.0276433875875693E-4</v>
      </c>
      <c r="AF132">
        <f t="shared" si="74"/>
        <v>1.4722634131254001E-3</v>
      </c>
      <c r="AG132">
        <f t="shared" si="89"/>
        <v>13650.835902042372</v>
      </c>
      <c r="AH132">
        <f t="shared" si="90"/>
        <v>-6268.0611320827911</v>
      </c>
      <c r="AJ132">
        <f t="shared" si="75"/>
        <v>22100</v>
      </c>
      <c r="AK132">
        <f t="shared" si="76"/>
        <v>5805.2251535208843</v>
      </c>
      <c r="AL132">
        <v>1</v>
      </c>
      <c r="AM132">
        <f t="shared" si="77"/>
        <v>18.633645546899039</v>
      </c>
      <c r="AN132">
        <f t="shared" si="91"/>
        <v>374.11757378109758</v>
      </c>
      <c r="AO132">
        <f t="shared" si="92"/>
        <v>-1165.9491091819368</v>
      </c>
      <c r="AQ132">
        <f t="shared" si="78"/>
        <v>1.0411244143675169</v>
      </c>
      <c r="AR132">
        <f t="shared" si="79"/>
        <v>-102.03019260801666</v>
      </c>
      <c r="AT132">
        <f t="shared" si="104"/>
        <v>-625319.26605108916</v>
      </c>
      <c r="AU132">
        <f t="shared" si="105"/>
        <v>-1399323.2478211715</v>
      </c>
      <c r="AV132">
        <f t="shared" si="93"/>
        <v>-1.9910464916797803</v>
      </c>
      <c r="AW132">
        <f t="shared" si="94"/>
        <v>-105070.4706565979</v>
      </c>
      <c r="AX132">
        <f t="shared" si="95"/>
        <v>-51157.257605753141</v>
      </c>
      <c r="AY132">
        <f t="shared" si="103"/>
        <v>-2.6884918193849794</v>
      </c>
      <c r="BA132">
        <f t="shared" si="80"/>
        <v>13.115291040840194</v>
      </c>
      <c r="BB132">
        <f t="shared" si="96"/>
        <v>22.355558648856771</v>
      </c>
      <c r="BC132">
        <f t="shared" si="97"/>
        <v>0.69744532770519907</v>
      </c>
      <c r="BD132">
        <f t="shared" si="81"/>
        <v>-140.03932623571174</v>
      </c>
      <c r="BF132">
        <f t="shared" si="82"/>
        <v>-1.8262572439551681</v>
      </c>
      <c r="BG132">
        <f t="shared" si="83"/>
        <v>-125.10803983267131</v>
      </c>
      <c r="BH132">
        <f t="shared" si="98"/>
        <v>54.891960167328691</v>
      </c>
      <c r="BI132">
        <f t="shared" si="99"/>
        <v>54.891960167328691</v>
      </c>
      <c r="BJ132">
        <f t="shared" si="84"/>
        <v>0</v>
      </c>
      <c r="BK132">
        <f t="shared" si="100"/>
        <v>0</v>
      </c>
      <c r="BM132">
        <f t="shared" si="101"/>
        <v>-24.181815892811937</v>
      </c>
      <c r="BN132">
        <f t="shared" si="85"/>
        <v>-165.06871359695958</v>
      </c>
      <c r="BQ132" s="47">
        <f t="shared" si="102"/>
        <v>39.25751944914191</v>
      </c>
      <c r="BR132" s="529"/>
      <c r="BS132" s="529"/>
      <c r="BT132" s="529">
        <v>1659.587</v>
      </c>
      <c r="BU132" s="529">
        <v>10.7578</v>
      </c>
      <c r="BV132" s="529">
        <v>-256.85699999999997</v>
      </c>
      <c r="BW132" s="49"/>
      <c r="BY132" s="529"/>
      <c r="BZ132" s="529"/>
      <c r="CA132" s="529"/>
      <c r="CC132" s="529"/>
    </row>
    <row r="133" spans="1:81">
      <c r="A133">
        <f t="shared" si="106"/>
        <v>49500</v>
      </c>
      <c r="B133">
        <f t="shared" si="86"/>
        <v>49.5</v>
      </c>
      <c r="C133">
        <f t="shared" si="55"/>
        <v>1.0304894347876488</v>
      </c>
      <c r="D133">
        <f t="shared" si="56"/>
        <v>0.24386224655618213</v>
      </c>
      <c r="F133">
        <f t="shared" si="57"/>
        <v>3.91901411815407E-3</v>
      </c>
      <c r="G133">
        <f t="shared" si="58"/>
        <v>1.891151332423277E-2</v>
      </c>
      <c r="H133">
        <f t="shared" si="59"/>
        <v>-3.1226811366757676</v>
      </c>
      <c r="J133">
        <f t="shared" si="60"/>
        <v>15</v>
      </c>
      <c r="M133">
        <f t="shared" si="61"/>
        <v>3.0423774100726567E-2</v>
      </c>
      <c r="N133">
        <f t="shared" si="62"/>
        <v>-1.5707963250000001</v>
      </c>
      <c r="O133">
        <f t="shared" si="63"/>
        <v>24.14014177276615</v>
      </c>
      <c r="P133">
        <f t="shared" si="64"/>
        <v>1.5293596926390243</v>
      </c>
      <c r="Q133">
        <f t="shared" si="65"/>
        <v>18.85032821236344</v>
      </c>
      <c r="R133">
        <f t="shared" si="66"/>
        <v>1.5177219386546272</v>
      </c>
      <c r="S133">
        <f t="shared" si="67"/>
        <v>0.96654858264036991</v>
      </c>
      <c r="T133">
        <f t="shared" si="68"/>
        <v>-0.25938233811673495</v>
      </c>
      <c r="U133">
        <f t="shared" si="69"/>
        <v>0.92408277927008309</v>
      </c>
      <c r="V133">
        <f t="shared" si="70"/>
        <v>-0.39216763136358002</v>
      </c>
      <c r="X133">
        <f t="shared" si="87"/>
        <v>-2.5096396740121021</v>
      </c>
      <c r="Y133">
        <f t="shared" si="71"/>
        <v>-117.69031850616432</v>
      </c>
      <c r="Z133">
        <f t="shared" si="88"/>
        <v>62.309681493835683</v>
      </c>
      <c r="AC133">
        <v>1</v>
      </c>
      <c r="AD133">
        <f t="shared" si="72"/>
        <v>24.119420490742502</v>
      </c>
      <c r="AE133">
        <f t="shared" si="73"/>
        <v>-6.1512841359585347E-4</v>
      </c>
      <c r="AF133">
        <f t="shared" si="74"/>
        <v>1.4872865091777002E-3</v>
      </c>
      <c r="AG133">
        <f t="shared" si="89"/>
        <v>13610.75669356111</v>
      </c>
      <c r="AH133">
        <f t="shared" si="90"/>
        <v>-6301.65278506509</v>
      </c>
      <c r="AJ133">
        <f t="shared" si="75"/>
        <v>22100</v>
      </c>
      <c r="AK133">
        <f t="shared" si="76"/>
        <v>5864.4621448833423</v>
      </c>
      <c r="AL133">
        <v>1</v>
      </c>
      <c r="AM133">
        <f t="shared" si="77"/>
        <v>18.823784787173519</v>
      </c>
      <c r="AN133">
        <f t="shared" si="91"/>
        <v>372.86341169686079</v>
      </c>
      <c r="AO133">
        <f t="shared" si="92"/>
        <v>-1154.2384719096424</v>
      </c>
      <c r="AQ133">
        <f t="shared" si="78"/>
        <v>1.0201999591920017</v>
      </c>
      <c r="AR133">
        <f t="shared" si="79"/>
        <v>-100.99979596000816</v>
      </c>
      <c r="AT133">
        <f t="shared" si="104"/>
        <v>-622579.95207904791</v>
      </c>
      <c r="AU133">
        <f t="shared" si="105"/>
        <v>-1381112.594825153</v>
      </c>
      <c r="AV133">
        <f t="shared" si="93"/>
        <v>-1.994299925729027</v>
      </c>
      <c r="AW133">
        <f t="shared" si="94"/>
        <v>-102736.14018267527</v>
      </c>
      <c r="AX133">
        <f t="shared" si="95"/>
        <v>-50582.777534845773</v>
      </c>
      <c r="AY133">
        <f t="shared" si="103"/>
        <v>-2.6840787465727418</v>
      </c>
      <c r="BA133">
        <f t="shared" si="80"/>
        <v>13.22946188180121</v>
      </c>
      <c r="BB133">
        <f t="shared" si="96"/>
        <v>22.430843585915888</v>
      </c>
      <c r="BC133">
        <f t="shared" si="97"/>
        <v>0.68977882084371478</v>
      </c>
      <c r="BD133">
        <f t="shared" si="81"/>
        <v>-140.47858472298481</v>
      </c>
      <c r="BF133">
        <f t="shared" si="82"/>
        <v>-1.9229238029725904</v>
      </c>
      <c r="BG133">
        <f t="shared" si="83"/>
        <v>-125.42275729784913</v>
      </c>
      <c r="BH133">
        <f t="shared" si="98"/>
        <v>54.577242702150869</v>
      </c>
      <c r="BI133">
        <f t="shared" si="99"/>
        <v>54.577242702150869</v>
      </c>
      <c r="BJ133">
        <f t="shared" si="84"/>
        <v>0</v>
      </c>
      <c r="BK133">
        <f t="shared" si="100"/>
        <v>0</v>
      </c>
      <c r="BM133">
        <f t="shared" si="101"/>
        <v>-24.353767388888482</v>
      </c>
      <c r="BN133">
        <f t="shared" si="85"/>
        <v>-164.94417257486435</v>
      </c>
      <c r="BQ133" s="47">
        <f t="shared" si="102"/>
        <v>39.332804386201026</v>
      </c>
      <c r="BR133" s="529"/>
      <c r="BS133" s="529"/>
      <c r="BT133" s="529">
        <v>1698.2439999999999</v>
      </c>
      <c r="BU133" s="529">
        <v>10.580500000000001</v>
      </c>
      <c r="BV133" s="529">
        <v>-256.31299999999999</v>
      </c>
      <c r="BW133" s="49"/>
      <c r="BY133" s="529"/>
      <c r="BZ133" s="529"/>
      <c r="CA133" s="529"/>
      <c r="CC133" s="529"/>
    </row>
    <row r="134" spans="1:81">
      <c r="A134">
        <f t="shared" si="106"/>
        <v>50000</v>
      </c>
      <c r="B134">
        <f t="shared" si="86"/>
        <v>50</v>
      </c>
      <c r="C134">
        <f t="shared" si="55"/>
        <v>1.0310991552816915</v>
      </c>
      <c r="D134">
        <f t="shared" si="56"/>
        <v>0.24622760133479119</v>
      </c>
      <c r="F134">
        <f t="shared" si="57"/>
        <v>3.8407345322372826E-3</v>
      </c>
      <c r="G134">
        <f t="shared" si="58"/>
        <v>1.8720956388469288E-2</v>
      </c>
      <c r="H134">
        <f t="shared" si="59"/>
        <v>-3.1228716936115308</v>
      </c>
      <c r="J134">
        <f t="shared" si="60"/>
        <v>15</v>
      </c>
      <c r="M134">
        <f t="shared" si="61"/>
        <v>3.0119536359719302E-2</v>
      </c>
      <c r="N134">
        <f t="shared" si="62"/>
        <v>-1.5707963250000001</v>
      </c>
      <c r="O134">
        <f t="shared" si="63"/>
        <v>24.383565245163506</v>
      </c>
      <c r="P134">
        <f t="shared" si="64"/>
        <v>1.5297735919124997</v>
      </c>
      <c r="Q134">
        <f t="shared" si="65"/>
        <v>19.040202386570478</v>
      </c>
      <c r="R134">
        <f t="shared" si="66"/>
        <v>1.518251701258339</v>
      </c>
      <c r="S134">
        <f t="shared" si="67"/>
        <v>0.96590372954115722</v>
      </c>
      <c r="T134">
        <f t="shared" si="68"/>
        <v>-0.26188474948017837</v>
      </c>
      <c r="U134">
        <f t="shared" si="69"/>
        <v>0.9227154821512541</v>
      </c>
      <c r="V134">
        <f t="shared" si="70"/>
        <v>-0.39572980887957931</v>
      </c>
      <c r="X134">
        <f t="shared" si="87"/>
        <v>-2.6115064002464599</v>
      </c>
      <c r="Y134">
        <f t="shared" si="71"/>
        <v>-117.85911927309176</v>
      </c>
      <c r="Z134">
        <f t="shared" si="88"/>
        <v>62.140880726908236</v>
      </c>
      <c r="AC134">
        <v>1</v>
      </c>
      <c r="AD134">
        <f t="shared" si="72"/>
        <v>24.363051000750001</v>
      </c>
      <c r="AE134">
        <f t="shared" si="73"/>
        <v>-6.2761801203535712E-4</v>
      </c>
      <c r="AF134">
        <f t="shared" si="74"/>
        <v>1.5023096052300001E-3</v>
      </c>
      <c r="AG134">
        <f t="shared" si="89"/>
        <v>13570.508826280273</v>
      </c>
      <c r="AH134">
        <f t="shared" si="90"/>
        <v>-6334.9763182811084</v>
      </c>
      <c r="AJ134">
        <f t="shared" si="75"/>
        <v>22100</v>
      </c>
      <c r="AK134">
        <f t="shared" si="76"/>
        <v>5923.6991362458002</v>
      </c>
      <c r="AL134">
        <v>1</v>
      </c>
      <c r="AM134">
        <f t="shared" si="77"/>
        <v>19.013924027448002</v>
      </c>
      <c r="AN134">
        <f t="shared" si="91"/>
        <v>371.64654764638738</v>
      </c>
      <c r="AO134">
        <f t="shared" si="92"/>
        <v>-1142.7600857659436</v>
      </c>
      <c r="AQ134">
        <f t="shared" si="78"/>
        <v>0.99990000999900008</v>
      </c>
      <c r="AR134">
        <f t="shared" si="79"/>
        <v>-99.990000999900005</v>
      </c>
      <c r="AT134">
        <f t="shared" si="104"/>
        <v>-619865.13648818166</v>
      </c>
      <c r="AU134">
        <f t="shared" si="105"/>
        <v>-1363249.5339929091</v>
      </c>
      <c r="AV134">
        <f t="shared" si="93"/>
        <v>-1.9975492038702074</v>
      </c>
      <c r="AW134">
        <f t="shared" si="94"/>
        <v>-100472.47382652594</v>
      </c>
      <c r="AX134">
        <f t="shared" si="95"/>
        <v>-50024.605580105301</v>
      </c>
      <c r="AY134">
        <f t="shared" si="103"/>
        <v>-2.6796315530102901</v>
      </c>
      <c r="BA134">
        <f t="shared" si="80"/>
        <v>13.342806976246967</v>
      </c>
      <c r="BB134">
        <f t="shared" si="96"/>
        <v>22.504944066959016</v>
      </c>
      <c r="BC134">
        <f t="shared" si="97"/>
        <v>0.6820823491400827</v>
      </c>
      <c r="BD134">
        <f t="shared" si="81"/>
        <v>-140.91956006924869</v>
      </c>
      <c r="BF134">
        <f t="shared" si="82"/>
        <v>-2.0189363266491487</v>
      </c>
      <c r="BG134">
        <f t="shared" si="83"/>
        <v>-125.73912590628142</v>
      </c>
      <c r="BH134">
        <f t="shared" si="98"/>
        <v>54.260874093718584</v>
      </c>
      <c r="BI134">
        <f t="shared" si="99"/>
        <v>54.260874093718584</v>
      </c>
      <c r="BJ134">
        <f t="shared" si="84"/>
        <v>0</v>
      </c>
      <c r="BK134">
        <f t="shared" si="100"/>
        <v>0</v>
      </c>
      <c r="BM134">
        <f t="shared" si="101"/>
        <v>-24.523880393608163</v>
      </c>
      <c r="BN134">
        <f t="shared" si="85"/>
        <v>-164.81956583703271</v>
      </c>
      <c r="BQ134" s="47">
        <f t="shared" si="102"/>
        <v>39.406904867244151</v>
      </c>
      <c r="BR134" s="529"/>
      <c r="BS134" s="529"/>
      <c r="BT134" s="529">
        <v>1737.8009999999999</v>
      </c>
      <c r="BU134" s="529">
        <v>10.4643</v>
      </c>
      <c r="BV134" s="529">
        <v>-256.37900000000002</v>
      </c>
      <c r="BW134" s="49"/>
      <c r="BY134" s="529"/>
      <c r="BZ134" s="529"/>
      <c r="CA134" s="529"/>
      <c r="CC134" s="529"/>
    </row>
    <row r="135" spans="1:81">
      <c r="A135">
        <f t="shared" si="106"/>
        <v>50500</v>
      </c>
      <c r="B135">
        <f t="shared" si="86"/>
        <v>50.5</v>
      </c>
      <c r="C135">
        <f t="shared" si="55"/>
        <v>1.031714637838328</v>
      </c>
      <c r="D135">
        <f t="shared" si="56"/>
        <v>0.24859014715326763</v>
      </c>
      <c r="F135">
        <f t="shared" si="57"/>
        <v>3.7647798982559659E-3</v>
      </c>
      <c r="G135">
        <f t="shared" si="58"/>
        <v>1.8534215252573445E-2</v>
      </c>
      <c r="H135">
        <f t="shared" si="59"/>
        <v>-3.1230584347474268</v>
      </c>
      <c r="J135">
        <f t="shared" si="60"/>
        <v>15</v>
      </c>
      <c r="M135">
        <f t="shared" si="61"/>
        <v>2.9821323128434954E-2</v>
      </c>
      <c r="N135">
        <f t="shared" si="62"/>
        <v>-1.5707963250000001</v>
      </c>
      <c r="O135">
        <f t="shared" si="63"/>
        <v>24.626992812194004</v>
      </c>
      <c r="P135">
        <f t="shared" si="64"/>
        <v>1.5301793088104729</v>
      </c>
      <c r="Q135">
        <f t="shared" si="65"/>
        <v>19.230081798855871</v>
      </c>
      <c r="R135">
        <f t="shared" si="66"/>
        <v>1.5187710021661973</v>
      </c>
      <c r="S135">
        <f t="shared" si="67"/>
        <v>0.96525370395022736</v>
      </c>
      <c r="T135">
        <f t="shared" si="68"/>
        <v>-0.26438380837282333</v>
      </c>
      <c r="U135">
        <f t="shared" si="69"/>
        <v>0.92134058609400138</v>
      </c>
      <c r="V135">
        <f t="shared" si="70"/>
        <v>-0.39928141567591091</v>
      </c>
      <c r="X135">
        <f t="shared" si="87"/>
        <v>-2.7125690869599133</v>
      </c>
      <c r="Y135">
        <f t="shared" si="71"/>
        <v>-118.02813283890265</v>
      </c>
      <c r="Z135">
        <f t="shared" si="88"/>
        <v>61.97186716109735</v>
      </c>
      <c r="AC135">
        <v>1</v>
      </c>
      <c r="AD135">
        <f t="shared" si="72"/>
        <v>24.606681510757504</v>
      </c>
      <c r="AE135">
        <f t="shared" si="73"/>
        <v>-6.4023313407726788E-4</v>
      </c>
      <c r="AF135">
        <f t="shared" si="74"/>
        <v>1.5173327012823002E-3</v>
      </c>
      <c r="AG135">
        <f t="shared" si="89"/>
        <v>13530.097369669233</v>
      </c>
      <c r="AH135">
        <f t="shared" si="90"/>
        <v>-6368.0276811988615</v>
      </c>
      <c r="AJ135">
        <f t="shared" si="75"/>
        <v>22100</v>
      </c>
      <c r="AK135">
        <f t="shared" si="76"/>
        <v>5982.9361276082582</v>
      </c>
      <c r="AL135">
        <v>1</v>
      </c>
      <c r="AM135">
        <f t="shared" si="77"/>
        <v>19.204063267722479</v>
      </c>
      <c r="AN135">
        <f t="shared" si="91"/>
        <v>370.46551851119949</v>
      </c>
      <c r="AO135">
        <f t="shared" si="92"/>
        <v>-1131.5071283904299</v>
      </c>
      <c r="AQ135">
        <f t="shared" si="78"/>
        <v>0.98019996079200156</v>
      </c>
      <c r="AR135">
        <f t="shared" si="79"/>
        <v>-99.000196039992161</v>
      </c>
      <c r="AT135">
        <f t="shared" si="104"/>
        <v>-617173.78791552223</v>
      </c>
      <c r="AU135">
        <f t="shared" si="105"/>
        <v>-1345724.2325208697</v>
      </c>
      <c r="AV135">
        <f t="shared" si="93"/>
        <v>-2.0007940938672428</v>
      </c>
      <c r="AW135">
        <f t="shared" si="94"/>
        <v>-98276.704013952767</v>
      </c>
      <c r="AX135">
        <f t="shared" si="95"/>
        <v>-49482.073733611651</v>
      </c>
      <c r="AY135">
        <f t="shared" si="103"/>
        <v>-2.6751509692815412</v>
      </c>
      <c r="BA135">
        <f t="shared" si="80"/>
        <v>13.455308914246087</v>
      </c>
      <c r="BB135">
        <f t="shared" si="96"/>
        <v>22.577873459628151</v>
      </c>
      <c r="BC135">
        <f t="shared" si="97"/>
        <v>0.67435687541429834</v>
      </c>
      <c r="BD135">
        <f t="shared" si="81"/>
        <v>-141.36219710898109</v>
      </c>
      <c r="BF135">
        <f t="shared" si="82"/>
        <v>-2.1143176940908619</v>
      </c>
      <c r="BG135">
        <f t="shared" si="83"/>
        <v>-126.05709852051473</v>
      </c>
      <c r="BH135">
        <f t="shared" si="98"/>
        <v>53.942901479485272</v>
      </c>
      <c r="BI135">
        <f t="shared" si="99"/>
        <v>53.942901479485272</v>
      </c>
      <c r="BJ135">
        <f t="shared" si="84"/>
        <v>0</v>
      </c>
      <c r="BK135">
        <f t="shared" si="100"/>
        <v>0</v>
      </c>
      <c r="BM135">
        <f t="shared" si="101"/>
        <v>-24.692191153719016</v>
      </c>
      <c r="BN135">
        <f t="shared" si="85"/>
        <v>-164.69490141153364</v>
      </c>
      <c r="BQ135" s="47">
        <f t="shared" si="102"/>
        <v>39.479834259913289</v>
      </c>
      <c r="BR135" s="529"/>
      <c r="BS135" s="529"/>
      <c r="BT135" s="529">
        <v>1778.279</v>
      </c>
      <c r="BU135" s="529">
        <v>10.213699999999999</v>
      </c>
      <c r="BV135" s="529">
        <v>-256.01499999999999</v>
      </c>
      <c r="BW135" s="49"/>
      <c r="BY135" s="529"/>
      <c r="BZ135" s="529"/>
      <c r="CA135" s="529"/>
      <c r="CC135" s="529"/>
    </row>
    <row r="136" spans="1:81">
      <c r="A136">
        <f t="shared" si="106"/>
        <v>51000</v>
      </c>
      <c r="B136">
        <f t="shared" si="86"/>
        <v>51</v>
      </c>
      <c r="C136">
        <f t="shared" si="55"/>
        <v>1.0323358721514677</v>
      </c>
      <c r="D136">
        <f t="shared" si="56"/>
        <v>0.25094986268581249</v>
      </c>
      <c r="F136">
        <f t="shared" si="57"/>
        <v>3.6910589424809029E-3</v>
      </c>
      <c r="G136">
        <f t="shared" si="58"/>
        <v>1.8351176039244063E-2</v>
      </c>
      <c r="H136">
        <f t="shared" si="59"/>
        <v>-3.1232414739607561</v>
      </c>
      <c r="J136">
        <f t="shared" si="60"/>
        <v>15</v>
      </c>
      <c r="M136">
        <f t="shared" si="61"/>
        <v>2.9528957215411083E-2</v>
      </c>
      <c r="N136">
        <f t="shared" si="62"/>
        <v>-1.5707963250000001</v>
      </c>
      <c r="O136">
        <f t="shared" si="63"/>
        <v>24.870424353624884</v>
      </c>
      <c r="P136">
        <f t="shared" si="64"/>
        <v>1.5305770834644803</v>
      </c>
      <c r="Q136">
        <f t="shared" si="65"/>
        <v>19.419966295573108</v>
      </c>
      <c r="R136">
        <f t="shared" si="66"/>
        <v>1.5192801479709557</v>
      </c>
      <c r="S136">
        <f t="shared" si="67"/>
        <v>0.96459854063598938</v>
      </c>
      <c r="T136">
        <f t="shared" si="68"/>
        <v>-0.26687949037539455</v>
      </c>
      <c r="U136">
        <f t="shared" si="69"/>
        <v>0.91995822883782852</v>
      </c>
      <c r="V136">
        <f t="shared" si="70"/>
        <v>-0.40282240953598314</v>
      </c>
      <c r="X136">
        <f t="shared" si="87"/>
        <v>-2.812845097229224</v>
      </c>
      <c r="Y136">
        <f t="shared" si="71"/>
        <v>-118.19733180721549</v>
      </c>
      <c r="Z136">
        <f t="shared" si="88"/>
        <v>61.802668192784509</v>
      </c>
      <c r="AC136">
        <v>1</v>
      </c>
      <c r="AD136">
        <f t="shared" si="72"/>
        <v>24.850312020765003</v>
      </c>
      <c r="AE136">
        <f t="shared" si="73"/>
        <v>-6.5297377972158563E-4</v>
      </c>
      <c r="AF136">
        <f t="shared" si="74"/>
        <v>1.5323557973346E-3</v>
      </c>
      <c r="AG136">
        <f t="shared" si="89"/>
        <v>13489.527362289125</v>
      </c>
      <c r="AH136">
        <f t="shared" si="90"/>
        <v>-6400.8030546641858</v>
      </c>
      <c r="AJ136">
        <f t="shared" si="75"/>
        <v>22100</v>
      </c>
      <c r="AK136">
        <f t="shared" si="76"/>
        <v>6042.1731189707161</v>
      </c>
      <c r="AL136">
        <v>1</v>
      </c>
      <c r="AM136">
        <f t="shared" si="77"/>
        <v>19.394202507996962</v>
      </c>
      <c r="AN136">
        <f t="shared" si="91"/>
        <v>369.31893215632283</v>
      </c>
      <c r="AO136">
        <f t="shared" si="92"/>
        <v>-1120.4730413061995</v>
      </c>
      <c r="AQ136">
        <f t="shared" si="78"/>
        <v>0.96107640557424312</v>
      </c>
      <c r="AR136">
        <f t="shared" si="79"/>
        <v>-98.029793368572797</v>
      </c>
      <c r="AT136">
        <f t="shared" si="104"/>
        <v>-614504.93437141553</v>
      </c>
      <c r="AU136">
        <f t="shared" si="105"/>
        <v>-1328527.240757477</v>
      </c>
      <c r="AV136">
        <f t="shared" si="93"/>
        <v>-2.0040343721820002</v>
      </c>
      <c r="AW136">
        <f t="shared" si="94"/>
        <v>-96146.197064583204</v>
      </c>
      <c r="AX136">
        <f t="shared" si="95"/>
        <v>-48954.548519334843</v>
      </c>
      <c r="AY136">
        <f t="shared" si="103"/>
        <v>-2.670637724642011</v>
      </c>
      <c r="BA136">
        <f t="shared" si="80"/>
        <v>13.566950324339778</v>
      </c>
      <c r="BB136">
        <f t="shared" si="96"/>
        <v>22.649644696510663</v>
      </c>
      <c r="BC136">
        <f t="shared" si="97"/>
        <v>0.66660335246001079</v>
      </c>
      <c r="BD136">
        <f t="shared" si="81"/>
        <v>-141.80644125112721</v>
      </c>
      <c r="BF136">
        <f t="shared" si="82"/>
        <v>-2.2090901385449695</v>
      </c>
      <c r="BG136">
        <f t="shared" si="83"/>
        <v>-126.3766282960612</v>
      </c>
      <c r="BH136">
        <f t="shared" si="98"/>
        <v>53.623371703938801</v>
      </c>
      <c r="BI136">
        <f t="shared" si="99"/>
        <v>53.623371703938801</v>
      </c>
      <c r="BJ136">
        <f t="shared" si="84"/>
        <v>0</v>
      </c>
      <c r="BK136">
        <f t="shared" si="100"/>
        <v>0</v>
      </c>
      <c r="BM136">
        <f t="shared" si="101"/>
        <v>-24.858734835055635</v>
      </c>
      <c r="BN136">
        <f t="shared" si="85"/>
        <v>-164.57018704493399</v>
      </c>
      <c r="BQ136" s="47">
        <f t="shared" si="102"/>
        <v>39.551605496795801</v>
      </c>
      <c r="BR136" s="529"/>
      <c r="BS136" s="529"/>
      <c r="BT136" s="529">
        <v>1819.701</v>
      </c>
      <c r="BU136" s="529">
        <v>10.045199999999999</v>
      </c>
      <c r="BV136" s="529">
        <v>-255.833</v>
      </c>
      <c r="BW136" s="49"/>
      <c r="BY136" s="529"/>
      <c r="BZ136" s="529"/>
      <c r="CA136" s="529"/>
      <c r="CC136" s="529"/>
    </row>
    <row r="137" spans="1:81">
      <c r="A137">
        <f t="shared" si="106"/>
        <v>51500</v>
      </c>
      <c r="B137">
        <f t="shared" si="86"/>
        <v>51.5</v>
      </c>
      <c r="C137">
        <f t="shared" ref="C137:C200" si="107">SQRT((A137/Fesr)^2+1)</f>
        <v>1.0329628478436168</v>
      </c>
      <c r="D137">
        <f t="shared" ref="D137:D200" si="108">ATAN(A137/Fesr)</f>
        <v>0.25330672678376742</v>
      </c>
      <c r="F137">
        <f t="shared" ref="F137:F200" si="109">(Ro/(Ro+Rdcr))/SQRT((A137/(Q*Fo))^2+(1-(A137^2/Fo^2))^2)</f>
        <v>3.6194848317601756E-3</v>
      </c>
      <c r="G137">
        <f t="shared" ref="G137:G200" si="110">-ATAN(A137*Fo/(Q*(Fo^2-A137^2)))</f>
        <v>1.8171729372984367E-2</v>
      </c>
      <c r="H137">
        <f t="shared" ref="H137:H200" si="111">IF(G137&gt;0,G137-Pi,G137)</f>
        <v>-3.1234209206270158</v>
      </c>
      <c r="J137">
        <f t="shared" ref="J137:J200" si="112">Vin/Vramp</f>
        <v>15</v>
      </c>
      <c r="M137">
        <f t="shared" ref="M137:M200" si="113">1/(2*Pi*_Rfb1*(Cc1ea_u+Cc2ea_u)*A137)</f>
        <v>2.9242268310407091E-2</v>
      </c>
      <c r="N137">
        <f t="shared" ref="N137:N200" si="114">-Pi/2</f>
        <v>-1.5707963250000001</v>
      </c>
      <c r="O137">
        <f t="shared" ref="O137:O200" si="115">SQRT(1+(A137/Fz1_u)^2)</f>
        <v>25.113859753883172</v>
      </c>
      <c r="P137">
        <f t="shared" ref="P137:P200" si="116">ATAN2(Fz1_u,A137)</f>
        <v>1.530967146705702</v>
      </c>
      <c r="Q137">
        <f t="shared" ref="Q137:Q200" si="117">SQRT(1+(A137/Fz2_u)^2)</f>
        <v>19.60985572902278</v>
      </c>
      <c r="R137">
        <f t="shared" ref="R137:R200" si="118">ATAN2(Fz2_u,A137)</f>
        <v>1.5197794334115076</v>
      </c>
      <c r="S137">
        <f t="shared" ref="S137:S200" si="119">1/SQRT(1+(A137/Fp1_u)^2)</f>
        <v>0.96393827451148673</v>
      </c>
      <c r="T137">
        <f t="shared" ref="T137:T200" si="120">-ATAN2(Fp1_u,A137)</f>
        <v>-0.26937177130282419</v>
      </c>
      <c r="U137">
        <f t="shared" ref="U137:U200" si="121">1/SQRT(1+(A137/Fp2_u)^2)</f>
        <v>0.91856854767671492</v>
      </c>
      <c r="V137">
        <f t="shared" ref="V137:V200" si="122">-ATAN2(Fp2_u,A137)</f>
        <v>-0.40635274955967349</v>
      </c>
      <c r="X137">
        <f t="shared" si="87"/>
        <v>-2.9123512346224372</v>
      </c>
      <c r="Y137">
        <f t="shared" ref="Y137:Y200" si="123">(180/Pi)*(D137+H137+N137+P137+R137+T137+V137)</f>
        <v>-118.36668981445969</v>
      </c>
      <c r="Z137">
        <f t="shared" si="88"/>
        <v>61.63331018554031</v>
      </c>
      <c r="AC137">
        <v>1</v>
      </c>
      <c r="AD137">
        <f t="shared" ref="AD137:AD200" si="124">Rcea1_u*Cc1ea_u*A137*2*Pi</f>
        <v>25.093942530772502</v>
      </c>
      <c r="AE137">
        <f t="shared" ref="AE137:AE200" si="125">-Rcea1_u*Cc1ea_u*Cc2ea_u*(A137*2*Pi)^2</f>
        <v>-6.6583994896831039E-4</v>
      </c>
      <c r="AF137">
        <f t="shared" ref="AF137:AF200" si="126">(Cc2ea_u+Cc1ea_u)*A137*2*Pi</f>
        <v>1.5473788933869003E-3</v>
      </c>
      <c r="AG137">
        <f t="shared" si="89"/>
        <v>13448.803810766292</v>
      </c>
      <c r="AH137">
        <f t="shared" si="90"/>
        <v>-6433.2988420544534</v>
      </c>
      <c r="AJ137">
        <f t="shared" ref="AJ137:AJ200" si="127">_Rfb1</f>
        <v>22100</v>
      </c>
      <c r="AK137">
        <f t="shared" ref="AK137:AK200" si="128">_Rfb1*Rcea2_u*Cc3ea_u*A137*2*Pi</f>
        <v>6101.4101103331741</v>
      </c>
      <c r="AL137">
        <v>1</v>
      </c>
      <c r="AM137">
        <f t="shared" ref="AM137:AM200" si="129">(_Rfb1+Rcea2_u)*Cc3ea_u*A137*2*Pi</f>
        <v>19.584341748271438</v>
      </c>
      <c r="AN137">
        <f t="shared" si="91"/>
        <v>368.20546334106024</v>
      </c>
      <c r="AO137">
        <f t="shared" si="92"/>
        <v>-1109.6515173187804</v>
      </c>
      <c r="AQ137">
        <f t="shared" ref="AQ137:AQ200" si="130">Eadcg/(1+(Eadcg*A137/GBP)^2)</f>
        <v>0.94250706880301605</v>
      </c>
      <c r="AR137">
        <f t="shared" ref="AR137:AR200" si="131">-(A137*Eadcg*Eadcg/GBP)/(1+(Eadcg*A137/GBP)^2)</f>
        <v>-97.078228086710652</v>
      </c>
      <c r="AT137">
        <f t="shared" si="104"/>
        <v>-611857.6596803416</v>
      </c>
      <c r="AU137">
        <f t="shared" si="105"/>
        <v>-1311649.4734693521</v>
      </c>
      <c r="AV137">
        <f t="shared" si="93"/>
        <v>-2.007269823609656</v>
      </c>
      <c r="AW137">
        <f t="shared" si="94"/>
        <v>-94078.445492504368</v>
      </c>
      <c r="AX137">
        <f t="shared" si="95"/>
        <v>-48441.428847656949</v>
      </c>
      <c r="AY137">
        <f t="shared" si="103"/>
        <v>-2.6660925475775459</v>
      </c>
      <c r="BA137">
        <f t="shared" ref="BA137:BA200" si="132">SQRT(AT137^2+AU137^2)/SQRT(AW137^2+AX137^2)</f>
        <v>13.67771388793933</v>
      </c>
      <c r="BB137">
        <f t="shared" si="96"/>
        <v>22.720270297358624</v>
      </c>
      <c r="BC137">
        <f t="shared" si="97"/>
        <v>0.65882272396788988</v>
      </c>
      <c r="BD137">
        <f t="shared" ref="BD137:BD200" si="133">BC137*180/Pi-180</f>
        <v>-142.25223842619437</v>
      </c>
      <c r="BF137">
        <f t="shared" ref="BF137:BF200" si="134">20*LOG(BA137*J137*F137*C137)</f>
        <v>-2.3032752681396125</v>
      </c>
      <c r="BG137">
        <f t="shared" ref="BG137:BG200" si="135">(180/Pi)*(D137+H137+BC137)</f>
        <v>-126.69766864191143</v>
      </c>
      <c r="BH137">
        <f t="shared" si="98"/>
        <v>53.302331358088566</v>
      </c>
      <c r="BI137">
        <f t="shared" si="99"/>
        <v>53.302331358088566</v>
      </c>
      <c r="BJ137">
        <f t="shared" ref="BJ137:BJ200" si="136">SUM((BF138&lt;0)*(BF137&gt;0))*A137</f>
        <v>0</v>
      </c>
      <c r="BK137">
        <f t="shared" si="100"/>
        <v>0</v>
      </c>
      <c r="BM137">
        <f t="shared" si="101"/>
        <v>-25.023545565498235</v>
      </c>
      <c r="BN137">
        <f t="shared" ref="BN137:BN200" si="137">(H137+D137)*180/Pi</f>
        <v>-164.44543021571707</v>
      </c>
      <c r="BQ137" s="47">
        <f t="shared" si="102"/>
        <v>39.622231097643756</v>
      </c>
      <c r="BR137" s="529"/>
      <c r="BS137" s="529"/>
      <c r="BT137" s="529">
        <v>1862.087</v>
      </c>
      <c r="BU137" s="529">
        <v>9.8767200000000006</v>
      </c>
      <c r="BV137" s="529">
        <v>-255.47</v>
      </c>
      <c r="BW137" s="49"/>
      <c r="BY137" s="529"/>
      <c r="BZ137" s="529"/>
      <c r="CA137" s="529"/>
      <c r="CC137" s="529"/>
    </row>
    <row r="138" spans="1:81">
      <c r="A138">
        <f t="shared" si="106"/>
        <v>52000</v>
      </c>
      <c r="B138">
        <f t="shared" ref="B138:B201" si="138">A138/1000</f>
        <v>52</v>
      </c>
      <c r="C138">
        <f t="shared" si="107"/>
        <v>1.0335955544666702</v>
      </c>
      <c r="D138">
        <f t="shared" si="108"/>
        <v>0.25566071847626559</v>
      </c>
      <c r="F138">
        <f t="shared" si="109"/>
        <v>3.5499749164858104E-3</v>
      </c>
      <c r="G138">
        <f t="shared" si="110"/>
        <v>1.7995770159118768E-2</v>
      </c>
      <c r="H138">
        <f t="shared" si="111"/>
        <v>-3.1235968798408815</v>
      </c>
      <c r="J138">
        <f t="shared" si="112"/>
        <v>15</v>
      </c>
      <c r="M138">
        <f t="shared" si="113"/>
        <v>2.8961092653576249E-2</v>
      </c>
      <c r="N138">
        <f t="shared" si="114"/>
        <v>-1.5707963250000001</v>
      </c>
      <c r="O138">
        <f t="shared" si="115"/>
        <v>25.357298901832223</v>
      </c>
      <c r="P138">
        <f t="shared" si="116"/>
        <v>1.5313497205106699</v>
      </c>
      <c r="Q138">
        <f t="shared" si="117"/>
        <v>19.799749957167741</v>
      </c>
      <c r="R138">
        <f t="shared" si="118"/>
        <v>1.5202691419398</v>
      </c>
      <c r="S138">
        <f t="shared" si="119"/>
        <v>0.96327294062979152</v>
      </c>
      <c r="T138">
        <f t="shared" si="120"/>
        <v>-0.27186062720491955</v>
      </c>
      <c r="U138">
        <f t="shared" si="121"/>
        <v>0.91717167943281885</v>
      </c>
      <c r="V138">
        <f t="shared" si="122"/>
        <v>-0.40987239615482768</v>
      </c>
      <c r="X138">
        <f t="shared" ref="X138:X201" si="139">20*LOG(C138*J138*O138*Q138*F138*M138*S138*U138)</f>
        <v>-3.0111037661006419</v>
      </c>
      <c r="Y138">
        <f t="shared" si="123"/>
        <v>-118.53618148403191</v>
      </c>
      <c r="Z138">
        <f t="shared" ref="Z138:Z201" si="140">Y138+180</f>
        <v>61.463818515968086</v>
      </c>
      <c r="AC138">
        <v>1</v>
      </c>
      <c r="AD138">
        <f t="shared" si="124"/>
        <v>25.337573040780004</v>
      </c>
      <c r="AE138">
        <f t="shared" si="125"/>
        <v>-6.7883164181744237E-4</v>
      </c>
      <c r="AF138">
        <f t="shared" si="126"/>
        <v>1.5624019894392002E-3</v>
      </c>
      <c r="AG138">
        <f t="shared" ref="AG138:AG201" si="141">AC138*AE138/(AE138^2+AF138^2)+AD138*AF138/(AE138^2+AF138^2)</f>
        <v>13407.931688798062</v>
      </c>
      <c r="AH138">
        <f t="shared" ref="AH138:AH201" si="142">AD138*AE138/(AE138^2+AF138^2)-AC138*AF138/(AE138^2+AF138^2)</f>
        <v>-6465.5116608682501</v>
      </c>
      <c r="AJ138">
        <f t="shared" si="127"/>
        <v>22100</v>
      </c>
      <c r="AK138">
        <f t="shared" si="128"/>
        <v>6160.647101695632</v>
      </c>
      <c r="AL138">
        <v>1</v>
      </c>
      <c r="AM138">
        <f t="shared" si="129"/>
        <v>19.774480988545921</v>
      </c>
      <c r="AN138">
        <f t="shared" ref="AN138:AN201" si="143">AJ138*AL138/(AL138^2+AM138^2)+AK138*AM138/(AL138^2+AM138^2)</f>
        <v>367.12384990174866</v>
      </c>
      <c r="AO138">
        <f t="shared" ref="AO138:AO201" si="144">AK138*AL138/(AL138^2+AM138^2)-AJ138*AM138/(AL138^2+AM138^2)</f>
        <v>-1099.0364886282832</v>
      </c>
      <c r="AQ138">
        <f t="shared" si="130"/>
        <v>0.92447074050106315</v>
      </c>
      <c r="AR138">
        <f t="shared" si="131"/>
        <v>-96.144957012110567</v>
      </c>
      <c r="AT138">
        <f t="shared" si="104"/>
        <v>-609231.1001585467</v>
      </c>
      <c r="AU138">
        <f t="shared" si="105"/>
        <v>-1295082.1921936458</v>
      </c>
      <c r="AV138">
        <f t="shared" ref="AV138:AV201" si="145">ATAN2(AT138,AU138)</f>
        <v>-2.0105002409342485</v>
      </c>
      <c r="AW138">
        <f t="shared" ref="AW138:AW201" si="146">AG138-AH138*AO138/_Rfb2+AG138*AN138/_Rfb2+AN138-AO138*AR138+AQ138*AN138</f>
        <v>-92071.060818181882</v>
      </c>
      <c r="AX138">
        <f t="shared" ref="AX138:AX201" si="147">AH138+AH138*AN138/_Rfb2+AG138*AO138/_Rfb2+AO138+AO138*AQ138+AN138*AR138</f>
        <v>-47942.144024648187</v>
      </c>
      <c r="AY138">
        <f t="shared" si="103"/>
        <v>-2.6615161663084335</v>
      </c>
      <c r="BA138">
        <f t="shared" si="132"/>
        <v>13.78758235394946</v>
      </c>
      <c r="BB138">
        <f t="shared" ref="BB138:BB201" si="148">20*LOG(BA138)</f>
        <v>22.789762390392315</v>
      </c>
      <c r="BC138">
        <f t="shared" ref="BC138:BC201" si="149">AV138-AY138</f>
        <v>0.65101592537418496</v>
      </c>
      <c r="BD138">
        <f t="shared" si="133"/>
        <v>-142.69953503763344</v>
      </c>
      <c r="BF138">
        <f t="shared" si="134"/>
        <v>-2.3968940854198131</v>
      </c>
      <c r="BG138">
        <f t="shared" si="135"/>
        <v>-127.02017318453987</v>
      </c>
      <c r="BH138">
        <f t="shared" ref="BH138:BH201" si="150">IF(BG138&gt;180,BG138-180,BG138+180)</f>
        <v>52.979826815460129</v>
      </c>
      <c r="BI138">
        <f t="shared" ref="BI138:BI201" si="151">IF(BH138&gt;180,BH138-360,BH138)</f>
        <v>52.979826815460129</v>
      </c>
      <c r="BJ138">
        <f t="shared" si="136"/>
        <v>0</v>
      </c>
      <c r="BK138">
        <f t="shared" ref="BK138:BK201" si="152">IF(BJ138&gt;0,BI138,0)</f>
        <v>0</v>
      </c>
      <c r="BM138">
        <f t="shared" ref="BM138:BM201" si="153">20*LOG(J138*F138*C138)</f>
        <v>-25.186656475812129</v>
      </c>
      <c r="BN138">
        <f t="shared" si="137"/>
        <v>-164.32063814690642</v>
      </c>
      <c r="BQ138" s="47">
        <f t="shared" ref="BQ138:BQ201" si="154">20*LOG(BA138*7)</f>
        <v>39.691723190677457</v>
      </c>
      <c r="BR138" s="529"/>
      <c r="BS138" s="529"/>
      <c r="BT138" s="529">
        <v>1905.461</v>
      </c>
      <c r="BU138" s="529">
        <v>9.7134199999999993</v>
      </c>
      <c r="BV138" s="529">
        <v>-255.059</v>
      </c>
      <c r="BW138" s="49"/>
      <c r="BY138" s="529"/>
      <c r="BZ138" s="529"/>
      <c r="CA138" s="529"/>
      <c r="CC138" s="529"/>
    </row>
    <row r="139" spans="1:81">
      <c r="A139">
        <f t="shared" si="106"/>
        <v>52500</v>
      </c>
      <c r="B139">
        <f t="shared" si="138"/>
        <v>52.5</v>
      </c>
      <c r="C139">
        <f t="shared" si="107"/>
        <v>1.0342339815027042</v>
      </c>
      <c r="D139">
        <f t="shared" si="108"/>
        <v>0.25801181697085707</v>
      </c>
      <c r="F139">
        <f t="shared" si="109"/>
        <v>3.4824504907705494E-3</v>
      </c>
      <c r="G139">
        <f t="shared" si="110"/>
        <v>1.7823197375739071E-2</v>
      </c>
      <c r="H139">
        <f t="shared" si="111"/>
        <v>-3.123769452624261</v>
      </c>
      <c r="J139">
        <f t="shared" si="112"/>
        <v>15</v>
      </c>
      <c r="M139">
        <f t="shared" si="113"/>
        <v>2.8685272723542189E-2</v>
      </c>
      <c r="N139">
        <f t="shared" si="114"/>
        <v>-1.5707963250000001</v>
      </c>
      <c r="O139">
        <f t="shared" si="115"/>
        <v>25.600741690560906</v>
      </c>
      <c r="P139">
        <f t="shared" si="116"/>
        <v>1.5317250184215967</v>
      </c>
      <c r="Q139">
        <f t="shared" si="117"/>
        <v>19.989648843364524</v>
      </c>
      <c r="R139">
        <f t="shared" si="118"/>
        <v>1.5207495462555478</v>
      </c>
      <c r="S139">
        <f t="shared" si="119"/>
        <v>0.96260257417940787</v>
      </c>
      <c r="T139">
        <f t="shared" si="120"/>
        <v>-0.27434603436699406</v>
      </c>
      <c r="U139">
        <f t="shared" si="121"/>
        <v>0.91576776043078778</v>
      </c>
      <c r="V139">
        <f t="shared" si="122"/>
        <v>-0.41338131102850201</v>
      </c>
      <c r="X139">
        <f t="shared" si="139"/>
        <v>-3.1091184437665524</v>
      </c>
      <c r="Y139">
        <f t="shared" si="123"/>
        <v>-118.7057823829948</v>
      </c>
      <c r="Z139">
        <f t="shared" si="140"/>
        <v>61.294217617005202</v>
      </c>
      <c r="AC139">
        <v>1</v>
      </c>
      <c r="AD139">
        <f t="shared" si="124"/>
        <v>25.5812035507875</v>
      </c>
      <c r="AE139">
        <f t="shared" si="125"/>
        <v>-6.9194885826898134E-4</v>
      </c>
      <c r="AF139">
        <f t="shared" si="126"/>
        <v>1.5774250854915003E-3</v>
      </c>
      <c r="AG139">
        <f t="shared" si="141"/>
        <v>13366.915936190799</v>
      </c>
      <c r="AH139">
        <f t="shared" si="142"/>
        <v>-6497.4383347220464</v>
      </c>
      <c r="AJ139">
        <f t="shared" si="127"/>
        <v>22100</v>
      </c>
      <c r="AK139">
        <f t="shared" si="128"/>
        <v>6219.88409305809</v>
      </c>
      <c r="AL139">
        <v>1</v>
      </c>
      <c r="AM139">
        <f t="shared" si="129"/>
        <v>19.964620228820401</v>
      </c>
      <c r="AN139">
        <f t="shared" si="143"/>
        <v>366.07288918604041</v>
      </c>
      <c r="AO139">
        <f t="shared" si="144"/>
        <v>-1088.6221156082615</v>
      </c>
      <c r="AQ139">
        <f t="shared" si="130"/>
        <v>0.90694721567204784</v>
      </c>
      <c r="AR139">
        <f t="shared" si="131"/>
        <v>-95.229457645565034</v>
      </c>
      <c r="AT139">
        <f t="shared" si="104"/>
        <v>-606624.44151063322</v>
      </c>
      <c r="AU139">
        <f t="shared" si="105"/>
        <v>-1278816.9886039868</v>
      </c>
      <c r="AV139">
        <f t="shared" si="145"/>
        <v>-2.013725424603086</v>
      </c>
      <c r="AW139">
        <f t="shared" si="146"/>
        <v>-90121.766853266789</v>
      </c>
      <c r="AX139">
        <f t="shared" si="147"/>
        <v>-47456.151903467937</v>
      </c>
      <c r="AY139">
        <f t="shared" ref="AY139:AY202" si="155">ATAN2(AW139,AX139)</f>
        <v>-2.6569093092416196</v>
      </c>
      <c r="BA139">
        <f t="shared" si="132"/>
        <v>13.896538553593828</v>
      </c>
      <c r="BB139">
        <f t="shared" si="148"/>
        <v>22.858132732732756</v>
      </c>
      <c r="BC139">
        <f t="shared" si="149"/>
        <v>0.6431838846385336</v>
      </c>
      <c r="BD139">
        <f t="shared" si="133"/>
        <v>-143.14827791727356</v>
      </c>
      <c r="BF139">
        <f t="shared" si="134"/>
        <v>-2.4899670057594743</v>
      </c>
      <c r="BG139">
        <f t="shared" si="135"/>
        <v>-127.34409573522417</v>
      </c>
      <c r="BH139">
        <f t="shared" si="150"/>
        <v>52.655904264775828</v>
      </c>
      <c r="BI139">
        <f t="shared" si="151"/>
        <v>52.655904264775828</v>
      </c>
      <c r="BJ139">
        <f t="shared" si="136"/>
        <v>0</v>
      </c>
      <c r="BK139">
        <f t="shared" si="152"/>
        <v>0</v>
      </c>
      <c r="BM139">
        <f t="shared" si="153"/>
        <v>-25.34809973849223</v>
      </c>
      <c r="BN139">
        <f t="shared" si="137"/>
        <v>-164.19581781795063</v>
      </c>
      <c r="BQ139" s="47">
        <f t="shared" si="154"/>
        <v>39.760093533017894</v>
      </c>
      <c r="BR139" s="529"/>
      <c r="BS139" s="529"/>
      <c r="BT139" s="529">
        <v>1949.845</v>
      </c>
      <c r="BU139" s="529">
        <v>9.5268499999999996</v>
      </c>
      <c r="BV139" s="529">
        <v>-254.971</v>
      </c>
      <c r="BW139" s="49"/>
      <c r="BY139" s="529"/>
      <c r="BZ139" s="529"/>
      <c r="CA139" s="529"/>
      <c r="CC139" s="529"/>
    </row>
    <row r="140" spans="1:81">
      <c r="A140">
        <f t="shared" si="106"/>
        <v>53000</v>
      </c>
      <c r="B140">
        <f t="shared" si="138"/>
        <v>53</v>
      </c>
      <c r="C140">
        <f t="shared" si="107"/>
        <v>1.0348781183647731</v>
      </c>
      <c r="D140">
        <f t="shared" si="108"/>
        <v>0.26036000165410955</v>
      </c>
      <c r="F140">
        <f t="shared" si="109"/>
        <v>3.4168365685289157E-3</v>
      </c>
      <c r="G140">
        <f t="shared" si="110"/>
        <v>1.7653913877703441E-2</v>
      </c>
      <c r="H140">
        <f t="shared" si="111"/>
        <v>-3.1239387361222968</v>
      </c>
      <c r="J140">
        <f t="shared" si="112"/>
        <v>15</v>
      </c>
      <c r="M140">
        <f t="shared" si="113"/>
        <v>2.8414656943131417E-2</v>
      </c>
      <c r="N140">
        <f t="shared" si="114"/>
        <v>-1.5707963250000001</v>
      </c>
      <c r="O140">
        <f t="shared" si="115"/>
        <v>25.844188017184784</v>
      </c>
      <c r="P140">
        <f t="shared" si="116"/>
        <v>1.5320932459430006</v>
      </c>
      <c r="Q140">
        <f t="shared" si="117"/>
        <v>20.179552256109886</v>
      </c>
      <c r="R140">
        <f t="shared" si="118"/>
        <v>1.5212209088108608</v>
      </c>
      <c r="S140">
        <f t="shared" si="119"/>
        <v>0.96192721047969032</v>
      </c>
      <c r="T140">
        <f t="shared" si="120"/>
        <v>-0.27682796931046399</v>
      </c>
      <c r="U140">
        <f t="shared" si="121"/>
        <v>0.91435692647267286</v>
      </c>
      <c r="V140">
        <f t="shared" si="122"/>
        <v>-0.4168794571779576</v>
      </c>
      <c r="X140">
        <f t="shared" si="139"/>
        <v>-3.2064105255293631</v>
      </c>
      <c r="Y140">
        <f t="shared" si="123"/>
        <v>-118.87546898115338</v>
      </c>
      <c r="Z140">
        <f t="shared" si="140"/>
        <v>61.124531018846625</v>
      </c>
      <c r="AC140">
        <v>1</v>
      </c>
      <c r="AD140">
        <f t="shared" si="124"/>
        <v>25.824834060795002</v>
      </c>
      <c r="AE140">
        <f t="shared" si="125"/>
        <v>-7.0519159832292742E-4</v>
      </c>
      <c r="AF140">
        <f t="shared" si="126"/>
        <v>1.5924481815438002E-3</v>
      </c>
      <c r="AG140">
        <f t="shared" si="141"/>
        <v>13325.76145793015</v>
      </c>
      <c r="AH140">
        <f t="shared" si="142"/>
        <v>-6529.0758857272431</v>
      </c>
      <c r="AJ140">
        <f t="shared" si="127"/>
        <v>22100</v>
      </c>
      <c r="AK140">
        <f t="shared" si="128"/>
        <v>6279.1210844205489</v>
      </c>
      <c r="AL140">
        <v>1</v>
      </c>
      <c r="AM140">
        <f t="shared" si="129"/>
        <v>20.154759469094881</v>
      </c>
      <c r="AN140">
        <f t="shared" si="143"/>
        <v>365.05143471995723</v>
      </c>
      <c r="AO140">
        <f t="shared" si="144"/>
        <v>-1078.402776208181</v>
      </c>
      <c r="AQ140">
        <f t="shared" si="130"/>
        <v>0.88991723769689424</v>
      </c>
      <c r="AR140">
        <f t="shared" si="131"/>
        <v>-94.331227195870781</v>
      </c>
      <c r="AT140">
        <f t="shared" si="104"/>
        <v>-604036.91592876893</v>
      </c>
      <c r="AU140">
        <f t="shared" si="105"/>
        <v>-1262845.768822927</v>
      </c>
      <c r="AV140">
        <f t="shared" si="145"/>
        <v>-2.0169451824187496</v>
      </c>
      <c r="AW140">
        <f t="shared" si="146"/>
        <v>-88228.393423103596</v>
      </c>
      <c r="AX140">
        <f t="shared" si="147"/>
        <v>-46982.937166405638</v>
      </c>
      <c r="AY140">
        <f t="shared" si="155"/>
        <v>-2.6522727053735657</v>
      </c>
      <c r="BA140">
        <f t="shared" si="132"/>
        <v>14.004565415418543</v>
      </c>
      <c r="BB140">
        <f t="shared" si="148"/>
        <v>22.925392730004969</v>
      </c>
      <c r="BC140">
        <f t="shared" si="149"/>
        <v>0.63532752295481609</v>
      </c>
      <c r="BD140">
        <f t="shared" si="133"/>
        <v>-143.59841428459322</v>
      </c>
      <c r="BF140">
        <f t="shared" si="134"/>
        <v>-2.5825138747236851</v>
      </c>
      <c r="BG140">
        <f t="shared" si="135"/>
        <v>-127.6693902605122</v>
      </c>
      <c r="BH140">
        <f t="shared" si="150"/>
        <v>52.330609739487798</v>
      </c>
      <c r="BI140">
        <f t="shared" si="151"/>
        <v>52.330609739487798</v>
      </c>
      <c r="BJ140">
        <f t="shared" si="136"/>
        <v>0</v>
      </c>
      <c r="BK140">
        <f t="shared" si="152"/>
        <v>0</v>
      </c>
      <c r="BM140">
        <f t="shared" si="153"/>
        <v>-25.507906604728653</v>
      </c>
      <c r="BN140">
        <f t="shared" si="137"/>
        <v>-164.07097597591897</v>
      </c>
      <c r="BQ140" s="47">
        <f t="shared" si="154"/>
        <v>39.827353530290111</v>
      </c>
      <c r="BR140" s="529"/>
      <c r="BS140" s="529"/>
      <c r="BT140" s="529">
        <v>1995.2619999999999</v>
      </c>
      <c r="BU140" s="529">
        <v>9.3349399999999996</v>
      </c>
      <c r="BV140" s="529">
        <v>-254.804</v>
      </c>
      <c r="BW140" s="49"/>
      <c r="BY140" s="529"/>
      <c r="BZ140" s="529"/>
      <c r="CA140" s="529"/>
      <c r="CC140" s="529"/>
    </row>
    <row r="141" spans="1:81">
      <c r="A141">
        <f t="shared" si="106"/>
        <v>53500</v>
      </c>
      <c r="B141">
        <f t="shared" si="138"/>
        <v>53.5</v>
      </c>
      <c r="C141">
        <f t="shared" si="107"/>
        <v>1.0355279543977047</v>
      </c>
      <c r="D141">
        <f t="shared" si="108"/>
        <v>0.26270525209218398</v>
      </c>
      <c r="F141">
        <f t="shared" si="109"/>
        <v>3.3530616742672428E-3</v>
      </c>
      <c r="G141">
        <f t="shared" si="110"/>
        <v>1.7487826211879168E-2</v>
      </c>
      <c r="H141">
        <f t="shared" si="111"/>
        <v>-3.1241048237881208</v>
      </c>
      <c r="J141">
        <f t="shared" si="112"/>
        <v>15</v>
      </c>
      <c r="M141">
        <f t="shared" si="113"/>
        <v>2.8149099401606825E-2</v>
      </c>
      <c r="N141">
        <f t="shared" si="114"/>
        <v>-1.5707963250000001</v>
      </c>
      <c r="O141">
        <f t="shared" si="115"/>
        <v>26.087637782658387</v>
      </c>
      <c r="P141">
        <f t="shared" si="116"/>
        <v>1.5324546009161673</v>
      </c>
      <c r="Q141">
        <f t="shared" si="117"/>
        <v>20.369460068801502</v>
      </c>
      <c r="R141">
        <f t="shared" si="118"/>
        <v>1.521683482286736</v>
      </c>
      <c r="S141">
        <f t="shared" si="119"/>
        <v>0.96124688497627309</v>
      </c>
      <c r="T141">
        <f t="shared" si="120"/>
        <v>-0.27930640879340801</v>
      </c>
      <c r="U141">
        <f t="shared" si="121"/>
        <v>0.91293931281345397</v>
      </c>
      <c r="V141">
        <f t="shared" si="122"/>
        <v>-0.42036679888141554</v>
      </c>
      <c r="X141">
        <f t="shared" si="139"/>
        <v>-3.3029947947506564</v>
      </c>
      <c r="Y141">
        <f t="shared" si="123"/>
        <v>-119.04521861235393</v>
      </c>
      <c r="Z141">
        <f t="shared" si="140"/>
        <v>60.954781387646065</v>
      </c>
      <c r="AC141">
        <v>1</v>
      </c>
      <c r="AD141">
        <f t="shared" si="124"/>
        <v>26.068464570802504</v>
      </c>
      <c r="AE141">
        <f t="shared" si="125"/>
        <v>-7.1855986197928029E-4</v>
      </c>
      <c r="AF141">
        <f t="shared" si="126"/>
        <v>1.6074712775961003E-3</v>
      </c>
      <c r="AG141">
        <f t="shared" si="141"/>
        <v>13284.47312328334</v>
      </c>
      <c r="AH141">
        <f t="shared" si="142"/>
        <v>-6560.4215272228876</v>
      </c>
      <c r="AJ141">
        <f t="shared" si="127"/>
        <v>22100</v>
      </c>
      <c r="AK141">
        <f t="shared" si="128"/>
        <v>6338.3580757830068</v>
      </c>
      <c r="AL141">
        <v>1</v>
      </c>
      <c r="AM141">
        <f t="shared" si="129"/>
        <v>20.34489870936936</v>
      </c>
      <c r="AN141">
        <f t="shared" si="143"/>
        <v>364.05839309052732</v>
      </c>
      <c r="AO141">
        <f t="shared" si="144"/>
        <v>-1068.3730559395462</v>
      </c>
      <c r="AQ141">
        <f t="shared" si="130"/>
        <v>0.8733624454148472</v>
      </c>
      <c r="AR141">
        <f t="shared" si="131"/>
        <v>-93.449781659388648</v>
      </c>
      <c r="AT141">
        <f t="shared" si="104"/>
        <v>-601467.79937953327</v>
      </c>
      <c r="AU141">
        <f t="shared" si="105"/>
        <v>-1247160.7386188125</v>
      </c>
      <c r="AV141">
        <f t="shared" si="145"/>
        <v>-2.0201593292475515</v>
      </c>
      <c r="AW141">
        <f t="shared" si="146"/>
        <v>-86388.870494668779</v>
      </c>
      <c r="AX141">
        <f t="shared" si="147"/>
        <v>-46522.009727108343</v>
      </c>
      <c r="AY141">
        <f t="shared" si="155"/>
        <v>-2.6476070846461286</v>
      </c>
      <c r="BA141">
        <f t="shared" si="132"/>
        <v>14.111645980448305</v>
      </c>
      <c r="BB141">
        <f t="shared" si="148"/>
        <v>22.991553455150694</v>
      </c>
      <c r="BC141">
        <f t="shared" si="149"/>
        <v>0.62744775539857711</v>
      </c>
      <c r="BD141">
        <f t="shared" si="133"/>
        <v>-144.04989170962574</v>
      </c>
      <c r="BF141">
        <f t="shared" si="134"/>
        <v>-2.6745539844511019</v>
      </c>
      <c r="BG141">
        <f t="shared" si="135"/>
        <v>-127.99601085568007</v>
      </c>
      <c r="BH141">
        <f t="shared" si="150"/>
        <v>52.003989144319931</v>
      </c>
      <c r="BI141">
        <f t="shared" si="151"/>
        <v>52.003989144319931</v>
      </c>
      <c r="BJ141">
        <f t="shared" si="136"/>
        <v>0</v>
      </c>
      <c r="BK141">
        <f t="shared" si="152"/>
        <v>0</v>
      </c>
      <c r="BM141">
        <f t="shared" si="153"/>
        <v>-25.666107439601795</v>
      </c>
      <c r="BN141">
        <f t="shared" si="137"/>
        <v>-163.94611914605434</v>
      </c>
      <c r="BQ141" s="47">
        <f t="shared" si="154"/>
        <v>39.893514255435832</v>
      </c>
      <c r="BR141" s="529"/>
      <c r="BS141" s="529"/>
      <c r="BT141" s="529">
        <v>2041.7380000000001</v>
      </c>
      <c r="BU141" s="529">
        <v>9.0884699999999992</v>
      </c>
      <c r="BV141" s="529">
        <v>-254.411</v>
      </c>
      <c r="BW141" s="49"/>
      <c r="BY141" s="529"/>
      <c r="BZ141" s="529"/>
      <c r="CA141" s="529"/>
      <c r="CC141" s="529"/>
    </row>
    <row r="142" spans="1:81">
      <c r="A142">
        <f t="shared" si="106"/>
        <v>54000</v>
      </c>
      <c r="B142">
        <f t="shared" si="138"/>
        <v>54</v>
      </c>
      <c r="C142">
        <f t="shared" si="107"/>
        <v>1.0361834788789008</v>
      </c>
      <c r="D142">
        <f t="shared" si="108"/>
        <v>0.26504754803138619</v>
      </c>
      <c r="F142">
        <f t="shared" si="109"/>
        <v>3.2910576474876139E-3</v>
      </c>
      <c r="G142">
        <f t="shared" si="110"/>
        <v>1.7324844442881831E-2</v>
      </c>
      <c r="H142">
        <f t="shared" si="111"/>
        <v>-3.1242678055571185</v>
      </c>
      <c r="J142">
        <f t="shared" si="112"/>
        <v>15</v>
      </c>
      <c r="M142">
        <f t="shared" si="113"/>
        <v>2.7888459592332687E-2</v>
      </c>
      <c r="N142">
        <f t="shared" si="114"/>
        <v>-1.5707963250000001</v>
      </c>
      <c r="O142">
        <f t="shared" si="115"/>
        <v>26.331090891597825</v>
      </c>
      <c r="P142">
        <f t="shared" si="116"/>
        <v>1.5328092738728811</v>
      </c>
      <c r="Q142">
        <f t="shared" si="117"/>
        <v>20.559372159511888</v>
      </c>
      <c r="R142">
        <f t="shared" si="118"/>
        <v>1.5221375100432311</v>
      </c>
      <c r="S142">
        <f t="shared" si="119"/>
        <v>0.96056163323651389</v>
      </c>
      <c r="T142">
        <f t="shared" si="120"/>
        <v>-0.28178132981109311</v>
      </c>
      <c r="U142">
        <f t="shared" si="121"/>
        <v>0.91151505413717115</v>
      </c>
      <c r="V142">
        <f t="shared" si="122"/>
        <v>-0.42384330168858075</v>
      </c>
      <c r="X142">
        <f t="shared" si="139"/>
        <v>-3.3988855789314738</v>
      </c>
      <c r="Y142">
        <f t="shared" si="123"/>
        <v>-119.2150094378636</v>
      </c>
      <c r="Z142">
        <f t="shared" si="140"/>
        <v>60.7849905621364</v>
      </c>
      <c r="AC142">
        <v>1</v>
      </c>
      <c r="AD142">
        <f t="shared" si="124"/>
        <v>26.312095080810003</v>
      </c>
      <c r="AE142">
        <f t="shared" si="125"/>
        <v>-7.3205364923804048E-4</v>
      </c>
      <c r="AF142">
        <f t="shared" si="126"/>
        <v>1.6224943736484001E-3</v>
      </c>
      <c r="AG142">
        <f t="shared" si="141"/>
        <v>13243.055764933442</v>
      </c>
      <c r="AH142">
        <f t="shared" si="142"/>
        <v>-6591.4726568413707</v>
      </c>
      <c r="AJ142">
        <f t="shared" si="127"/>
        <v>22100</v>
      </c>
      <c r="AK142">
        <f t="shared" si="128"/>
        <v>6397.5950671454648</v>
      </c>
      <c r="AL142">
        <v>1</v>
      </c>
      <c r="AM142">
        <f t="shared" si="129"/>
        <v>20.53503794964384</v>
      </c>
      <c r="AN142">
        <f t="shared" si="143"/>
        <v>363.09272102822717</v>
      </c>
      <c r="AO142">
        <f t="shared" si="144"/>
        <v>-1058.5277384086246</v>
      </c>
      <c r="AQ142">
        <f t="shared" si="130"/>
        <v>0.85726532361765961</v>
      </c>
      <c r="AR142">
        <f t="shared" si="131"/>
        <v>-92.584654950707247</v>
      </c>
      <c r="AT142">
        <f t="shared" si="104"/>
        <v>-598916.40906466753</v>
      </c>
      <c r="AU142">
        <f t="shared" si="105"/>
        <v>-1231754.3894296214</v>
      </c>
      <c r="AV142">
        <f t="shared" si="145"/>
        <v>-2.0233676867433696</v>
      </c>
      <c r="AW142">
        <f t="shared" si="146"/>
        <v>-84601.22268031734</v>
      </c>
      <c r="AX142">
        <f t="shared" si="147"/>
        <v>-46072.903243471446</v>
      </c>
      <c r="AY142">
        <f t="shared" si="155"/>
        <v>-2.6429131782576949</v>
      </c>
      <c r="BA142">
        <f t="shared" si="132"/>
        <v>14.217763417469502</v>
      </c>
      <c r="BB142">
        <f t="shared" si="148"/>
        <v>23.056625666486443</v>
      </c>
      <c r="BC142">
        <f t="shared" si="149"/>
        <v>0.61954549151432525</v>
      </c>
      <c r="BD142">
        <f t="shared" si="133"/>
        <v>-144.50265807930938</v>
      </c>
      <c r="BF142">
        <f t="shared" si="134"/>
        <v>-2.7661060891213092</v>
      </c>
      <c r="BG142">
        <f t="shared" si="135"/>
        <v>-128.32391172103527</v>
      </c>
      <c r="BH142">
        <f t="shared" si="150"/>
        <v>51.676088278964727</v>
      </c>
      <c r="BI142">
        <f t="shared" si="151"/>
        <v>51.676088278964727</v>
      </c>
      <c r="BJ142">
        <f t="shared" si="136"/>
        <v>0</v>
      </c>
      <c r="BK142">
        <f t="shared" si="152"/>
        <v>0</v>
      </c>
      <c r="BM142">
        <f t="shared" si="153"/>
        <v>-25.822731755607752</v>
      </c>
      <c r="BN142">
        <f t="shared" si="137"/>
        <v>-163.82125364172589</v>
      </c>
      <c r="BQ142" s="47">
        <f t="shared" si="154"/>
        <v>39.958586466771578</v>
      </c>
      <c r="BR142" s="529"/>
      <c r="BS142" s="529"/>
      <c r="BT142" s="529">
        <v>2089.2959999999998</v>
      </c>
      <c r="BU142" s="529">
        <v>8.9698600000000006</v>
      </c>
      <c r="BV142" s="529">
        <v>-254.113</v>
      </c>
      <c r="BW142" s="49"/>
      <c r="BY142" s="529"/>
      <c r="BZ142" s="529"/>
      <c r="CA142" s="529"/>
      <c r="CC142" s="529"/>
    </row>
    <row r="143" spans="1:81">
      <c r="A143">
        <f t="shared" si="106"/>
        <v>54500</v>
      </c>
      <c r="B143">
        <f t="shared" si="138"/>
        <v>54.5</v>
      </c>
      <c r="C143">
        <f t="shared" si="107"/>
        <v>1.0368446810191352</v>
      </c>
      <c r="D143">
        <f t="shared" si="108"/>
        <v>0.26738686939869316</v>
      </c>
      <c r="F143">
        <f t="shared" si="109"/>
        <v>3.2307594597015552E-3</v>
      </c>
      <c r="G143">
        <f t="shared" si="110"/>
        <v>1.7164881988619686E-2</v>
      </c>
      <c r="H143">
        <f t="shared" si="111"/>
        <v>-3.1244277680113806</v>
      </c>
      <c r="J143">
        <f t="shared" si="112"/>
        <v>15</v>
      </c>
      <c r="M143">
        <f t="shared" si="113"/>
        <v>2.7632602164880095E-2</v>
      </c>
      <c r="N143">
        <f t="shared" si="114"/>
        <v>-1.5707963250000001</v>
      </c>
      <c r="O143">
        <f t="shared" si="115"/>
        <v>26.574547252113245</v>
      </c>
      <c r="P143">
        <f t="shared" si="116"/>
        <v>1.5331574483697494</v>
      </c>
      <c r="Q143">
        <f t="shared" si="117"/>
        <v>20.749288410774728</v>
      </c>
      <c r="R143">
        <f t="shared" si="118"/>
        <v>1.5225832265449941</v>
      </c>
      <c r="S143">
        <f t="shared" si="119"/>
        <v>0.95987149094495294</v>
      </c>
      <c r="T143">
        <f t="shared" si="120"/>
        <v>-0.28425270959646415</v>
      </c>
      <c r="U143">
        <f t="shared" si="121"/>
        <v>0.91008428453366685</v>
      </c>
      <c r="V143">
        <f t="shared" si="122"/>
        <v>-0.42730893241094298</v>
      </c>
      <c r="X143">
        <f t="shared" si="139"/>
        <v>-3.4940967674965782</v>
      </c>
      <c r="Y143">
        <f t="shared" si="123"/>
        <v>-119.38482041169888</v>
      </c>
      <c r="Z143">
        <f t="shared" si="140"/>
        <v>60.615179588301118</v>
      </c>
      <c r="AC143">
        <v>1</v>
      </c>
      <c r="AD143">
        <f t="shared" si="124"/>
        <v>26.555725590817499</v>
      </c>
      <c r="AE143">
        <f t="shared" si="125"/>
        <v>-7.4567296009920778E-4</v>
      </c>
      <c r="AF143">
        <f t="shared" si="126"/>
        <v>1.6375174697007002E-3</v>
      </c>
      <c r="AG143">
        <f t="shared" si="141"/>
        <v>13201.514178145395</v>
      </c>
      <c r="AH143">
        <f t="shared" si="142"/>
        <v>-6622.2268498859848</v>
      </c>
      <c r="AJ143">
        <f t="shared" si="127"/>
        <v>22100</v>
      </c>
      <c r="AK143">
        <f t="shared" si="128"/>
        <v>6456.8320585079218</v>
      </c>
      <c r="AL143">
        <v>1</v>
      </c>
      <c r="AM143">
        <f t="shared" si="129"/>
        <v>20.72517718991832</v>
      </c>
      <c r="AN143">
        <f t="shared" si="143"/>
        <v>362.15342267473591</v>
      </c>
      <c r="AO143">
        <f t="shared" si="144"/>
        <v>-1048.8617963613626</v>
      </c>
      <c r="AQ143">
        <f t="shared" si="130"/>
        <v>0.84160915670762493</v>
      </c>
      <c r="AR143">
        <f t="shared" si="131"/>
        <v>-91.735398081131123</v>
      </c>
      <c r="AT143">
        <f t="shared" si="104"/>
        <v>-596382.10104311304</v>
      </c>
      <c r="AU143">
        <f t="shared" si="105"/>
        <v>-1216619.4851605236</v>
      </c>
      <c r="AV143">
        <f t="shared" si="145"/>
        <v>-2.0265700830858764</v>
      </c>
      <c r="AW143">
        <f t="shared" si="146"/>
        <v>-82863.5640901265</v>
      </c>
      <c r="AX143">
        <f t="shared" si="147"/>
        <v>-45635.173732507785</v>
      </c>
      <c r="AY143">
        <f t="shared" si="155"/>
        <v>-2.6381917189316804</v>
      </c>
      <c r="BA143">
        <f t="shared" si="132"/>
        <v>14.32290103841347</v>
      </c>
      <c r="BB143">
        <f t="shared" si="148"/>
        <v>23.120619825040272</v>
      </c>
      <c r="BC143">
        <f t="shared" si="149"/>
        <v>0.61162163584580398</v>
      </c>
      <c r="BD143">
        <f t="shared" si="133"/>
        <v>-144.95666156710524</v>
      </c>
      <c r="BF143">
        <f t="shared" si="134"/>
        <v>-2.8571884195684127</v>
      </c>
      <c r="BG143">
        <f t="shared" si="135"/>
        <v>-128.65304714092673</v>
      </c>
      <c r="BH143">
        <f t="shared" si="150"/>
        <v>51.346952859073269</v>
      </c>
      <c r="BI143">
        <f t="shared" si="151"/>
        <v>51.346952859073269</v>
      </c>
      <c r="BJ143">
        <f t="shared" si="136"/>
        <v>0</v>
      </c>
      <c r="BK143">
        <f t="shared" si="152"/>
        <v>0</v>
      </c>
      <c r="BM143">
        <f t="shared" si="153"/>
        <v>-25.977808244608688</v>
      </c>
      <c r="BN143">
        <f t="shared" si="137"/>
        <v>-163.69638557382152</v>
      </c>
      <c r="BQ143" s="47">
        <f t="shared" si="154"/>
        <v>40.022580625325411</v>
      </c>
      <c r="BR143" s="529"/>
      <c r="BS143" s="529"/>
      <c r="BT143" s="529">
        <v>2137.962</v>
      </c>
      <c r="BU143" s="529">
        <v>8.68736</v>
      </c>
      <c r="BV143" s="529">
        <v>-254.34</v>
      </c>
      <c r="BW143" s="49"/>
      <c r="BY143" s="529"/>
      <c r="BZ143" s="529"/>
      <c r="CA143" s="529"/>
      <c r="CC143" s="529"/>
    </row>
    <row r="144" spans="1:81">
      <c r="A144">
        <f t="shared" si="106"/>
        <v>55000</v>
      </c>
      <c r="B144">
        <f t="shared" si="138"/>
        <v>55</v>
      </c>
      <c r="C144">
        <f t="shared" si="107"/>
        <v>1.0375115499633571</v>
      </c>
      <c r="D144">
        <f t="shared" si="108"/>
        <v>0.26972319630225489</v>
      </c>
      <c r="F144">
        <f t="shared" si="109"/>
        <v>3.172105043132032E-3</v>
      </c>
      <c r="G144">
        <f t="shared" si="110"/>
        <v>1.7007855465004044E-2</v>
      </c>
      <c r="H144">
        <f t="shared" si="111"/>
        <v>-3.124584794534996</v>
      </c>
      <c r="J144">
        <f t="shared" si="112"/>
        <v>15</v>
      </c>
      <c r="M144">
        <f t="shared" si="113"/>
        <v>2.7381396690653908E-2</v>
      </c>
      <c r="N144">
        <f t="shared" si="114"/>
        <v>-1.5707963250000001</v>
      </c>
      <c r="O144">
        <f t="shared" si="115"/>
        <v>26.818006775650318</v>
      </c>
      <c r="P144">
        <f t="shared" si="116"/>
        <v>1.5334993013043543</v>
      </c>
      <c r="Q144">
        <f t="shared" si="117"/>
        <v>20.939208709382807</v>
      </c>
      <c r="R144">
        <f t="shared" si="118"/>
        <v>1.5230208577637121</v>
      </c>
      <c r="S144">
        <f t="shared" si="119"/>
        <v>0.95917649389878867</v>
      </c>
      <c r="T144">
        <f t="shared" si="120"/>
        <v>-0.28672052562059902</v>
      </c>
      <c r="U144">
        <f t="shared" si="121"/>
        <v>0.90864713747593595</v>
      </c>
      <c r="V144">
        <f t="shared" si="122"/>
        <v>-0.43076365911186371</v>
      </c>
      <c r="X144">
        <f t="shared" si="139"/>
        <v>-3.5886418287281767</v>
      </c>
      <c r="Y144">
        <f t="shared" si="123"/>
        <v>-119.55463124777958</v>
      </c>
      <c r="Z144">
        <f t="shared" si="140"/>
        <v>60.445368752220418</v>
      </c>
      <c r="AC144">
        <v>1</v>
      </c>
      <c r="AD144">
        <f t="shared" si="124"/>
        <v>26.799356100825001</v>
      </c>
      <c r="AE144">
        <f t="shared" si="125"/>
        <v>-7.5941779456278218E-4</v>
      </c>
      <c r="AF144">
        <f t="shared" si="126"/>
        <v>1.6525405657530001E-3</v>
      </c>
      <c r="AG144">
        <f t="shared" si="141"/>
        <v>13159.853119963673</v>
      </c>
      <c r="AH144">
        <f t="shared" si="142"/>
        <v>-6652.6818530009823</v>
      </c>
      <c r="AJ144">
        <f t="shared" si="127"/>
        <v>22100</v>
      </c>
      <c r="AK144">
        <f t="shared" si="128"/>
        <v>6516.0690498703798</v>
      </c>
      <c r="AL144">
        <v>1</v>
      </c>
      <c r="AM144">
        <f t="shared" si="129"/>
        <v>20.915316430192799</v>
      </c>
      <c r="AN144">
        <f t="shared" si="143"/>
        <v>361.23954702268259</v>
      </c>
      <c r="AO144">
        <f t="shared" si="144"/>
        <v>-1039.3703832085378</v>
      </c>
      <c r="AQ144">
        <f t="shared" si="130"/>
        <v>0.82637798529047191</v>
      </c>
      <c r="AR144">
        <f t="shared" si="131"/>
        <v>-90.901578381951907</v>
      </c>
      <c r="AT144">
        <f t="shared" si="104"/>
        <v>-593864.26800276374</v>
      </c>
      <c r="AU144">
        <f t="shared" si="105"/>
        <v>-1201749.0497058136</v>
      </c>
      <c r="AV144">
        <f t="shared" si="145"/>
        <v>-2.0297663527322429</v>
      </c>
      <c r="AW144">
        <f t="shared" si="146"/>
        <v>-81174.093507818732</v>
      </c>
      <c r="AX144">
        <f t="shared" si="147"/>
        <v>-45208.398279268673</v>
      </c>
      <c r="AY144">
        <f t="shared" si="155"/>
        <v>-2.6334434411443763</v>
      </c>
      <c r="BA144">
        <f t="shared" si="132"/>
        <v>14.42704231381283</v>
      </c>
      <c r="BB144">
        <f t="shared" si="148"/>
        <v>23.183546111198254</v>
      </c>
      <c r="BC144">
        <f t="shared" si="149"/>
        <v>0.60367708841213341</v>
      </c>
      <c r="BD144">
        <f t="shared" si="133"/>
        <v>-145.41185060571618</v>
      </c>
      <c r="BF144">
        <f t="shared" si="134"/>
        <v>-2.9478186970978335</v>
      </c>
      <c r="BG144">
        <f t="shared" si="135"/>
        <v>-128.98337146533282</v>
      </c>
      <c r="BH144">
        <f t="shared" si="150"/>
        <v>51.016628534667177</v>
      </c>
      <c r="BI144">
        <f t="shared" si="151"/>
        <v>51.016628534667177</v>
      </c>
      <c r="BJ144">
        <f t="shared" si="136"/>
        <v>0</v>
      </c>
      <c r="BK144">
        <f t="shared" si="152"/>
        <v>0</v>
      </c>
      <c r="BM144">
        <f t="shared" si="153"/>
        <v>-26.131364808296084</v>
      </c>
      <c r="BN144">
        <f t="shared" si="137"/>
        <v>-163.57152085961667</v>
      </c>
      <c r="BQ144" s="47">
        <f t="shared" si="154"/>
        <v>40.085506911483392</v>
      </c>
      <c r="BR144" s="529"/>
      <c r="BS144" s="529"/>
      <c r="BT144" s="529">
        <v>2187.7620000000002</v>
      </c>
      <c r="BU144" s="529">
        <v>8.5308799999999998</v>
      </c>
      <c r="BV144" s="529">
        <v>-253.785</v>
      </c>
      <c r="BW144" s="49"/>
      <c r="BY144" s="529"/>
      <c r="BZ144" s="529"/>
      <c r="CA144" s="529"/>
      <c r="CC144" s="529"/>
    </row>
    <row r="145" spans="1:81">
      <c r="A145">
        <f t="shared" si="106"/>
        <v>55500</v>
      </c>
      <c r="B145">
        <f t="shared" si="138"/>
        <v>55.5</v>
      </c>
      <c r="C145">
        <f t="shared" si="107"/>
        <v>1.0381840747914926</v>
      </c>
      <c r="D145">
        <f t="shared" si="108"/>
        <v>0.27205650903187262</v>
      </c>
      <c r="F145">
        <f t="shared" si="109"/>
        <v>3.1150351302573834E-3</v>
      </c>
      <c r="G145">
        <f t="shared" si="110"/>
        <v>1.6853684539233485E-2</v>
      </c>
      <c r="H145">
        <f t="shared" si="111"/>
        <v>-3.1247389654607667</v>
      </c>
      <c r="J145">
        <f t="shared" si="112"/>
        <v>15</v>
      </c>
      <c r="M145">
        <f t="shared" si="113"/>
        <v>2.7134717441188557E-2</v>
      </c>
      <c r="N145">
        <f t="shared" si="114"/>
        <v>-1.5707963250000001</v>
      </c>
      <c r="O145">
        <f t="shared" si="115"/>
        <v>27.061469376840314</v>
      </c>
      <c r="P145">
        <f t="shared" si="116"/>
        <v>1.5338350032143695</v>
      </c>
      <c r="Q145">
        <f t="shared" si="117"/>
        <v>21.129132946196805</v>
      </c>
      <c r="R145">
        <f t="shared" si="118"/>
        <v>1.5234506215589199</v>
      </c>
      <c r="S145">
        <f t="shared" si="119"/>
        <v>0.95847667800336889</v>
      </c>
      <c r="T145">
        <f t="shared" si="120"/>
        <v>-0.28918475559312917</v>
      </c>
      <c r="U145">
        <f t="shared" si="121"/>
        <v>0.90720374579808483</v>
      </c>
      <c r="V145">
        <f t="shared" si="122"/>
        <v>-0.43420745109645631</v>
      </c>
      <c r="X145">
        <f t="shared" si="139"/>
        <v>-3.6825338258977656</v>
      </c>
      <c r="Y145">
        <f t="shared" si="123"/>
        <v>-119.72442238879513</v>
      </c>
      <c r="Z145">
        <f t="shared" si="140"/>
        <v>60.275577611204866</v>
      </c>
      <c r="AC145">
        <v>1</v>
      </c>
      <c r="AD145">
        <f t="shared" si="124"/>
        <v>27.042986610832504</v>
      </c>
      <c r="AE145">
        <f t="shared" si="125"/>
        <v>-7.7328815262876359E-4</v>
      </c>
      <c r="AF145">
        <f t="shared" si="126"/>
        <v>1.6675636618053002E-3</v>
      </c>
      <c r="AG145">
        <f t="shared" si="141"/>
        <v>13118.077308441303</v>
      </c>
      <c r="AH145">
        <f t="shared" si="142"/>
        <v>-6682.8355781160126</v>
      </c>
      <c r="AJ145">
        <f t="shared" si="127"/>
        <v>22100</v>
      </c>
      <c r="AK145">
        <f t="shared" si="128"/>
        <v>6575.3060412328377</v>
      </c>
      <c r="AL145">
        <v>1</v>
      </c>
      <c r="AM145">
        <f t="shared" si="129"/>
        <v>21.105455670467279</v>
      </c>
      <c r="AN145">
        <f t="shared" si="143"/>
        <v>360.35018551513207</v>
      </c>
      <c r="AO145">
        <f t="shared" si="144"/>
        <v>-1030.0488250014432</v>
      </c>
      <c r="AQ145">
        <f t="shared" si="130"/>
        <v>0.81155656549261479</v>
      </c>
      <c r="AR145">
        <f t="shared" si="131"/>
        <v>-90.082778769680246</v>
      </c>
      <c r="AT145">
        <f t="shared" si="104"/>
        <v>-591362.33717126772</v>
      </c>
      <c r="AU145">
        <f t="shared" si="105"/>
        <v>-1187136.3551494081</v>
      </c>
      <c r="AV145">
        <f t="shared" si="145"/>
        <v>-2.0329563361814631</v>
      </c>
      <c r="AW145">
        <f t="shared" si="146"/>
        <v>-79531.089867247108</v>
      </c>
      <c r="AX145">
        <f t="shared" si="147"/>
        <v>-44792.173832575645</v>
      </c>
      <c r="AY145">
        <f t="shared" si="155"/>
        <v>-2.6286690813140319</v>
      </c>
      <c r="BA145">
        <f t="shared" si="132"/>
        <v>14.530170888302907</v>
      </c>
      <c r="BB145">
        <f t="shared" si="148"/>
        <v>23.245414440689338</v>
      </c>
      <c r="BC145">
        <f t="shared" si="149"/>
        <v>0.59571274513256878</v>
      </c>
      <c r="BD145">
        <f t="shared" si="133"/>
        <v>-145.86817386275004</v>
      </c>
      <c r="BF145">
        <f t="shared" si="134"/>
        <v>-3.0380141465602124</v>
      </c>
      <c r="BG145">
        <f t="shared" si="135"/>
        <v>-129.31483909390306</v>
      </c>
      <c r="BH145">
        <f t="shared" si="150"/>
        <v>50.685160906096939</v>
      </c>
      <c r="BI145">
        <f t="shared" si="151"/>
        <v>50.685160906096939</v>
      </c>
      <c r="BJ145">
        <f t="shared" si="136"/>
        <v>0</v>
      </c>
      <c r="BK145">
        <f t="shared" si="152"/>
        <v>0</v>
      </c>
      <c r="BM145">
        <f t="shared" si="153"/>
        <v>-26.283428587249546</v>
      </c>
      <c r="BN145">
        <f t="shared" si="137"/>
        <v>-163.44666523115302</v>
      </c>
      <c r="BQ145" s="47">
        <f t="shared" si="154"/>
        <v>40.147375240974476</v>
      </c>
      <c r="BR145" s="529"/>
      <c r="BS145" s="529"/>
      <c r="BT145" s="529">
        <v>2238.721</v>
      </c>
      <c r="BU145" s="529">
        <v>8.3496900000000007</v>
      </c>
      <c r="BV145" s="529">
        <v>-253.78300000000002</v>
      </c>
      <c r="BW145" s="49"/>
      <c r="BY145" s="529"/>
      <c r="BZ145" s="529"/>
      <c r="CA145" s="529"/>
      <c r="CC145" s="529"/>
    </row>
    <row r="146" spans="1:81">
      <c r="A146">
        <f t="shared" si="106"/>
        <v>56000</v>
      </c>
      <c r="B146">
        <f t="shared" si="138"/>
        <v>56</v>
      </c>
      <c r="C146">
        <f t="shared" si="107"/>
        <v>1.038862244519249</v>
      </c>
      <c r="D146">
        <f t="shared" si="108"/>
        <v>0.27438678805945133</v>
      </c>
      <c r="F146">
        <f t="shared" si="109"/>
        <v>3.0594931034192492E-3</v>
      </c>
      <c r="G146">
        <f t="shared" si="110"/>
        <v>1.6702291791103264E-2</v>
      </c>
      <c r="H146">
        <f t="shared" si="111"/>
        <v>-3.1248903582088969</v>
      </c>
      <c r="J146">
        <f t="shared" si="112"/>
        <v>15</v>
      </c>
      <c r="M146">
        <f t="shared" si="113"/>
        <v>2.6892443178320805E-2</v>
      </c>
      <c r="N146">
        <f t="shared" si="114"/>
        <v>-1.5707963250000001</v>
      </c>
      <c r="O146">
        <f t="shared" si="115"/>
        <v>27.304934973358183</v>
      </c>
      <c r="P146">
        <f t="shared" si="116"/>
        <v>1.534164718560705</v>
      </c>
      <c r="Q146">
        <f t="shared" si="117"/>
        <v>21.319061015964333</v>
      </c>
      <c r="R146">
        <f t="shared" si="118"/>
        <v>1.5238727280385191</v>
      </c>
      <c r="S146">
        <f t="shared" si="119"/>
        <v>0.95777207926770092</v>
      </c>
      <c r="T146">
        <f t="shared" si="120"/>
        <v>-0.29164537746262559</v>
      </c>
      <c r="U146">
        <f t="shared" si="121"/>
        <v>0.90575424167389917</v>
      </c>
      <c r="V146">
        <f t="shared" si="122"/>
        <v>-0.437640278901269</v>
      </c>
      <c r="X146">
        <f t="shared" si="139"/>
        <v>-3.7757854326415967</v>
      </c>
      <c r="Y146">
        <f t="shared" si="123"/>
        <v>-119.89417497667652</v>
      </c>
      <c r="Z146">
        <f t="shared" si="140"/>
        <v>60.105825023323476</v>
      </c>
      <c r="AC146">
        <v>1</v>
      </c>
      <c r="AD146">
        <f t="shared" si="124"/>
        <v>27.286617120840006</v>
      </c>
      <c r="AE146">
        <f t="shared" si="125"/>
        <v>-7.87284034297152E-4</v>
      </c>
      <c r="AF146">
        <f t="shared" si="126"/>
        <v>1.6825867578576E-3</v>
      </c>
      <c r="AG146">
        <f t="shared" si="141"/>
        <v>13076.191421900123</v>
      </c>
      <c r="AH146">
        <f t="shared" si="142"/>
        <v>-6712.6860966483546</v>
      </c>
      <c r="AJ146">
        <f t="shared" si="127"/>
        <v>22100</v>
      </c>
      <c r="AK146">
        <f t="shared" si="128"/>
        <v>6634.5430325952957</v>
      </c>
      <c r="AL146">
        <v>1</v>
      </c>
      <c r="AM146">
        <f t="shared" si="129"/>
        <v>21.295594910741762</v>
      </c>
      <c r="AN146">
        <f t="shared" si="143"/>
        <v>359.48446979352855</v>
      </c>
      <c r="AO146">
        <f t="shared" si="144"/>
        <v>-1020.8926128304726</v>
      </c>
      <c r="AQ146">
        <f t="shared" si="130"/>
        <v>0.79713033080908724</v>
      </c>
      <c r="AR146">
        <f t="shared" si="131"/>
        <v>-89.278597050617776</v>
      </c>
      <c r="AT146">
        <f t="shared" si="104"/>
        <v>-588875.76835609053</v>
      </c>
      <c r="AU146">
        <f t="shared" si="105"/>
        <v>-1172774.9106014045</v>
      </c>
      <c r="AV146">
        <f t="shared" si="145"/>
        <v>-2.0361398797505208</v>
      </c>
      <c r="AW146">
        <f t="shared" si="146"/>
        <v>-77932.908008249113</v>
      </c>
      <c r="AX146">
        <f t="shared" si="147"/>
        <v>-44386.116080941909</v>
      </c>
      <c r="AY146">
        <f t="shared" si="155"/>
        <v>-2.6238693779529578</v>
      </c>
      <c r="BA146">
        <f t="shared" si="132"/>
        <v>14.632270596140069</v>
      </c>
      <c r="BB146">
        <f t="shared" si="148"/>
        <v>23.306234479935565</v>
      </c>
      <c r="BC146">
        <f t="shared" si="149"/>
        <v>0.58772949820243703</v>
      </c>
      <c r="BD146">
        <f t="shared" si="133"/>
        <v>-146.32558021918004</v>
      </c>
      <c r="BF146">
        <f t="shared" si="134"/>
        <v>-3.1277915087326114</v>
      </c>
      <c r="BG146">
        <f t="shared" si="135"/>
        <v>-129.64740446233904</v>
      </c>
      <c r="BH146">
        <f t="shared" si="150"/>
        <v>50.35259553766096</v>
      </c>
      <c r="BI146">
        <f t="shared" si="151"/>
        <v>50.35259553766096</v>
      </c>
      <c r="BJ146">
        <f t="shared" si="136"/>
        <v>0</v>
      </c>
      <c r="BK146">
        <f t="shared" si="152"/>
        <v>0</v>
      </c>
      <c r="BM146">
        <f t="shared" si="153"/>
        <v>-26.434025988668175</v>
      </c>
      <c r="BN146">
        <f t="shared" si="137"/>
        <v>-163.32182424315903</v>
      </c>
      <c r="BQ146" s="47">
        <f t="shared" si="154"/>
        <v>40.2081952802207</v>
      </c>
      <c r="BR146" s="529"/>
      <c r="BS146" s="529"/>
      <c r="BT146" s="529">
        <v>2290.8679999999999</v>
      </c>
      <c r="BU146" s="529">
        <v>8.2818299999999994</v>
      </c>
      <c r="BV146" s="529">
        <v>-253.62</v>
      </c>
      <c r="BW146" s="49"/>
      <c r="BY146" s="529"/>
      <c r="BZ146" s="529"/>
      <c r="CA146" s="529"/>
      <c r="CC146" s="529"/>
    </row>
    <row r="147" spans="1:81">
      <c r="A147">
        <f t="shared" si="106"/>
        <v>56500</v>
      </c>
      <c r="B147">
        <f t="shared" si="138"/>
        <v>56.5</v>
      </c>
      <c r="C147">
        <f t="shared" si="107"/>
        <v>1.0395460480989194</v>
      </c>
      <c r="D147">
        <f t="shared" si="108"/>
        <v>0.27671401403942936</v>
      </c>
      <c r="F147">
        <f t="shared" si="109"/>
        <v>3.0054248537788341E-3</v>
      </c>
      <c r="G147">
        <f t="shared" si="110"/>
        <v>1.6553602581831105E-2</v>
      </c>
      <c r="H147">
        <f t="shared" si="111"/>
        <v>-3.1250390474181691</v>
      </c>
      <c r="J147">
        <f t="shared" si="112"/>
        <v>15</v>
      </c>
      <c r="M147">
        <f t="shared" si="113"/>
        <v>2.6654456955503808E-2</v>
      </c>
      <c r="N147">
        <f t="shared" si="114"/>
        <v>-1.5707963250000001</v>
      </c>
      <c r="O147">
        <f t="shared" si="115"/>
        <v>27.54840348578815</v>
      </c>
      <c r="P147">
        <f t="shared" si="116"/>
        <v>1.5344886059956655</v>
      </c>
      <c r="Q147">
        <f t="shared" si="117"/>
        <v>21.508992817148489</v>
      </c>
      <c r="R147">
        <f t="shared" si="118"/>
        <v>1.5242873799002521</v>
      </c>
      <c r="S147">
        <f t="shared" si="119"/>
        <v>0.95706273379997886</v>
      </c>
      <c r="T147">
        <f t="shared" si="120"/>
        <v>-0.29410236941695006</v>
      </c>
      <c r="U147">
        <f t="shared" si="121"/>
        <v>0.904298756596015</v>
      </c>
      <c r="V147">
        <f t="shared" si="122"/>
        <v>-0.44106211428377712</v>
      </c>
      <c r="X147">
        <f t="shared" si="139"/>
        <v>-3.8684089476222465</v>
      </c>
      <c r="Y147">
        <f t="shared" si="123"/>
        <v>-120.06387082457643</v>
      </c>
      <c r="Z147">
        <f t="shared" si="140"/>
        <v>59.936129175423574</v>
      </c>
      <c r="AC147">
        <v>1</v>
      </c>
      <c r="AD147">
        <f t="shared" si="124"/>
        <v>27.530247630847501</v>
      </c>
      <c r="AE147">
        <f t="shared" si="125"/>
        <v>-8.0140543956794762E-4</v>
      </c>
      <c r="AF147">
        <f t="shared" si="126"/>
        <v>1.6976098539099001E-3</v>
      </c>
      <c r="AG147">
        <f t="shared" si="141"/>
        <v>13034.200098221949</v>
      </c>
      <c r="AH147">
        <f t="shared" si="142"/>
        <v>-6742.2316339473955</v>
      </c>
      <c r="AJ147">
        <f t="shared" si="127"/>
        <v>22100</v>
      </c>
      <c r="AK147">
        <f t="shared" si="128"/>
        <v>6693.7800239577546</v>
      </c>
      <c r="AL147">
        <v>1</v>
      </c>
      <c r="AM147">
        <f t="shared" si="129"/>
        <v>21.485734151016239</v>
      </c>
      <c r="AN147">
        <f t="shared" si="143"/>
        <v>358.64156958370381</v>
      </c>
      <c r="AO147">
        <f t="shared" si="144"/>
        <v>-1011.897395620897</v>
      </c>
      <c r="AQ147">
        <f t="shared" si="130"/>
        <v>0.78308535630383713</v>
      </c>
      <c r="AR147">
        <f t="shared" si="131"/>
        <v>-88.488645262333591</v>
      </c>
      <c r="AT147">
        <f t="shared" si="104"/>
        <v>-586404.05210480327</v>
      </c>
      <c r="AU147">
        <f t="shared" si="105"/>
        <v>-1158658.4516311884</v>
      </c>
      <c r="AV147">
        <f t="shared" si="145"/>
        <v>-2.0393168353616469</v>
      </c>
      <c r="AW147">
        <f t="shared" si="146"/>
        <v>-76377.974692340766</v>
      </c>
      <c r="AX147">
        <f t="shared" si="147"/>
        <v>-43989.858402624843</v>
      </c>
      <c r="AY147">
        <f t="shared" si="155"/>
        <v>-2.6190450717843579</v>
      </c>
      <c r="BA147">
        <f t="shared" si="132"/>
        <v>14.73332547670794</v>
      </c>
      <c r="BB147">
        <f t="shared" si="148"/>
        <v>23.366015660792257</v>
      </c>
      <c r="BC147">
        <f t="shared" si="149"/>
        <v>0.57972823642271099</v>
      </c>
      <c r="BD147">
        <f t="shared" si="133"/>
        <v>-146.78401875046148</v>
      </c>
      <c r="BF147">
        <f t="shared" si="134"/>
        <v>-3.2171670520546281</v>
      </c>
      <c r="BG147">
        <f t="shared" si="135"/>
        <v>-129.98102203100237</v>
      </c>
      <c r="BH147">
        <f t="shared" si="150"/>
        <v>50.018977968997632</v>
      </c>
      <c r="BI147">
        <f t="shared" si="151"/>
        <v>50.018977968997632</v>
      </c>
      <c r="BJ147">
        <f t="shared" si="136"/>
        <v>0</v>
      </c>
      <c r="BK147">
        <f t="shared" si="152"/>
        <v>0</v>
      </c>
      <c r="BM147">
        <f t="shared" si="153"/>
        <v>-26.583182712846884</v>
      </c>
      <c r="BN147">
        <f t="shared" si="137"/>
        <v>-163.19700328054088</v>
      </c>
      <c r="BQ147" s="47">
        <f t="shared" si="154"/>
        <v>40.267976461077389</v>
      </c>
      <c r="BR147" s="529"/>
      <c r="BS147" s="529"/>
      <c r="BT147" s="529">
        <v>2344.2289999999998</v>
      </c>
      <c r="BU147" s="529">
        <v>8.0662299999999991</v>
      </c>
      <c r="BV147" s="529">
        <v>-253.17099999999999</v>
      </c>
      <c r="BW147" s="49"/>
      <c r="BY147" s="529"/>
      <c r="BZ147" s="529"/>
      <c r="CA147" s="529"/>
      <c r="CC147" s="529"/>
    </row>
    <row r="148" spans="1:81">
      <c r="A148">
        <f t="shared" si="106"/>
        <v>57000</v>
      </c>
      <c r="B148">
        <f t="shared" si="138"/>
        <v>57</v>
      </c>
      <c r="C148">
        <f t="shared" si="107"/>
        <v>1.0402354744201883</v>
      </c>
      <c r="D148">
        <f t="shared" si="108"/>
        <v>0.27903816780918328</v>
      </c>
      <c r="F148">
        <f t="shared" si="109"/>
        <v>2.9527786489626545E-3</v>
      </c>
      <c r="G148">
        <f t="shared" si="110"/>
        <v>1.6407544929927312E-2</v>
      </c>
      <c r="H148">
        <f t="shared" si="111"/>
        <v>-3.1251851050700727</v>
      </c>
      <c r="J148">
        <f t="shared" si="112"/>
        <v>15</v>
      </c>
      <c r="M148">
        <f t="shared" si="113"/>
        <v>2.6420645929578334E-2</v>
      </c>
      <c r="N148">
        <f t="shared" si="114"/>
        <v>-1.5707963250000001</v>
      </c>
      <c r="O148">
        <f t="shared" si="115"/>
        <v>27.791874837496362</v>
      </c>
      <c r="P148">
        <f t="shared" si="116"/>
        <v>1.5348068186170387</v>
      </c>
      <c r="Q148">
        <f t="shared" si="117"/>
        <v>21.698928251765455</v>
      </c>
      <c r="R148">
        <f t="shared" si="118"/>
        <v>1.524694772755296</v>
      </c>
      <c r="S148">
        <f t="shared" si="119"/>
        <v>0.95634867780313415</v>
      </c>
      <c r="T148">
        <f t="shared" si="120"/>
        <v>-0.29655570988357338</v>
      </c>
      <c r="U148">
        <f t="shared" si="121"/>
        <v>0.90283742135569756</v>
      </c>
      <c r="V148">
        <f t="shared" si="122"/>
        <v>-0.44447293021169426</v>
      </c>
      <c r="X148">
        <f t="shared" si="139"/>
        <v>-3.9604163085158572</v>
      </c>
      <c r="Y148">
        <f t="shared" si="123"/>
        <v>-120.23349239026516</v>
      </c>
      <c r="Z148">
        <f t="shared" si="140"/>
        <v>59.766507609734845</v>
      </c>
      <c r="AC148">
        <v>1</v>
      </c>
      <c r="AD148">
        <f t="shared" si="124"/>
        <v>27.773878140855</v>
      </c>
      <c r="AE148">
        <f t="shared" si="125"/>
        <v>-8.1565236844115014E-4</v>
      </c>
      <c r="AF148">
        <f t="shared" si="126"/>
        <v>1.7126329499622004E-3</v>
      </c>
      <c r="AG148">
        <f t="shared" si="141"/>
        <v>12992.107934170477</v>
      </c>
      <c r="AH148">
        <f t="shared" si="142"/>
        <v>-6771.4705639671156</v>
      </c>
      <c r="AJ148">
        <f t="shared" si="127"/>
        <v>22100</v>
      </c>
      <c r="AK148">
        <f t="shared" si="128"/>
        <v>6753.0170153202125</v>
      </c>
      <c r="AL148">
        <v>1</v>
      </c>
      <c r="AM148">
        <f t="shared" si="129"/>
        <v>21.675873391290722</v>
      </c>
      <c r="AN148">
        <f t="shared" si="143"/>
        <v>357.82069071036619</v>
      </c>
      <c r="AO148">
        <f t="shared" si="144"/>
        <v>-1003.058973301881</v>
      </c>
      <c r="AQ148">
        <f t="shared" si="130"/>
        <v>0.76940832499807643</v>
      </c>
      <c r="AR148">
        <f t="shared" si="131"/>
        <v>-87.712549049780719</v>
      </c>
      <c r="AT148">
        <f t="shared" si="104"/>
        <v>-583946.7079772877</v>
      </c>
      <c r="AU148">
        <f t="shared" si="105"/>
        <v>-1144780.9302603689</v>
      </c>
      <c r="AV148">
        <f t="shared" si="145"/>
        <v>-2.0424870603400063</v>
      </c>
      <c r="AW148">
        <f t="shared" si="146"/>
        <v>-74864.784860242537</v>
      </c>
      <c r="AX148">
        <f t="shared" si="147"/>
        <v>-43603.050884259923</v>
      </c>
      <c r="AY148">
        <f t="shared" si="155"/>
        <v>-2.6141969058255219</v>
      </c>
      <c r="BA148">
        <f t="shared" si="132"/>
        <v>14.833319789982607</v>
      </c>
      <c r="BB148">
        <f t="shared" si="148"/>
        <v>23.424767194701555</v>
      </c>
      <c r="BC148">
        <f t="shared" si="149"/>
        <v>0.57170984548551562</v>
      </c>
      <c r="BD148">
        <f t="shared" si="133"/>
        <v>-147.24343871017371</v>
      </c>
      <c r="BF148">
        <f t="shared" si="134"/>
        <v>-3.3061565837636824</v>
      </c>
      <c r="BG148">
        <f t="shared" si="135"/>
        <v>-130.31564627564532</v>
      </c>
      <c r="BH148">
        <f t="shared" si="150"/>
        <v>49.684353724354679</v>
      </c>
      <c r="BI148">
        <f t="shared" si="151"/>
        <v>49.684353724354679</v>
      </c>
      <c r="BJ148">
        <f t="shared" si="136"/>
        <v>0</v>
      </c>
      <c r="BK148">
        <f t="shared" si="152"/>
        <v>0</v>
      </c>
      <c r="BM148">
        <f t="shared" si="153"/>
        <v>-26.73092377846524</v>
      </c>
      <c r="BN148">
        <f t="shared" si="137"/>
        <v>-163.07220756547161</v>
      </c>
      <c r="BQ148" s="47">
        <f t="shared" si="154"/>
        <v>40.32672799498669</v>
      </c>
      <c r="BR148" s="529"/>
      <c r="BS148" s="529"/>
      <c r="BT148" s="529">
        <v>2398.8330000000001</v>
      </c>
      <c r="BU148" s="529">
        <v>7.8140200000000002</v>
      </c>
      <c r="BV148" s="529">
        <v>-252.65800000000002</v>
      </c>
      <c r="BW148" s="49"/>
      <c r="BY148" s="529"/>
      <c r="BZ148" s="529"/>
      <c r="CA148" s="529"/>
      <c r="CC148" s="529"/>
    </row>
    <row r="149" spans="1:81">
      <c r="A149">
        <f t="shared" si="106"/>
        <v>57500</v>
      </c>
      <c r="B149">
        <f t="shared" si="138"/>
        <v>57.5</v>
      </c>
      <c r="C149">
        <f t="shared" si="107"/>
        <v>1.040930512310938</v>
      </c>
      <c r="D149">
        <f t="shared" si="108"/>
        <v>0.28135923038940869</v>
      </c>
      <c r="F149">
        <f t="shared" si="109"/>
        <v>2.9015050087907368E-3</v>
      </c>
      <c r="G149">
        <f t="shared" si="110"/>
        <v>1.6264049393670502E-2</v>
      </c>
      <c r="H149">
        <f t="shared" si="111"/>
        <v>-3.1253286006063297</v>
      </c>
      <c r="J149">
        <f t="shared" si="112"/>
        <v>15</v>
      </c>
      <c r="M149">
        <f t="shared" si="113"/>
        <v>2.6190901182364612E-2</v>
      </c>
      <c r="N149">
        <f t="shared" si="114"/>
        <v>-1.5707963250000001</v>
      </c>
      <c r="O149">
        <f t="shared" si="115"/>
        <v>28.035348954510184</v>
      </c>
      <c r="P149">
        <f t="shared" si="116"/>
        <v>1.5351195042089671</v>
      </c>
      <c r="Q149">
        <f t="shared" si="117"/>
        <v>21.888867225230474</v>
      </c>
      <c r="R149">
        <f t="shared" si="118"/>
        <v>1.5250950954350577</v>
      </c>
      <c r="S149">
        <f t="shared" si="119"/>
        <v>0.95562994757040098</v>
      </c>
      <c r="T149">
        <f t="shared" si="120"/>
        <v>-0.29900537752985856</v>
      </c>
      <c r="U149">
        <f t="shared" si="121"/>
        <v>0.90137036602322029</v>
      </c>
      <c r="V149">
        <f t="shared" si="122"/>
        <v>-0.44787270085210951</v>
      </c>
      <c r="X149">
        <f t="shared" si="139"/>
        <v>-4.0518191053623598</v>
      </c>
      <c r="Y149">
        <f t="shared" si="123"/>
        <v>-120.40302275085715</v>
      </c>
      <c r="Z149">
        <f t="shared" si="140"/>
        <v>59.596977249142853</v>
      </c>
      <c r="AC149">
        <v>1</v>
      </c>
      <c r="AD149">
        <f t="shared" si="124"/>
        <v>28.017508650862503</v>
      </c>
      <c r="AE149">
        <f t="shared" si="125"/>
        <v>-8.3002482091675998E-4</v>
      </c>
      <c r="AF149">
        <f t="shared" si="126"/>
        <v>1.7276560460145001E-3</v>
      </c>
      <c r="AG149">
        <f t="shared" si="141"/>
        <v>12949.919484743554</v>
      </c>
      <c r="AH149">
        <f t="shared" si="142"/>
        <v>-6800.4014041531755</v>
      </c>
      <c r="AJ149">
        <f t="shared" si="127"/>
        <v>22100</v>
      </c>
      <c r="AK149">
        <f t="shared" si="128"/>
        <v>6812.2540066826705</v>
      </c>
      <c r="AL149">
        <v>1</v>
      </c>
      <c r="AM149">
        <f t="shared" si="129"/>
        <v>21.866012631565201</v>
      </c>
      <c r="AN149">
        <f t="shared" si="143"/>
        <v>357.02107323123272</v>
      </c>
      <c r="AO149">
        <f t="shared" si="144"/>
        <v>-994.37329032642992</v>
      </c>
      <c r="AQ149">
        <f t="shared" si="130"/>
        <v>0.75608649629517621</v>
      </c>
      <c r="AR149">
        <f t="shared" si="131"/>
        <v>-86.949947073945253</v>
      </c>
      <c r="AT149">
        <f t="shared" si="104"/>
        <v>-581503.28292217723</v>
      </c>
      <c r="AU149">
        <f t="shared" si="105"/>
        <v>-1131136.5054813712</v>
      </c>
      <c r="AV149">
        <f t="shared" si="145"/>
        <v>-2.0456504172211574</v>
      </c>
      <c r="AW149">
        <f t="shared" si="146"/>
        <v>-73391.898114620781</v>
      </c>
      <c r="AX149">
        <f t="shared" si="147"/>
        <v>-43225.359402989976</v>
      </c>
      <c r="AY149">
        <f t="shared" si="155"/>
        <v>-2.6093256254389381</v>
      </c>
      <c r="BA149">
        <f t="shared" si="132"/>
        <v>14.932238031926952</v>
      </c>
      <c r="BB149">
        <f t="shared" si="148"/>
        <v>23.482498086280678</v>
      </c>
      <c r="BC149">
        <f t="shared" si="149"/>
        <v>0.56367520821778072</v>
      </c>
      <c r="BD149">
        <f t="shared" si="133"/>
        <v>-147.70378951605946</v>
      </c>
      <c r="BF149">
        <f t="shared" si="134"/>
        <v>-3.3947754604716773</v>
      </c>
      <c r="BG149">
        <f t="shared" si="135"/>
        <v>-130.65123168016237</v>
      </c>
      <c r="BH149">
        <f t="shared" si="150"/>
        <v>49.348768319837632</v>
      </c>
      <c r="BI149">
        <f t="shared" si="151"/>
        <v>49.348768319837632</v>
      </c>
      <c r="BJ149">
        <f t="shared" si="136"/>
        <v>0</v>
      </c>
      <c r="BK149">
        <f t="shared" si="152"/>
        <v>0</v>
      </c>
      <c r="BM149">
        <f t="shared" si="153"/>
        <v>-26.877273546752356</v>
      </c>
      <c r="BN149">
        <f t="shared" si="137"/>
        <v>-162.94744216410288</v>
      </c>
      <c r="BQ149" s="47">
        <f t="shared" si="154"/>
        <v>40.384458886565817</v>
      </c>
      <c r="BR149" s="529"/>
      <c r="BS149" s="529"/>
      <c r="BT149" s="529">
        <v>2454.7089999999998</v>
      </c>
      <c r="BU149" s="529">
        <v>7.6423899999999998</v>
      </c>
      <c r="BV149" s="529">
        <v>-251.97399999999999</v>
      </c>
      <c r="BW149" s="49"/>
      <c r="BY149" s="529"/>
      <c r="BZ149" s="529"/>
      <c r="CA149" s="529"/>
      <c r="CC149" s="529"/>
    </row>
    <row r="150" spans="1:81">
      <c r="A150">
        <f t="shared" si="106"/>
        <v>58000</v>
      </c>
      <c r="B150">
        <f t="shared" si="138"/>
        <v>58</v>
      </c>
      <c r="C150">
        <f t="shared" si="107"/>
        <v>1.0416311505380562</v>
      </c>
      <c r="D150">
        <f t="shared" si="108"/>
        <v>0.28367718298447731</v>
      </c>
      <c r="F150">
        <f t="shared" si="109"/>
        <v>2.8515565885275673E-3</v>
      </c>
      <c r="G150">
        <f t="shared" si="110"/>
        <v>1.6123048959781686E-2</v>
      </c>
      <c r="H150">
        <f t="shared" si="111"/>
        <v>-3.1254696010402183</v>
      </c>
      <c r="J150">
        <f t="shared" si="112"/>
        <v>15</v>
      </c>
      <c r="M150">
        <f t="shared" si="113"/>
        <v>2.5965117551482158E-2</v>
      </c>
      <c r="N150">
        <f t="shared" si="114"/>
        <v>-1.5707963250000001</v>
      </c>
      <c r="O150">
        <f t="shared" si="115"/>
        <v>28.278825765403699</v>
      </c>
      <c r="P150">
        <f t="shared" si="116"/>
        <v>1.5354268054703992</v>
      </c>
      <c r="Q150">
        <f t="shared" si="117"/>
        <v>22.078809646211838</v>
      </c>
      <c r="R150">
        <f t="shared" si="118"/>
        <v>1.5254885302821797</v>
      </c>
      <c r="S150">
        <f t="shared" si="119"/>
        <v>0.9549065794809084</v>
      </c>
      <c r="T150">
        <f t="shared" si="120"/>
        <v>-0.30145135126331141</v>
      </c>
      <c r="U150">
        <f t="shared" si="121"/>
        <v>0.89989771992884515</v>
      </c>
      <c r="V150">
        <f t="shared" si="122"/>
        <v>-0.45126140156045869</v>
      </c>
      <c r="X150">
        <f t="shared" si="139"/>
        <v>-4.1426285933131819</v>
      </c>
      <c r="Y150">
        <f t="shared" si="123"/>
        <v>-120.57244557878877</v>
      </c>
      <c r="Z150">
        <f t="shared" si="140"/>
        <v>59.427554421211227</v>
      </c>
      <c r="AC150">
        <v>1</v>
      </c>
      <c r="AD150">
        <f t="shared" si="124"/>
        <v>28.261139160870005</v>
      </c>
      <c r="AE150">
        <f t="shared" si="125"/>
        <v>-8.4452279699477671E-4</v>
      </c>
      <c r="AF150">
        <f t="shared" si="126"/>
        <v>1.7426791420668004E-3</v>
      </c>
      <c r="AG150">
        <f t="shared" si="141"/>
        <v>12907.639262555595</v>
      </c>
      <c r="AH150">
        <f t="shared" si="142"/>
        <v>-6829.0228105323058</v>
      </c>
      <c r="AJ150">
        <f t="shared" si="127"/>
        <v>22100</v>
      </c>
      <c r="AK150">
        <f t="shared" si="128"/>
        <v>6871.4909980451284</v>
      </c>
      <c r="AL150">
        <v>1</v>
      </c>
      <c r="AM150">
        <f t="shared" si="129"/>
        <v>22.056151871839681</v>
      </c>
      <c r="AN150">
        <f t="shared" si="143"/>
        <v>356.24198968263681</v>
      </c>
      <c r="AO150">
        <f t="shared" si="144"/>
        <v>-985.83642952145385</v>
      </c>
      <c r="AQ150">
        <f t="shared" si="130"/>
        <v>0.74310767630229624</v>
      </c>
      <c r="AR150">
        <f t="shared" si="131"/>
        <v>-86.200490451066358</v>
      </c>
      <c r="AT150">
        <f t="shared" ref="AT150:AT213" si="156">-AR150*AH150+AG150*AQ150</f>
        <v>-579073.34975045838</v>
      </c>
      <c r="AU150">
        <f t="shared" ref="AU150:AU213" si="157">AQ150*AH150+AG150*AR150</f>
        <v>-1117719.5342698826</v>
      </c>
      <c r="AV150">
        <f t="shared" si="145"/>
        <v>-2.0488067735677165</v>
      </c>
      <c r="AW150">
        <f t="shared" si="146"/>
        <v>-71957.935412699342</v>
      </c>
      <c r="AX150">
        <f t="shared" si="147"/>
        <v>-42856.464767422709</v>
      </c>
      <c r="AY150">
        <f t="shared" si="155"/>
        <v>-2.6044319783528334</v>
      </c>
      <c r="BA150">
        <f t="shared" si="132"/>
        <v>15.030064949784677</v>
      </c>
      <c r="BB150">
        <f t="shared" si="148"/>
        <v>23.539217146365097</v>
      </c>
      <c r="BC150">
        <f t="shared" si="149"/>
        <v>0.5556252047851169</v>
      </c>
      <c r="BD150">
        <f t="shared" si="133"/>
        <v>-148.16502073834397</v>
      </c>
      <c r="BF150">
        <f t="shared" si="134"/>
        <v>-3.4830385982222922</v>
      </c>
      <c r="BG150">
        <f t="shared" si="135"/>
        <v>-130.98773273126682</v>
      </c>
      <c r="BH150">
        <f t="shared" si="150"/>
        <v>49.012267268733183</v>
      </c>
      <c r="BI150">
        <f t="shared" si="151"/>
        <v>49.012267268733183</v>
      </c>
      <c r="BJ150">
        <f t="shared" si="136"/>
        <v>0</v>
      </c>
      <c r="BK150">
        <f t="shared" si="152"/>
        <v>0</v>
      </c>
      <c r="BM150">
        <f t="shared" si="153"/>
        <v>-27.022255744587387</v>
      </c>
      <c r="BN150">
        <f t="shared" si="137"/>
        <v>-162.82271199292288</v>
      </c>
      <c r="BQ150" s="47">
        <f t="shared" si="154"/>
        <v>40.441177946650235</v>
      </c>
      <c r="BR150" s="529"/>
      <c r="BS150" s="529"/>
      <c r="BT150" s="529">
        <v>2511.886</v>
      </c>
      <c r="BU150" s="529">
        <v>7.45716</v>
      </c>
      <c r="BV150" s="529">
        <v>-252.25200000000001</v>
      </c>
      <c r="BW150" s="49"/>
      <c r="BY150" s="529"/>
      <c r="BZ150" s="529"/>
      <c r="CA150" s="529"/>
      <c r="CC150" s="529"/>
    </row>
    <row r="151" spans="1:81">
      <c r="A151">
        <f t="shared" si="106"/>
        <v>58500</v>
      </c>
      <c r="B151">
        <f t="shared" si="138"/>
        <v>58.5</v>
      </c>
      <c r="C151">
        <f t="shared" si="107"/>
        <v>1.0423373778082419</v>
      </c>
      <c r="D151">
        <f t="shared" si="108"/>
        <v>0.28599200698277066</v>
      </c>
      <c r="F151">
        <f t="shared" si="109"/>
        <v>2.802888069139386E-3</v>
      </c>
      <c r="G151">
        <f t="shared" si="110"/>
        <v>1.5984478937917532E-2</v>
      </c>
      <c r="H151">
        <f t="shared" si="111"/>
        <v>-3.1256081710620829</v>
      </c>
      <c r="J151">
        <f t="shared" si="112"/>
        <v>15</v>
      </c>
      <c r="M151">
        <f t="shared" si="113"/>
        <v>2.5743193469845556E-2</v>
      </c>
      <c r="N151">
        <f t="shared" si="114"/>
        <v>-1.5707963250000001</v>
      </c>
      <c r="O151">
        <f t="shared" si="115"/>
        <v>28.522305201189088</v>
      </c>
      <c r="P151">
        <f t="shared" si="116"/>
        <v>1.5357288602318588</v>
      </c>
      <c r="Q151">
        <f t="shared" si="117"/>
        <v>22.26875542649228</v>
      </c>
      <c r="R151">
        <f t="shared" si="118"/>
        <v>1.5258752534266922</v>
      </c>
      <c r="S151">
        <f t="shared" si="119"/>
        <v>0.95417860999529081</v>
      </c>
      <c r="T151">
        <f t="shared" si="120"/>
        <v>-0.3038936102317974</v>
      </c>
      <c r="U151">
        <f t="shared" si="121"/>
        <v>0.89841961164439865</v>
      </c>
      <c r="V151">
        <f t="shared" si="122"/>
        <v>-0.45463900886933778</v>
      </c>
      <c r="X151">
        <f t="shared" si="139"/>
        <v>-4.2328557048091975</v>
      </c>
      <c r="Y151">
        <f t="shared" si="123"/>
        <v>-120.74174511897377</v>
      </c>
      <c r="Z151">
        <f t="shared" si="140"/>
        <v>59.258254881026232</v>
      </c>
      <c r="AC151">
        <v>1</v>
      </c>
      <c r="AD151">
        <f t="shared" si="124"/>
        <v>28.504769670877501</v>
      </c>
      <c r="AE151">
        <f t="shared" si="125"/>
        <v>-8.5914629667520023E-4</v>
      </c>
      <c r="AF151">
        <f t="shared" si="126"/>
        <v>1.7577022381191001E-3</v>
      </c>
      <c r="AG151">
        <f t="shared" si="141"/>
        <v>12865.271737249819</v>
      </c>
      <c r="AH151">
        <f t="shared" si="142"/>
        <v>-6857.3335729925784</v>
      </c>
      <c r="AJ151">
        <f t="shared" si="127"/>
        <v>22100</v>
      </c>
      <c r="AK151">
        <f t="shared" si="128"/>
        <v>6930.7279894075864</v>
      </c>
      <c r="AL151">
        <v>1</v>
      </c>
      <c r="AM151">
        <f t="shared" si="129"/>
        <v>22.246291112114161</v>
      </c>
      <c r="AN151">
        <f t="shared" si="143"/>
        <v>355.48274342907234</v>
      </c>
      <c r="AO151">
        <f t="shared" si="144"/>
        <v>-977.44460624854491</v>
      </c>
      <c r="AQ151">
        <f t="shared" si="130"/>
        <v>0.73046018991964934</v>
      </c>
      <c r="AR151">
        <f t="shared" si="131"/>
        <v>-85.463842220598977</v>
      </c>
      <c r="AT151">
        <f t="shared" si="156"/>
        <v>-576656.50569969451</v>
      </c>
      <c r="AU151">
        <f t="shared" si="157"/>
        <v>-1104524.5630615205</v>
      </c>
      <c r="AV151">
        <f t="shared" si="145"/>
        <v>-2.0519560017946605</v>
      </c>
      <c r="AW151">
        <f t="shared" si="146"/>
        <v>-70561.575954561791</v>
      </c>
      <c r="AX151">
        <f t="shared" si="147"/>
        <v>-42496.061913132515</v>
      </c>
      <c r="AY151">
        <f t="shared" si="155"/>
        <v>-2.5995167146525868</v>
      </c>
      <c r="BA151">
        <f t="shared" si="132"/>
        <v>15.1267855572441</v>
      </c>
      <c r="BB151">
        <f t="shared" si="148"/>
        <v>23.594933004525359</v>
      </c>
      <c r="BC151">
        <f t="shared" si="149"/>
        <v>0.54756071285792629</v>
      </c>
      <c r="BD151">
        <f t="shared" si="133"/>
        <v>-148.6270820902173</v>
      </c>
      <c r="BF151">
        <f t="shared" si="134"/>
        <v>-3.5709604820660785</v>
      </c>
      <c r="BG151">
        <f t="shared" si="135"/>
        <v>-131.32510391499974</v>
      </c>
      <c r="BH151">
        <f t="shared" si="150"/>
        <v>48.674896085000256</v>
      </c>
      <c r="BI151">
        <f t="shared" si="151"/>
        <v>48.674896085000256</v>
      </c>
      <c r="BJ151">
        <f t="shared" si="136"/>
        <v>0</v>
      </c>
      <c r="BK151">
        <f t="shared" si="152"/>
        <v>0</v>
      </c>
      <c r="BM151">
        <f t="shared" si="153"/>
        <v>-27.165893486591436</v>
      </c>
      <c r="BN151">
        <f t="shared" si="137"/>
        <v>-162.69802182478247</v>
      </c>
      <c r="BQ151" s="47">
        <f t="shared" si="154"/>
        <v>40.49689380481049</v>
      </c>
      <c r="BR151" s="529"/>
      <c r="BS151" s="529"/>
      <c r="BT151" s="529">
        <v>2570.3960000000002</v>
      </c>
      <c r="BU151" s="529">
        <v>7.31271</v>
      </c>
      <c r="BV151" s="529">
        <v>-251.702</v>
      </c>
      <c r="BW151" s="49"/>
      <c r="BY151" s="529"/>
      <c r="BZ151" s="529"/>
      <c r="CA151" s="529"/>
      <c r="CC151" s="529"/>
    </row>
    <row r="152" spans="1:81">
      <c r="A152">
        <f t="shared" si="106"/>
        <v>59000</v>
      </c>
      <c r="B152">
        <f t="shared" si="138"/>
        <v>59</v>
      </c>
      <c r="C152">
        <f t="shared" si="107"/>
        <v>1.0430491827688151</v>
      </c>
      <c r="D152">
        <f t="shared" si="108"/>
        <v>0.28830368395698941</v>
      </c>
      <c r="F152">
        <f t="shared" si="109"/>
        <v>2.7554560540809505E-3</v>
      </c>
      <c r="G152">
        <f t="shared" si="110"/>
        <v>1.5848276860630301E-2</v>
      </c>
      <c r="H152">
        <f t="shared" si="111"/>
        <v>-3.1257443731393697</v>
      </c>
      <c r="J152">
        <f t="shared" si="112"/>
        <v>15</v>
      </c>
      <c r="M152">
        <f t="shared" si="113"/>
        <v>2.5525030813321442E-2</v>
      </c>
      <c r="N152">
        <f t="shared" si="114"/>
        <v>-1.5707963250000001</v>
      </c>
      <c r="O152">
        <f t="shared" si="115"/>
        <v>28.765787195213498</v>
      </c>
      <c r="P152">
        <f t="shared" si="116"/>
        <v>1.536025801661224</v>
      </c>
      <c r="Q152">
        <f t="shared" si="117"/>
        <v>22.458704480837405</v>
      </c>
      <c r="R152">
        <f t="shared" si="118"/>
        <v>1.5262554350481932</v>
      </c>
      <c r="S152">
        <f t="shared" si="119"/>
        <v>0.95344607565132389</v>
      </c>
      <c r="T152">
        <f t="shared" si="120"/>
        <v>-0.30633213382372559</v>
      </c>
      <c r="U152">
        <f t="shared" si="121"/>
        <v>0.89693616896544381</v>
      </c>
      <c r="V152">
        <f t="shared" si="122"/>
        <v>-0.45800550047716626</v>
      </c>
      <c r="X152">
        <f t="shared" si="139"/>
        <v>-4.3225110612191964</v>
      </c>
      <c r="Y152">
        <f t="shared" si="123"/>
        <v>-120.91090616706589</v>
      </c>
      <c r="Z152">
        <f t="shared" si="140"/>
        <v>59.089093832934111</v>
      </c>
      <c r="AC152">
        <v>1</v>
      </c>
      <c r="AD152">
        <f t="shared" si="124"/>
        <v>28.748400180885003</v>
      </c>
      <c r="AE152">
        <f t="shared" si="125"/>
        <v>-8.7389531995803117E-4</v>
      </c>
      <c r="AF152">
        <f t="shared" si="126"/>
        <v>1.7727253341714004E-3</v>
      </c>
      <c r="AG152">
        <f t="shared" si="141"/>
        <v>12822.821334939954</v>
      </c>
      <c r="AH152">
        <f t="shared" si="142"/>
        <v>-6885.332610743787</v>
      </c>
      <c r="AJ152">
        <f t="shared" si="127"/>
        <v>22100</v>
      </c>
      <c r="AK152">
        <f t="shared" si="128"/>
        <v>6989.9649807700443</v>
      </c>
      <c r="AL152">
        <v>1</v>
      </c>
      <c r="AM152">
        <f t="shared" si="129"/>
        <v>22.436430352388641</v>
      </c>
      <c r="AN152">
        <f t="shared" si="143"/>
        <v>354.74266710970045</v>
      </c>
      <c r="AO152">
        <f t="shared" si="144"/>
        <v>-969.19416285733894</v>
      </c>
      <c r="AQ152">
        <f t="shared" si="130"/>
        <v>0.71813285457809695</v>
      </c>
      <c r="AR152">
        <f t="shared" si="131"/>
        <v>-84.739676840215438</v>
      </c>
      <c r="AT152">
        <f t="shared" si="156"/>
        <v>-574252.37108282</v>
      </c>
      <c r="AU152">
        <f t="shared" si="157"/>
        <v>-1091546.3196651046</v>
      </c>
      <c r="AV152">
        <f t="shared" si="145"/>
        <v>-2.0550979790027646</v>
      </c>
      <c r="AW152">
        <f t="shared" si="146"/>
        <v>-69201.554254032744</v>
      </c>
      <c r="AX152">
        <f t="shared" si="147"/>
        <v>-42143.859148769865</v>
      </c>
      <c r="AY152">
        <f t="shared" si="155"/>
        <v>-2.5945805867444216</v>
      </c>
      <c r="BA152">
        <f t="shared" si="132"/>
        <v>15.222385149441598</v>
      </c>
      <c r="BB152">
        <f t="shared" si="148"/>
        <v>23.64965412107491</v>
      </c>
      <c r="BC152">
        <f t="shared" si="149"/>
        <v>0.53948260774165702</v>
      </c>
      <c r="BD152">
        <f t="shared" si="133"/>
        <v>-149.08992342037143</v>
      </c>
      <c r="BF152">
        <f t="shared" si="134"/>
        <v>-3.6585551751884631</v>
      </c>
      <c r="BG152">
        <f t="shared" si="135"/>
        <v>-131.66329971498061</v>
      </c>
      <c r="BH152">
        <f t="shared" si="150"/>
        <v>48.33670028501939</v>
      </c>
      <c r="BI152">
        <f t="shared" si="151"/>
        <v>48.33670028501939</v>
      </c>
      <c r="BJ152">
        <f t="shared" si="136"/>
        <v>0</v>
      </c>
      <c r="BK152">
        <f t="shared" si="152"/>
        <v>0</v>
      </c>
      <c r="BM152">
        <f t="shared" si="153"/>
        <v>-27.308209296263371</v>
      </c>
      <c r="BN152">
        <f t="shared" si="137"/>
        <v>-162.57337629460918</v>
      </c>
      <c r="BQ152" s="47">
        <f t="shared" si="154"/>
        <v>40.551614921360049</v>
      </c>
      <c r="BR152" s="529"/>
      <c r="BS152" s="529"/>
      <c r="BT152" s="529">
        <v>2630.268</v>
      </c>
      <c r="BU152" s="529">
        <v>7.13504</v>
      </c>
      <c r="BV152" s="529">
        <v>-251.40100000000001</v>
      </c>
      <c r="BW152" s="49"/>
      <c r="BY152" s="529"/>
      <c r="BZ152" s="529"/>
      <c r="CA152" s="529"/>
      <c r="CC152" s="529"/>
    </row>
    <row r="153" spans="1:81">
      <c r="A153">
        <f t="shared" si="106"/>
        <v>59500</v>
      </c>
      <c r="B153">
        <f t="shared" si="138"/>
        <v>59.5</v>
      </c>
      <c r="C153">
        <f t="shared" si="107"/>
        <v>1.0437665540085239</v>
      </c>
      <c r="D153">
        <f t="shared" si="108"/>
        <v>0.29061219566443985</v>
      </c>
      <c r="F153">
        <f t="shared" si="109"/>
        <v>2.7092189721711667E-3</v>
      </c>
      <c r="G153">
        <f t="shared" si="110"/>
        <v>1.571438238846606E-2</v>
      </c>
      <c r="H153">
        <f t="shared" si="111"/>
        <v>-3.125878267611534</v>
      </c>
      <c r="J153">
        <f t="shared" si="112"/>
        <v>15</v>
      </c>
      <c r="M153">
        <f t="shared" si="113"/>
        <v>2.5310534756066639E-2</v>
      </c>
      <c r="N153">
        <f t="shared" si="114"/>
        <v>-1.5707963250000001</v>
      </c>
      <c r="O153">
        <f t="shared" si="115"/>
        <v>29.009271683061137</v>
      </c>
      <c r="P153">
        <f t="shared" si="116"/>
        <v>1.5363177584591619</v>
      </c>
      <c r="Q153">
        <f t="shared" si="117"/>
        <v>22.64865672687074</v>
      </c>
      <c r="R153">
        <f t="shared" si="118"/>
        <v>1.5266292396248693</v>
      </c>
      <c r="S153">
        <f t="shared" si="119"/>
        <v>0.95270901305958189</v>
      </c>
      <c r="T153">
        <f t="shared" si="120"/>
        <v>-0.30876690166819976</v>
      </c>
      <c r="U153">
        <f t="shared" si="121"/>
        <v>0.8954475188940404</v>
      </c>
      <c r="V153">
        <f t="shared" si="122"/>
        <v>-0.46136085523670767</v>
      </c>
      <c r="X153">
        <f t="shared" si="139"/>
        <v>-4.4116049839676181</v>
      </c>
      <c r="Y153">
        <f t="shared" si="123"/>
        <v>-121.0799140487659</v>
      </c>
      <c r="Z153">
        <f t="shared" si="140"/>
        <v>58.9200859512341</v>
      </c>
      <c r="AC153">
        <v>1</v>
      </c>
      <c r="AD153">
        <f t="shared" si="124"/>
        <v>28.992030690892502</v>
      </c>
      <c r="AE153">
        <f t="shared" si="125"/>
        <v>-8.8876986684326912E-4</v>
      </c>
      <c r="AF153">
        <f t="shared" si="126"/>
        <v>1.7877484302237E-3</v>
      </c>
      <c r="AG153">
        <f t="shared" si="141"/>
        <v>12780.29243768113</v>
      </c>
      <c r="AH153">
        <f t="shared" si="142"/>
        <v>-6913.0189679481109</v>
      </c>
      <c r="AJ153">
        <f t="shared" si="127"/>
        <v>22100</v>
      </c>
      <c r="AK153">
        <f t="shared" si="128"/>
        <v>7049.2019721325023</v>
      </c>
      <c r="AL153">
        <v>1</v>
      </c>
      <c r="AM153">
        <f t="shared" si="129"/>
        <v>22.62656959266312</v>
      </c>
      <c r="AN153">
        <f t="shared" si="143"/>
        <v>354.0211211753662</v>
      </c>
      <c r="AO153">
        <f t="shared" si="144"/>
        <v>-961.08156341454321</v>
      </c>
      <c r="AQ153">
        <f t="shared" si="130"/>
        <v>0.70611495551475778</v>
      </c>
      <c r="AR153">
        <f t="shared" si="131"/>
        <v>-84.02767970625618</v>
      </c>
      <c r="AT153">
        <f t="shared" si="156"/>
        <v>-571860.58801591874</v>
      </c>
      <c r="AU153">
        <f t="shared" si="157"/>
        <v>-1078779.7055867834</v>
      </c>
      <c r="AV153">
        <f t="shared" si="145"/>
        <v>-2.0582325868196918</v>
      </c>
      <c r="AW153">
        <f t="shared" si="146"/>
        <v>-67876.657380005359</v>
      </c>
      <c r="AX153">
        <f t="shared" si="147"/>
        <v>-41799.577449158176</v>
      </c>
      <c r="AY153">
        <f t="shared" si="155"/>
        <v>-2.5896243492927349</v>
      </c>
      <c r="BA153">
        <f t="shared" si="132"/>
        <v>15.316849317775175</v>
      </c>
      <c r="BB153">
        <f t="shared" si="148"/>
        <v>23.703388798585465</v>
      </c>
      <c r="BC153">
        <f t="shared" si="149"/>
        <v>0.53139176247304309</v>
      </c>
      <c r="BD153">
        <f t="shared" si="133"/>
        <v>-149.5534947074861</v>
      </c>
      <c r="BF153">
        <f t="shared" si="134"/>
        <v>-3.7458363276234707</v>
      </c>
      <c r="BG153">
        <f t="shared" si="135"/>
        <v>-132.00227461231461</v>
      </c>
      <c r="BH153">
        <f t="shared" si="150"/>
        <v>47.997725387685392</v>
      </c>
      <c r="BI153">
        <f t="shared" si="151"/>
        <v>47.997725387685392</v>
      </c>
      <c r="BJ153">
        <f t="shared" si="136"/>
        <v>0</v>
      </c>
      <c r="BK153">
        <f t="shared" si="152"/>
        <v>0</v>
      </c>
      <c r="BM153">
        <f t="shared" si="153"/>
        <v>-27.44922512620893</v>
      </c>
      <c r="BN153">
        <f t="shared" si="137"/>
        <v>-162.44877990482851</v>
      </c>
      <c r="BQ153" s="47">
        <f t="shared" si="154"/>
        <v>40.605349598870603</v>
      </c>
      <c r="BR153" s="529"/>
      <c r="BS153" s="529"/>
      <c r="BT153" s="529">
        <v>2691.5349999999999</v>
      </c>
      <c r="BU153" s="529">
        <v>6.8809300000000002</v>
      </c>
      <c r="BV153" s="529">
        <v>-251.244</v>
      </c>
      <c r="BW153" s="49"/>
      <c r="BY153" s="529"/>
      <c r="BZ153" s="529"/>
      <c r="CA153" s="529"/>
      <c r="CC153" s="529"/>
    </row>
    <row r="154" spans="1:81">
      <c r="A154">
        <f t="shared" si="106"/>
        <v>60000</v>
      </c>
      <c r="B154">
        <f t="shared" si="138"/>
        <v>60</v>
      </c>
      <c r="C154">
        <f t="shared" si="107"/>
        <v>1.0444894800583535</v>
      </c>
      <c r="D154">
        <f t="shared" si="108"/>
        <v>0.29291752404729698</v>
      </c>
      <c r="F154">
        <f t="shared" si="109"/>
        <v>2.6641369861501651E-3</v>
      </c>
      <c r="G154">
        <f t="shared" si="110"/>
        <v>1.5582737219895048E-2</v>
      </c>
      <c r="H154">
        <f t="shared" si="111"/>
        <v>-3.1260099127801051</v>
      </c>
      <c r="J154">
        <f t="shared" si="112"/>
        <v>15</v>
      </c>
      <c r="M154">
        <f t="shared" si="113"/>
        <v>2.509961363309942E-2</v>
      </c>
      <c r="N154">
        <f t="shared" si="114"/>
        <v>-1.5707963250000001</v>
      </c>
      <c r="O154">
        <f t="shared" si="115"/>
        <v>29.252758602460212</v>
      </c>
      <c r="P154">
        <f t="shared" si="116"/>
        <v>1.5366048550448159</v>
      </c>
      <c r="Q154">
        <f t="shared" si="117"/>
        <v>22.838612084954999</v>
      </c>
      <c r="R154">
        <f t="shared" si="118"/>
        <v>1.5269968261701232</v>
      </c>
      <c r="S154">
        <f t="shared" si="119"/>
        <v>0.95196745889912249</v>
      </c>
      <c r="T154">
        <f t="shared" si="120"/>
        <v>-0.31119789363513678</v>
      </c>
      <c r="U154">
        <f t="shared" si="121"/>
        <v>0.8939537876220931</v>
      </c>
      <c r="V154">
        <f t="shared" si="122"/>
        <v>-0.4647050531434555</v>
      </c>
      <c r="X154">
        <f t="shared" si="139"/>
        <v>-4.5001475051782238</v>
      </c>
      <c r="Y154">
        <f t="shared" si="123"/>
        <v>-121.24875460011117</v>
      </c>
      <c r="Z154">
        <f t="shared" si="140"/>
        <v>58.75124539988883</v>
      </c>
      <c r="AC154">
        <v>1</v>
      </c>
      <c r="AD154">
        <f t="shared" si="124"/>
        <v>29.235661200900005</v>
      </c>
      <c r="AE154">
        <f t="shared" si="125"/>
        <v>-9.0376993733091418E-4</v>
      </c>
      <c r="AF154">
        <f t="shared" si="126"/>
        <v>1.8027715262760003E-3</v>
      </c>
      <c r="AG154">
        <f t="shared" si="141"/>
        <v>12737.689382969511</v>
      </c>
      <c r="AH154">
        <f t="shared" si="142"/>
        <v>-6940.3918095117815</v>
      </c>
      <c r="AJ154">
        <f t="shared" si="127"/>
        <v>22100</v>
      </c>
      <c r="AK154">
        <f t="shared" si="128"/>
        <v>7108.4389634949603</v>
      </c>
      <c r="AL154">
        <v>1</v>
      </c>
      <c r="AM154">
        <f t="shared" si="129"/>
        <v>22.8167088329376</v>
      </c>
      <c r="AN154">
        <f t="shared" si="143"/>
        <v>353.31749251015265</v>
      </c>
      <c r="AO154">
        <f t="shared" si="144"/>
        <v>-953.10338869280361</v>
      </c>
      <c r="AQ154">
        <f t="shared" si="130"/>
        <v>0.69439622248454969</v>
      </c>
      <c r="AR154">
        <f t="shared" si="131"/>
        <v>-83.327546698145966</v>
      </c>
      <c r="AT154">
        <f t="shared" si="156"/>
        <v>-569480.81921980716</v>
      </c>
      <c r="AU154">
        <f t="shared" si="157"/>
        <v>-1066219.7887409576</v>
      </c>
      <c r="AV154">
        <f t="shared" si="145"/>
        <v>-2.0613597112482971</v>
      </c>
      <c r="AW154">
        <f t="shared" si="146"/>
        <v>-66585.722356981074</v>
      </c>
      <c r="AX154">
        <f t="shared" si="147"/>
        <v>-41462.949792047024</v>
      </c>
      <c r="AY154">
        <f t="shared" si="155"/>
        <v>-2.5846487591323859</v>
      </c>
      <c r="BA154">
        <f t="shared" si="132"/>
        <v>15.410163964497997</v>
      </c>
      <c r="BB154">
        <f t="shared" si="148"/>
        <v>23.756145192925008</v>
      </c>
      <c r="BC154">
        <f t="shared" si="149"/>
        <v>0.52328904788408881</v>
      </c>
      <c r="BD154">
        <f t="shared" si="133"/>
        <v>-150.01774605656274</v>
      </c>
      <c r="BF154">
        <f t="shared" si="134"/>
        <v>-3.8328171845843606</v>
      </c>
      <c r="BG154">
        <f t="shared" si="135"/>
        <v>-132.34198308707192</v>
      </c>
      <c r="BH154">
        <f t="shared" si="150"/>
        <v>47.658016912928076</v>
      </c>
      <c r="BI154">
        <f t="shared" si="151"/>
        <v>47.658016912928076</v>
      </c>
      <c r="BJ154">
        <f t="shared" si="136"/>
        <v>0</v>
      </c>
      <c r="BK154">
        <f t="shared" si="152"/>
        <v>0</v>
      </c>
      <c r="BM154">
        <f t="shared" si="153"/>
        <v>-27.588962377509368</v>
      </c>
      <c r="BN154">
        <f t="shared" si="137"/>
        <v>-162.32423703050918</v>
      </c>
      <c r="BQ154" s="47">
        <f t="shared" si="154"/>
        <v>40.658105993210143</v>
      </c>
      <c r="BR154" s="529"/>
      <c r="BS154" s="529"/>
      <c r="BT154" s="529">
        <v>2754.2289999999998</v>
      </c>
      <c r="BU154" s="529">
        <v>6.7009400000000001</v>
      </c>
      <c r="BV154" s="529">
        <v>-251.05099999999999</v>
      </c>
      <c r="BW154" s="49"/>
      <c r="BY154" s="529"/>
      <c r="BZ154" s="529"/>
      <c r="CA154" s="529"/>
      <c r="CC154" s="529"/>
    </row>
    <row r="155" spans="1:81">
      <c r="A155">
        <f t="shared" si="106"/>
        <v>60500</v>
      </c>
      <c r="B155">
        <f t="shared" si="138"/>
        <v>60.5</v>
      </c>
      <c r="C155">
        <f t="shared" si="107"/>
        <v>1.0452179493923335</v>
      </c>
      <c r="D155">
        <f t="shared" si="108"/>
        <v>0.29521965123284394</v>
      </c>
      <c r="F155">
        <f t="shared" si="109"/>
        <v>2.6201719065408386E-3</v>
      </c>
      <c r="G155">
        <f t="shared" si="110"/>
        <v>1.5453285005789128E-2</v>
      </c>
      <c r="H155">
        <f t="shared" si="111"/>
        <v>-3.1261393649942111</v>
      </c>
      <c r="J155">
        <f t="shared" si="112"/>
        <v>15</v>
      </c>
      <c r="M155">
        <f t="shared" si="113"/>
        <v>2.4892178809685375E-2</v>
      </c>
      <c r="N155">
        <f t="shared" si="114"/>
        <v>-1.5707963250000001</v>
      </c>
      <c r="O155">
        <f t="shared" si="115"/>
        <v>29.496247893194482</v>
      </c>
      <c r="P155">
        <f t="shared" si="116"/>
        <v>1.5368872117323149</v>
      </c>
      <c r="Q155">
        <f t="shared" si="117"/>
        <v>23.028570478079228</v>
      </c>
      <c r="R155">
        <f t="shared" si="118"/>
        <v>1.5273583484575211</v>
      </c>
      <c r="S155">
        <f t="shared" si="119"/>
        <v>0.95122144991319335</v>
      </c>
      <c r="T155">
        <f t="shared" si="120"/>
        <v>-0.31362508983535314</v>
      </c>
      <c r="U155">
        <f t="shared" si="121"/>
        <v>0.89245510051528198</v>
      </c>
      <c r="V155">
        <f t="shared" si="122"/>
        <v>-0.4680380753238918</v>
      </c>
      <c r="X155">
        <f t="shared" si="139"/>
        <v>-4.5881483778590235</v>
      </c>
      <c r="Y155">
        <f t="shared" si="123"/>
        <v>-121.4174141486929</v>
      </c>
      <c r="Z155">
        <f t="shared" si="140"/>
        <v>58.582585851307101</v>
      </c>
      <c r="AC155">
        <v>1</v>
      </c>
      <c r="AD155">
        <f t="shared" si="124"/>
        <v>29.4792917109075</v>
      </c>
      <c r="AE155">
        <f t="shared" si="125"/>
        <v>-9.1889553142096634E-4</v>
      </c>
      <c r="AF155">
        <f t="shared" si="126"/>
        <v>1.8177946223283002E-3</v>
      </c>
      <c r="AG155">
        <f t="shared" si="141"/>
        <v>12695.016463270416</v>
      </c>
      <c r="AH155">
        <f t="shared" si="142"/>
        <v>-6967.4504170292184</v>
      </c>
      <c r="AJ155">
        <f t="shared" si="127"/>
        <v>22100</v>
      </c>
      <c r="AK155">
        <f t="shared" si="128"/>
        <v>7167.6759548574191</v>
      </c>
      <c r="AL155">
        <v>1</v>
      </c>
      <c r="AM155">
        <f t="shared" si="129"/>
        <v>23.00684807321208</v>
      </c>
      <c r="AN155">
        <f t="shared" si="143"/>
        <v>352.63119313193977</v>
      </c>
      <c r="AO155">
        <f t="shared" si="144"/>
        <v>-945.25633140462685</v>
      </c>
      <c r="AQ155">
        <f t="shared" si="130"/>
        <v>0.68296680781314023</v>
      </c>
      <c r="AR155">
        <f t="shared" si="131"/>
        <v>-82.638983745389979</v>
      </c>
      <c r="AT155">
        <f t="shared" si="156"/>
        <v>-567112.74689063313</v>
      </c>
      <c r="AU155">
        <f t="shared" si="157"/>
        <v>-1053861.7965255769</v>
      </c>
      <c r="AV155">
        <f t="shared" si="145"/>
        <v>-2.0644792425217187</v>
      </c>
      <c r="AW155">
        <f t="shared" si="146"/>
        <v>-65327.63371441327</v>
      </c>
      <c r="AX155">
        <f t="shared" si="147"/>
        <v>-41133.720535453969</v>
      </c>
      <c r="AY155">
        <f t="shared" si="155"/>
        <v>-2.57965457515723</v>
      </c>
      <c r="BA155">
        <f t="shared" si="132"/>
        <v>15.502315317062695</v>
      </c>
      <c r="BB155">
        <f t="shared" si="148"/>
        <v>23.807931323832975</v>
      </c>
      <c r="BC155">
        <f t="shared" si="149"/>
        <v>0.5151753326355113</v>
      </c>
      <c r="BD155">
        <f t="shared" si="133"/>
        <v>-150.48262769700838</v>
      </c>
      <c r="BF155">
        <f t="shared" si="134"/>
        <v>-3.9195105944403519</v>
      </c>
      <c r="BG155">
        <f t="shared" si="135"/>
        <v>-132.68237962125804</v>
      </c>
      <c r="BH155">
        <f t="shared" si="150"/>
        <v>47.317620378741964</v>
      </c>
      <c r="BI155">
        <f t="shared" si="151"/>
        <v>47.317620378741964</v>
      </c>
      <c r="BJ155">
        <f t="shared" si="136"/>
        <v>0</v>
      </c>
      <c r="BK155">
        <f t="shared" si="152"/>
        <v>0</v>
      </c>
      <c r="BM155">
        <f t="shared" si="153"/>
        <v>-27.727441918273325</v>
      </c>
      <c r="BN155">
        <f t="shared" si="137"/>
        <v>-162.19975192424965</v>
      </c>
      <c r="BQ155" s="47">
        <f t="shared" si="154"/>
        <v>40.709892124118106</v>
      </c>
      <c r="BR155" s="529"/>
      <c r="BS155" s="529"/>
      <c r="BT155" s="529">
        <v>2818.3829999999998</v>
      </c>
      <c r="BU155" s="529">
        <v>6.5356199999999998</v>
      </c>
      <c r="BV155" s="529">
        <v>-250.48</v>
      </c>
      <c r="BW155" s="49"/>
      <c r="BY155" s="529"/>
      <c r="BZ155" s="529"/>
      <c r="CA155" s="529"/>
      <c r="CC155" s="529"/>
    </row>
    <row r="156" spans="1:81">
      <c r="A156">
        <f t="shared" si="106"/>
        <v>61000</v>
      </c>
      <c r="B156">
        <f t="shared" si="138"/>
        <v>61</v>
      </c>
      <c r="C156">
        <f t="shared" si="107"/>
        <v>1.0459519504283474</v>
      </c>
      <c r="D156">
        <f t="shared" si="108"/>
        <v>0.29751855953368905</v>
      </c>
      <c r="F156">
        <f t="shared" si="109"/>
        <v>2.5772871104657929E-3</v>
      </c>
      <c r="G156">
        <f t="shared" si="110"/>
        <v>1.5325971268180002E-2</v>
      </c>
      <c r="H156">
        <f t="shared" si="111"/>
        <v>-3.1262666787318203</v>
      </c>
      <c r="J156">
        <f t="shared" si="112"/>
        <v>15</v>
      </c>
      <c r="M156">
        <f t="shared" si="113"/>
        <v>2.468814455714697E-2</v>
      </c>
      <c r="N156">
        <f t="shared" si="114"/>
        <v>-1.5707963250000001</v>
      </c>
      <c r="O156">
        <f t="shared" si="115"/>
        <v>29.739739497019183</v>
      </c>
      <c r="P156">
        <f t="shared" si="116"/>
        <v>1.5371649448986215</v>
      </c>
      <c r="Q156">
        <f t="shared" si="117"/>
        <v>23.218531831751466</v>
      </c>
      <c r="R156">
        <f t="shared" si="118"/>
        <v>1.5277139552347254</v>
      </c>
      <c r="S156">
        <f t="shared" si="119"/>
        <v>0.95047102290496843</v>
      </c>
      <c r="T156">
        <f t="shared" si="120"/>
        <v>-0.31604847062061936</v>
      </c>
      <c r="U156">
        <f t="shared" si="121"/>
        <v>0.89095158209757086</v>
      </c>
      <c r="V156">
        <f t="shared" si="122"/>
        <v>-0.4713599040236251</v>
      </c>
      <c r="X156">
        <f t="shared" si="139"/>
        <v>-4.6756170856519201</v>
      </c>
      <c r="Y156">
        <f t="shared" si="123"/>
        <v>-121.58587949574721</v>
      </c>
      <c r="Z156">
        <f t="shared" si="140"/>
        <v>58.414120504252793</v>
      </c>
      <c r="AC156">
        <v>1</v>
      </c>
      <c r="AD156">
        <f t="shared" si="124"/>
        <v>29.722922220915002</v>
      </c>
      <c r="AE156">
        <f t="shared" si="125"/>
        <v>-9.3414664911342551E-4</v>
      </c>
      <c r="AF156">
        <f t="shared" si="126"/>
        <v>1.8328177183806003E-3</v>
      </c>
      <c r="AG156">
        <f t="shared" si="141"/>
        <v>12652.277925574468</v>
      </c>
      <c r="AH156">
        <f t="shared" si="142"/>
        <v>-6994.1941848715578</v>
      </c>
      <c r="AJ156">
        <f t="shared" si="127"/>
        <v>22100</v>
      </c>
      <c r="AK156">
        <f t="shared" si="128"/>
        <v>7226.9129462198771</v>
      </c>
      <c r="AL156">
        <v>1</v>
      </c>
      <c r="AM156">
        <f t="shared" si="129"/>
        <v>23.196987313486563</v>
      </c>
      <c r="AN156">
        <f t="shared" si="143"/>
        <v>351.96165896683658</v>
      </c>
      <c r="AO156">
        <f t="shared" si="144"/>
        <v>-937.537191667515</v>
      </c>
      <c r="AQ156">
        <f t="shared" si="130"/>
        <v>0.67181726570372857</v>
      </c>
      <c r="AR156">
        <f t="shared" si="131"/>
        <v>-81.961706415854891</v>
      </c>
      <c r="AT156">
        <f t="shared" si="156"/>
        <v>-564756.07163503894</v>
      </c>
      <c r="AU156">
        <f t="shared" si="157"/>
        <v>-1041701.1092408174</v>
      </c>
      <c r="AV156">
        <f t="shared" si="145"/>
        <v>-2.0675910749648843</v>
      </c>
      <c r="AW156">
        <f t="shared" si="146"/>
        <v>-64101.321175205223</v>
      </c>
      <c r="AX156">
        <f t="shared" si="147"/>
        <v>-40811.644832767292</v>
      </c>
      <c r="AY156">
        <f t="shared" si="155"/>
        <v>-2.5746425581861607</v>
      </c>
      <c r="BA156">
        <f t="shared" si="132"/>
        <v>15.593289942186926</v>
      </c>
      <c r="BB156">
        <f t="shared" si="148"/>
        <v>23.858755085045921</v>
      </c>
      <c r="BC156">
        <f t="shared" si="149"/>
        <v>0.50705148322127647</v>
      </c>
      <c r="BD156">
        <f t="shared" si="133"/>
        <v>-150.94808998237573</v>
      </c>
      <c r="BF156">
        <f t="shared" si="134"/>
        <v>-4.005929016367082</v>
      </c>
      <c r="BG156">
        <f t="shared" si="135"/>
        <v>-133.02341870319623</v>
      </c>
      <c r="BH156">
        <f t="shared" si="150"/>
        <v>46.976581296803772</v>
      </c>
      <c r="BI156">
        <f t="shared" si="151"/>
        <v>46.976581296803772</v>
      </c>
      <c r="BJ156">
        <f t="shared" si="136"/>
        <v>0</v>
      </c>
      <c r="BK156">
        <f t="shared" si="152"/>
        <v>0</v>
      </c>
      <c r="BM156">
        <f t="shared" si="153"/>
        <v>-27.864684101413001</v>
      </c>
      <c r="BN156">
        <f t="shared" si="137"/>
        <v>-162.07532872082052</v>
      </c>
      <c r="BQ156" s="47">
        <f t="shared" si="154"/>
        <v>40.760715885331052</v>
      </c>
      <c r="BR156" s="529"/>
      <c r="BS156" s="529"/>
      <c r="BT156" s="529">
        <v>2884.0320000000002</v>
      </c>
      <c r="BU156" s="529">
        <v>6.3265200000000004</v>
      </c>
      <c r="BV156" s="529">
        <v>-250.202</v>
      </c>
      <c r="BW156" s="49"/>
      <c r="BY156" s="529"/>
      <c r="BZ156" s="529"/>
      <c r="CA156" s="529"/>
      <c r="CC156" s="529"/>
    </row>
    <row r="157" spans="1:81">
      <c r="A157">
        <f t="shared" si="106"/>
        <v>61500</v>
      </c>
      <c r="B157">
        <f t="shared" si="138"/>
        <v>61.5</v>
      </c>
      <c r="C157">
        <f t="shared" si="107"/>
        <v>1.0466914715289404</v>
      </c>
      <c r="D157">
        <f t="shared" si="108"/>
        <v>0.29981423144795943</v>
      </c>
      <c r="F157">
        <f t="shared" si="109"/>
        <v>2.5354474650963101E-3</v>
      </c>
      <c r="G157">
        <f t="shared" si="110"/>
        <v>1.5200743323049761E-2</v>
      </c>
      <c r="H157">
        <f t="shared" si="111"/>
        <v>-3.1263919066769503</v>
      </c>
      <c r="J157">
        <f t="shared" si="112"/>
        <v>15</v>
      </c>
      <c r="M157">
        <f t="shared" si="113"/>
        <v>2.4487427934731139E-2</v>
      </c>
      <c r="N157">
        <f t="shared" si="114"/>
        <v>-1.5707963250000001</v>
      </c>
      <c r="O157">
        <f t="shared" si="115"/>
        <v>29.983233357581017</v>
      </c>
      <c r="P157">
        <f t="shared" si="116"/>
        <v>1.5374381671432156</v>
      </c>
      <c r="Q157">
        <f t="shared" si="117"/>
        <v>23.408496073896643</v>
      </c>
      <c r="R157">
        <f t="shared" si="118"/>
        <v>1.5280637904270387</v>
      </c>
      <c r="S157">
        <f t="shared" si="119"/>
        <v>0.9497162147333077</v>
      </c>
      <c r="T157">
        <f t="shared" si="120"/>
        <v>-0.31846801658368251</v>
      </c>
      <c r="U157">
        <f t="shared" si="121"/>
        <v>0.88944335603628921</v>
      </c>
      <c r="V157">
        <f t="shared" si="122"/>
        <v>-0.47467052259541664</v>
      </c>
      <c r="X157">
        <f t="shared" si="139"/>
        <v>-4.7625628521695109</v>
      </c>
      <c r="Y157">
        <f t="shared" si="123"/>
        <v>-121.75413789907182</v>
      </c>
      <c r="Z157">
        <f t="shared" si="140"/>
        <v>58.245862100928179</v>
      </c>
      <c r="AC157">
        <v>1</v>
      </c>
      <c r="AD157">
        <f t="shared" si="124"/>
        <v>29.966552730922505</v>
      </c>
      <c r="AE157">
        <f t="shared" si="125"/>
        <v>-9.4952329040829178E-4</v>
      </c>
      <c r="AF157">
        <f t="shared" si="126"/>
        <v>1.8478408144329001E-3</v>
      </c>
      <c r="AG157">
        <f t="shared" si="141"/>
        <v>12609.477970981381</v>
      </c>
      <c r="AH157">
        <f t="shared" si="142"/>
        <v>-7020.6226164121754</v>
      </c>
      <c r="AJ157">
        <f t="shared" si="127"/>
        <v>22100</v>
      </c>
      <c r="AK157">
        <f t="shared" si="128"/>
        <v>7286.149937582335</v>
      </c>
      <c r="AL157">
        <v>1</v>
      </c>
      <c r="AM157">
        <f t="shared" si="129"/>
        <v>23.387126553761039</v>
      </c>
      <c r="AN157">
        <f t="shared" si="143"/>
        <v>351.30834869273008</v>
      </c>
      <c r="AO157">
        <f t="shared" si="144"/>
        <v>-929.94287268735536</v>
      </c>
      <c r="AQ157">
        <f t="shared" si="130"/>
        <v>0.66093853271645742</v>
      </c>
      <c r="AR157">
        <f t="shared" si="131"/>
        <v>-81.295439524124262</v>
      </c>
      <c r="AT157">
        <f t="shared" si="156"/>
        <v>-562410.51146577415</v>
      </c>
      <c r="AU157">
        <f t="shared" si="157"/>
        <v>-1029733.2538315414</v>
      </c>
      <c r="AV157">
        <f t="shared" si="145"/>
        <v>-2.0706951068620505</v>
      </c>
      <c r="AW157">
        <f t="shared" si="146"/>
        <v>-62905.757474409504</v>
      </c>
      <c r="AX157">
        <f t="shared" si="147"/>
        <v>-40496.48808300239</v>
      </c>
      <c r="AY157">
        <f t="shared" si="155"/>
        <v>-2.5696134708078846</v>
      </c>
      <c r="BA157">
        <f t="shared" si="132"/>
        <v>15.683074759611527</v>
      </c>
      <c r="BB157">
        <f t="shared" si="148"/>
        <v>23.90862425398646</v>
      </c>
      <c r="BC157">
        <f t="shared" si="149"/>
        <v>0.49891836394583411</v>
      </c>
      <c r="BD157">
        <f t="shared" si="133"/>
        <v>-151.41408339166756</v>
      </c>
      <c r="BF157">
        <f t="shared" si="134"/>
        <v>-4.0920845276967457</v>
      </c>
      <c r="BG157">
        <f t="shared" si="135"/>
        <v>-133.36505483324459</v>
      </c>
      <c r="BH157">
        <f t="shared" si="150"/>
        <v>46.634945166755415</v>
      </c>
      <c r="BI157">
        <f t="shared" si="151"/>
        <v>46.634945166755415</v>
      </c>
      <c r="BJ157">
        <f t="shared" si="136"/>
        <v>0</v>
      </c>
      <c r="BK157">
        <f t="shared" si="152"/>
        <v>0</v>
      </c>
      <c r="BM157">
        <f t="shared" si="153"/>
        <v>-28.000708781683205</v>
      </c>
      <c r="BN157">
        <f t="shared" si="137"/>
        <v>-161.95097144157702</v>
      </c>
      <c r="BQ157" s="47">
        <f t="shared" si="154"/>
        <v>40.810585054271591</v>
      </c>
      <c r="BR157" s="529"/>
      <c r="BS157" s="529"/>
      <c r="BT157" s="529">
        <v>2951.2089999999998</v>
      </c>
      <c r="BU157" s="529">
        <v>6.1830800000000004</v>
      </c>
      <c r="BV157" s="529">
        <v>-249.92599999999999</v>
      </c>
      <c r="BW157" s="49"/>
      <c r="BY157" s="529"/>
      <c r="BZ157" s="529"/>
      <c r="CA157" s="529"/>
      <c r="CC157" s="529"/>
    </row>
    <row r="158" spans="1:81">
      <c r="A158">
        <f t="shared" si="106"/>
        <v>62000</v>
      </c>
      <c r="B158">
        <f t="shared" si="138"/>
        <v>62</v>
      </c>
      <c r="C158">
        <f t="shared" si="107"/>
        <v>1.0474365010021263</v>
      </c>
      <c r="D158">
        <f t="shared" si="108"/>
        <v>0.30210664965947215</v>
      </c>
      <c r="F158">
        <f t="shared" si="109"/>
        <v>2.4946192554334977E-3</v>
      </c>
      <c r="G158">
        <f t="shared" si="110"/>
        <v>1.507755020692174E-2</v>
      </c>
      <c r="H158">
        <f t="shared" si="111"/>
        <v>-3.1265150997930786</v>
      </c>
      <c r="J158">
        <f t="shared" si="112"/>
        <v>15</v>
      </c>
      <c r="M158">
        <f t="shared" si="113"/>
        <v>2.4289948677192984E-2</v>
      </c>
      <c r="N158">
        <f t="shared" si="114"/>
        <v>-1.5707963250000001</v>
      </c>
      <c r="O158">
        <f t="shared" si="115"/>
        <v>30.226729420341993</v>
      </c>
      <c r="P158">
        <f t="shared" si="116"/>
        <v>1.5377069874400722</v>
      </c>
      <c r="Q158">
        <f t="shared" si="117"/>
        <v>23.598463134759371</v>
      </c>
      <c r="R158">
        <f t="shared" si="118"/>
        <v>1.5284079933311394</v>
      </c>
      <c r="S158">
        <f t="shared" si="119"/>
        <v>0.94895706230854748</v>
      </c>
      <c r="T158">
        <f t="shared" si="120"/>
        <v>-0.32088370855825776</v>
      </c>
      <c r="U158">
        <f t="shared" si="121"/>
        <v>0.88793054512778224</v>
      </c>
      <c r="V158">
        <f t="shared" si="122"/>
        <v>-0.47796991548710033</v>
      </c>
      <c r="X158">
        <f t="shared" si="139"/>
        <v>-4.8489946499397281</v>
      </c>
      <c r="Y158">
        <f t="shared" si="123"/>
        <v>-121.92217705672172</v>
      </c>
      <c r="Z158">
        <f t="shared" si="140"/>
        <v>58.077822943278278</v>
      </c>
      <c r="AC158">
        <v>1</v>
      </c>
      <c r="AD158">
        <f t="shared" si="124"/>
        <v>30.210183240930004</v>
      </c>
      <c r="AE158">
        <f t="shared" si="125"/>
        <v>-9.6502545530556527E-4</v>
      </c>
      <c r="AF158">
        <f t="shared" si="126"/>
        <v>1.8628639104852002E-3</v>
      </c>
      <c r="AG158">
        <f t="shared" si="141"/>
        <v>12566.620754311047</v>
      </c>
      <c r="AH158">
        <f t="shared" si="142"/>
        <v>-7046.7353203822095</v>
      </c>
      <c r="AJ158">
        <f t="shared" si="127"/>
        <v>22100</v>
      </c>
      <c r="AK158">
        <f t="shared" si="128"/>
        <v>7345.386928944793</v>
      </c>
      <c r="AL158">
        <v>1</v>
      </c>
      <c r="AM158">
        <f t="shared" si="129"/>
        <v>23.577265794035522</v>
      </c>
      <c r="AN158">
        <f t="shared" si="143"/>
        <v>350.6707426475337</v>
      </c>
      <c r="AO158">
        <f t="shared" si="144"/>
        <v>-922.47037664793686</v>
      </c>
      <c r="AQ158">
        <f t="shared" si="130"/>
        <v>0.65032190934512579</v>
      </c>
      <c r="AR158">
        <f t="shared" si="131"/>
        <v>-80.639916758795607</v>
      </c>
      <c r="AT158">
        <f t="shared" si="156"/>
        <v>-560075.80085392657</v>
      </c>
      <c r="AU158">
        <f t="shared" si="157"/>
        <v>-1017953.8979351968</v>
      </c>
      <c r="AV158">
        <f t="shared" si="145"/>
        <v>-2.0737912403300545</v>
      </c>
      <c r="AW158">
        <f t="shared" si="146"/>
        <v>-61739.956299819634</v>
      </c>
      <c r="AX158">
        <f t="shared" si="147"/>
        <v>-40188.02541380503</v>
      </c>
      <c r="AY158">
        <f t="shared" si="155"/>
        <v>-2.5645680772056361</v>
      </c>
      <c r="BA158">
        <f t="shared" si="132"/>
        <v>15.77165705552288</v>
      </c>
      <c r="BB158">
        <f t="shared" si="148"/>
        <v>23.957546501027402</v>
      </c>
      <c r="BC158">
        <f t="shared" si="149"/>
        <v>0.4907768368755816</v>
      </c>
      <c r="BD158">
        <f t="shared" si="133"/>
        <v>-151.88055853211756</v>
      </c>
      <c r="BF158">
        <f t="shared" si="134"/>
        <v>-4.1779888309923621</v>
      </c>
      <c r="BG158">
        <f t="shared" si="135"/>
        <v>-133.70724253077319</v>
      </c>
      <c r="BH158">
        <f t="shared" si="150"/>
        <v>46.292757469226814</v>
      </c>
      <c r="BI158">
        <f t="shared" si="151"/>
        <v>46.292757469226814</v>
      </c>
      <c r="BJ158">
        <f t="shared" si="136"/>
        <v>0</v>
      </c>
      <c r="BK158">
        <f t="shared" si="152"/>
        <v>0</v>
      </c>
      <c r="BM158">
        <f t="shared" si="153"/>
        <v>-28.13553533201976</v>
      </c>
      <c r="BN158">
        <f t="shared" si="137"/>
        <v>-161.82668399865562</v>
      </c>
      <c r="BQ158" s="47">
        <f t="shared" si="154"/>
        <v>40.859507301312533</v>
      </c>
      <c r="BR158" s="529"/>
      <c r="BS158" s="529"/>
      <c r="BT158" s="529">
        <v>3019.9520000000002</v>
      </c>
      <c r="BU158" s="529">
        <v>6.0130600000000003</v>
      </c>
      <c r="BV158" s="529">
        <v>-249.65100000000001</v>
      </c>
      <c r="BW158" s="49"/>
      <c r="BY158" s="529"/>
      <c r="BZ158" s="529"/>
      <c r="CA158" s="529"/>
      <c r="CC158" s="529"/>
    </row>
    <row r="159" spans="1:81">
      <c r="A159">
        <f t="shared" si="106"/>
        <v>62500</v>
      </c>
      <c r="B159">
        <f t="shared" si="138"/>
        <v>62.5</v>
      </c>
      <c r="C159">
        <f t="shared" si="107"/>
        <v>1.0481870271021962</v>
      </c>
      <c r="D159">
        <f t="shared" si="108"/>
        <v>0.30439579703788294</v>
      </c>
      <c r="F159">
        <f t="shared" si="109"/>
        <v>2.4547701161434557E-3</v>
      </c>
      <c r="G159">
        <f t="shared" si="110"/>
        <v>1.4956342607034712E-2</v>
      </c>
      <c r="H159">
        <f t="shared" si="111"/>
        <v>-3.1266363073929657</v>
      </c>
      <c r="J159">
        <f t="shared" si="112"/>
        <v>15</v>
      </c>
      <c r="M159">
        <f t="shared" si="113"/>
        <v>2.409562908777544E-2</v>
      </c>
      <c r="N159">
        <f t="shared" si="114"/>
        <v>-1.5707963250000001</v>
      </c>
      <c r="O159">
        <f t="shared" si="115"/>
        <v>30.470227632506951</v>
      </c>
      <c r="P159">
        <f t="shared" si="116"/>
        <v>1.5379715112823631</v>
      </c>
      <c r="Q159">
        <f t="shared" si="117"/>
        <v>23.78843294681144</v>
      </c>
      <c r="R159">
        <f t="shared" si="118"/>
        <v>1.5287466987995595</v>
      </c>
      <c r="S159">
        <f t="shared" si="119"/>
        <v>0.94819360258831609</v>
      </c>
      <c r="T159">
        <f t="shared" si="120"/>
        <v>-0.32329552761898828</v>
      </c>
      <c r="U159">
        <f t="shared" si="121"/>
        <v>0.88641327128362413</v>
      </c>
      <c r="V159">
        <f t="shared" si="122"/>
        <v>-0.48125806822940448</v>
      </c>
      <c r="X159">
        <f t="shared" si="139"/>
        <v>-4.9349212089781789</v>
      </c>
      <c r="Y159">
        <f t="shared" si="123"/>
        <v>-122.08998509144068</v>
      </c>
      <c r="Z159">
        <f t="shared" si="140"/>
        <v>57.910014908559319</v>
      </c>
      <c r="AC159">
        <v>1</v>
      </c>
      <c r="AD159">
        <f t="shared" si="124"/>
        <v>30.453813750937503</v>
      </c>
      <c r="AE159">
        <f t="shared" si="125"/>
        <v>-9.8065314380524566E-4</v>
      </c>
      <c r="AF159">
        <f t="shared" si="126"/>
        <v>1.8778870065375003E-3</v>
      </c>
      <c r="AG159">
        <f t="shared" si="141"/>
        <v>12523.71038374146</v>
      </c>
      <c r="AH159">
        <f t="shared" si="142"/>
        <v>-7072.5320073496332</v>
      </c>
      <c r="AJ159">
        <f t="shared" si="127"/>
        <v>22100</v>
      </c>
      <c r="AK159">
        <f t="shared" si="128"/>
        <v>7404.623920307251</v>
      </c>
      <c r="AL159">
        <v>1</v>
      </c>
      <c r="AM159">
        <f t="shared" si="129"/>
        <v>23.767405034309999</v>
      </c>
      <c r="AN159">
        <f t="shared" si="143"/>
        <v>350.04834179803441</v>
      </c>
      <c r="AO159">
        <f t="shared" si="144"/>
        <v>-915.11680079521955</v>
      </c>
      <c r="AQ159">
        <f t="shared" si="130"/>
        <v>0.63995904262127223</v>
      </c>
      <c r="AR159">
        <f t="shared" si="131"/>
        <v>-79.994880327659033</v>
      </c>
      <c r="AT159">
        <f t="shared" si="156"/>
        <v>-557751.68983422674</v>
      </c>
      <c r="AU159">
        <f t="shared" si="157"/>
        <v>-1006358.8442179906</v>
      </c>
      <c r="AV159">
        <f t="shared" si="145"/>
        <v>-2.0768793811969477</v>
      </c>
      <c r="AW159">
        <f t="shared" si="146"/>
        <v>-60602.970346735303</v>
      </c>
      <c r="AX159">
        <f t="shared" si="147"/>
        <v>-39886.041194978803</v>
      </c>
      <c r="AY159">
        <f t="shared" si="155"/>
        <v>-2.5595071429630214</v>
      </c>
      <c r="BA159">
        <f t="shared" si="132"/>
        <v>15.859024495611713</v>
      </c>
      <c r="BB159">
        <f t="shared" si="148"/>
        <v>24.005529398342425</v>
      </c>
      <c r="BC159">
        <f t="shared" si="149"/>
        <v>0.48262776176607369</v>
      </c>
      <c r="BD159">
        <f t="shared" si="133"/>
        <v>-152.347466143361</v>
      </c>
      <c r="BF159">
        <f t="shared" si="134"/>
        <v>-4.2636532608692139</v>
      </c>
      <c r="BG159">
        <f t="shared" si="135"/>
        <v>-134.04993634232676</v>
      </c>
      <c r="BH159">
        <f t="shared" si="150"/>
        <v>45.95006365767324</v>
      </c>
      <c r="BI159">
        <f t="shared" si="151"/>
        <v>45.95006365767324</v>
      </c>
      <c r="BJ159">
        <f t="shared" si="136"/>
        <v>0</v>
      </c>
      <c r="BK159">
        <f t="shared" si="152"/>
        <v>0</v>
      </c>
      <c r="BM159">
        <f t="shared" si="153"/>
        <v>-28.269182659211637</v>
      </c>
      <c r="BN159">
        <f t="shared" si="137"/>
        <v>-161.70247019896576</v>
      </c>
      <c r="BQ159" s="47">
        <f t="shared" si="154"/>
        <v>40.907490198627563</v>
      </c>
      <c r="BR159" s="529"/>
      <c r="BS159" s="529"/>
      <c r="BT159" s="529">
        <v>3090.2950000000001</v>
      </c>
      <c r="BU159" s="529">
        <v>5.8544900000000002</v>
      </c>
      <c r="BV159" s="529">
        <v>-248.41800000000001</v>
      </c>
      <c r="BW159" s="49"/>
      <c r="BY159" s="529"/>
      <c r="BZ159" s="529"/>
      <c r="CA159" s="529"/>
      <c r="CC159" s="529"/>
    </row>
    <row r="160" spans="1:81">
      <c r="A160">
        <f t="shared" si="106"/>
        <v>63000</v>
      </c>
      <c r="B160">
        <f t="shared" si="138"/>
        <v>63</v>
      </c>
      <c r="C160">
        <f t="shared" si="107"/>
        <v>1.0489430380305254</v>
      </c>
      <c r="D160">
        <f t="shared" si="108"/>
        <v>0.30668165663881208</v>
      </c>
      <c r="F160">
        <f t="shared" si="109"/>
        <v>2.4158689671882707E-3</v>
      </c>
      <c r="G160">
        <f t="shared" si="110"/>
        <v>1.4837072794897568E-2</v>
      </c>
      <c r="H160">
        <f t="shared" si="111"/>
        <v>-3.1267555772051026</v>
      </c>
      <c r="J160">
        <f t="shared" si="112"/>
        <v>15</v>
      </c>
      <c r="M160">
        <f t="shared" si="113"/>
        <v>2.390439393628516E-2</v>
      </c>
      <c r="N160">
        <f t="shared" si="114"/>
        <v>-1.5707963250000001</v>
      </c>
      <c r="O160">
        <f t="shared" si="115"/>
        <v>30.713727942954524</v>
      </c>
      <c r="P160">
        <f t="shared" si="116"/>
        <v>1.5382318408202844</v>
      </c>
      <c r="Q160">
        <f t="shared" si="117"/>
        <v>23.978405444663647</v>
      </c>
      <c r="R160">
        <f t="shared" si="118"/>
        <v>1.5290800374164115</v>
      </c>
      <c r="S160">
        <f t="shared" si="119"/>
        <v>0.9474258725733804</v>
      </c>
      <c r="T160">
        <f t="shared" si="120"/>
        <v>-0.32570345508137494</v>
      </c>
      <c r="U160">
        <f t="shared" si="121"/>
        <v>0.88489165551738924</v>
      </c>
      <c r="V160">
        <f t="shared" si="122"/>
        <v>-0.48453496742368229</v>
      </c>
      <c r="X160">
        <f t="shared" si="139"/>
        <v>-5.0203510250065193</v>
      </c>
      <c r="Y160">
        <f t="shared" si="123"/>
        <v>-122.2575505357887</v>
      </c>
      <c r="Z160">
        <f t="shared" si="140"/>
        <v>57.742449464211305</v>
      </c>
      <c r="AC160">
        <v>1</v>
      </c>
      <c r="AD160">
        <f t="shared" si="124"/>
        <v>30.697444260945002</v>
      </c>
      <c r="AE160">
        <f t="shared" si="125"/>
        <v>-9.9640635590733315E-4</v>
      </c>
      <c r="AF160">
        <f t="shared" si="126"/>
        <v>1.8929101025898002E-3</v>
      </c>
      <c r="AG160">
        <f t="shared" si="141"/>
        <v>12480.750920473041</v>
      </c>
      <c r="AH160">
        <f t="shared" si="142"/>
        <v>-7098.0124863157544</v>
      </c>
      <c r="AJ160">
        <f t="shared" si="127"/>
        <v>22100</v>
      </c>
      <c r="AK160">
        <f t="shared" si="128"/>
        <v>7463.860911669708</v>
      </c>
      <c r="AL160">
        <v>1</v>
      </c>
      <c r="AM160">
        <f t="shared" si="129"/>
        <v>23.957544274584482</v>
      </c>
      <c r="AN160">
        <f t="shared" si="143"/>
        <v>349.44066676552575</v>
      </c>
      <c r="AO160">
        <f t="shared" si="144"/>
        <v>-907.87933370569624</v>
      </c>
      <c r="AQ160">
        <f t="shared" si="130"/>
        <v>0.62984190968067011</v>
      </c>
      <c r="AR160">
        <f t="shared" si="131"/>
        <v>-79.360080619764446</v>
      </c>
      <c r="AT160">
        <f t="shared" si="156"/>
        <v>-555437.94316011341</v>
      </c>
      <c r="AU160">
        <f t="shared" si="157"/>
        <v>-994944.02498325822</v>
      </c>
      <c r="AV160">
        <f t="shared" si="145"/>
        <v>-2.0799594388857248</v>
      </c>
      <c r="AW160">
        <f t="shared" si="146"/>
        <v>-59493.88947972739</v>
      </c>
      <c r="AX160">
        <f t="shared" si="147"/>
        <v>-39590.32858048255</v>
      </c>
      <c r="AY160">
        <f t="shared" si="155"/>
        <v>-2.5544314348521473</v>
      </c>
      <c r="BA160">
        <f t="shared" si="132"/>
        <v>15.945165137741299</v>
      </c>
      <c r="BB160">
        <f t="shared" si="148"/>
        <v>24.052580428353995</v>
      </c>
      <c r="BC160">
        <f t="shared" si="149"/>
        <v>0.47447199596642253</v>
      </c>
      <c r="BD160">
        <f t="shared" si="133"/>
        <v>-152.8147571029121</v>
      </c>
      <c r="BF160">
        <f t="shared" si="134"/>
        <v>-4.3490887905851094</v>
      </c>
      <c r="BG160">
        <f t="shared" si="135"/>
        <v>-134.39309085090207</v>
      </c>
      <c r="BH160">
        <f t="shared" si="150"/>
        <v>45.60690914909793</v>
      </c>
      <c r="BI160">
        <f t="shared" si="151"/>
        <v>45.60690914909793</v>
      </c>
      <c r="BJ160">
        <f t="shared" si="136"/>
        <v>0</v>
      </c>
      <c r="BK160">
        <f t="shared" si="152"/>
        <v>0</v>
      </c>
      <c r="BM160">
        <f t="shared" si="153"/>
        <v>-28.401669218939105</v>
      </c>
      <c r="BN160">
        <f t="shared" si="137"/>
        <v>-161.57833374798997</v>
      </c>
      <c r="BQ160" s="47">
        <f t="shared" si="154"/>
        <v>40.95454122863913</v>
      </c>
      <c r="BR160" s="529"/>
      <c r="BS160" s="529"/>
      <c r="BT160" s="529">
        <v>3162.2779999999998</v>
      </c>
      <c r="BU160" s="529">
        <v>5.6099300000000003</v>
      </c>
      <c r="BV160" s="529">
        <v>-248.626</v>
      </c>
      <c r="BW160" s="49"/>
      <c r="BY160" s="529"/>
      <c r="BZ160" s="529"/>
      <c r="CA160" s="529"/>
      <c r="CC160" s="529"/>
    </row>
    <row r="161" spans="1:81">
      <c r="A161">
        <f t="shared" si="106"/>
        <v>63500</v>
      </c>
      <c r="B161">
        <f t="shared" si="138"/>
        <v>63.5</v>
      </c>
      <c r="C161">
        <f t="shared" si="107"/>
        <v>1.0497045219363781</v>
      </c>
      <c r="D161">
        <f t="shared" si="108"/>
        <v>0.30896421170394828</v>
      </c>
      <c r="F161">
        <f t="shared" si="109"/>
        <v>2.3778859530129777E-3</v>
      </c>
      <c r="G161">
        <f t="shared" si="110"/>
        <v>1.4719694563034741E-2</v>
      </c>
      <c r="H161">
        <f t="shared" si="111"/>
        <v>-3.1268729554369656</v>
      </c>
      <c r="J161">
        <f t="shared" si="112"/>
        <v>15</v>
      </c>
      <c r="M161">
        <f t="shared" si="113"/>
        <v>2.3716170361983702E-2</v>
      </c>
      <c r="N161">
        <f t="shared" si="114"/>
        <v>-1.5707963250000001</v>
      </c>
      <c r="O161">
        <f t="shared" si="115"/>
        <v>30.957230302171311</v>
      </c>
      <c r="P161">
        <f t="shared" si="116"/>
        <v>1.5384880749923888</v>
      </c>
      <c r="Q161">
        <f t="shared" si="117"/>
        <v>24.16838056498182</v>
      </c>
      <c r="R161">
        <f t="shared" si="118"/>
        <v>1.5294081356648512</v>
      </c>
      <c r="S161">
        <f t="shared" si="119"/>
        <v>0.94665390930352167</v>
      </c>
      <c r="T161">
        <f t="shared" si="120"/>
        <v>-0.32810747250167527</v>
      </c>
      <c r="U161">
        <f t="shared" si="121"/>
        <v>0.88336581793197544</v>
      </c>
      <c r="V161">
        <f t="shared" si="122"/>
        <v>-0.48780060072955755</v>
      </c>
      <c r="X161">
        <f t="shared" si="139"/>
        <v>-5.1052923673344619</v>
      </c>
      <c r="Y161">
        <f t="shared" si="123"/>
        <v>-122.42486231792711</v>
      </c>
      <c r="Z161">
        <f t="shared" si="140"/>
        <v>57.575137682072892</v>
      </c>
      <c r="AC161">
        <v>1</v>
      </c>
      <c r="AD161">
        <f t="shared" si="124"/>
        <v>30.941074770952504</v>
      </c>
      <c r="AE161">
        <f t="shared" si="125"/>
        <v>-1.0122850916118274E-3</v>
      </c>
      <c r="AF161">
        <f t="shared" si="126"/>
        <v>1.9079331986421003E-3</v>
      </c>
      <c r="AG161">
        <f t="shared" si="141"/>
        <v>12437.746378418997</v>
      </c>
      <c r="AH161">
        <f t="shared" si="142"/>
        <v>-7123.1766614235275</v>
      </c>
      <c r="AJ161">
        <f t="shared" si="127"/>
        <v>22100</v>
      </c>
      <c r="AK161">
        <f t="shared" si="128"/>
        <v>7523.097903032166</v>
      </c>
      <c r="AL161">
        <v>1</v>
      </c>
      <c r="AM161">
        <f t="shared" si="129"/>
        <v>24.147683514858961</v>
      </c>
      <c r="AN161">
        <f t="shared" si="143"/>
        <v>348.84725690468429</v>
      </c>
      <c r="AO161">
        <f t="shared" si="144"/>
        <v>-900.75525172884727</v>
      </c>
      <c r="AQ161">
        <f t="shared" si="130"/>
        <v>0.61996280223186606</v>
      </c>
      <c r="AR161">
        <f t="shared" si="131"/>
        <v>-78.735275883446988</v>
      </c>
      <c r="AT161">
        <f t="shared" si="156"/>
        <v>-553134.33950549841</v>
      </c>
      <c r="AU161">
        <f t="shared" si="157"/>
        <v>-983705.49703697208</v>
      </c>
      <c r="AV161">
        <f t="shared" si="145"/>
        <v>-2.0830313263028613</v>
      </c>
      <c r="AW161">
        <f t="shared" si="146"/>
        <v>-58411.838994732461</v>
      </c>
      <c r="AX161">
        <f t="shared" si="147"/>
        <v>-39300.689076997965</v>
      </c>
      <c r="AY161">
        <f t="shared" si="155"/>
        <v>-2.5493417206051849</v>
      </c>
      <c r="BA161">
        <f t="shared" si="132"/>
        <v>16.030067444198757</v>
      </c>
      <c r="BB161">
        <f t="shared" si="148"/>
        <v>24.098706991788745</v>
      </c>
      <c r="BC161">
        <f t="shared" si="149"/>
        <v>0.46631039430232368</v>
      </c>
      <c r="BD161">
        <f t="shared" si="133"/>
        <v>-153.28238243286626</v>
      </c>
      <c r="BF161">
        <f t="shared" si="134"/>
        <v>-4.4343060384198365</v>
      </c>
      <c r="BG161">
        <f t="shared" si="135"/>
        <v>-134.73666068626841</v>
      </c>
      <c r="BH161">
        <f t="shared" si="150"/>
        <v>45.263339313731592</v>
      </c>
      <c r="BI161">
        <f t="shared" si="151"/>
        <v>45.263339313731592</v>
      </c>
      <c r="BJ161">
        <f t="shared" si="136"/>
        <v>0</v>
      </c>
      <c r="BK161">
        <f t="shared" si="152"/>
        <v>0</v>
      </c>
      <c r="BM161">
        <f t="shared" si="153"/>
        <v>-28.533013030208583</v>
      </c>
      <c r="BN161">
        <f t="shared" si="137"/>
        <v>-161.45427825340218</v>
      </c>
      <c r="BQ161" s="47">
        <f t="shared" si="154"/>
        <v>41.000667792073884</v>
      </c>
      <c r="BR161" s="529"/>
      <c r="BS161" s="529"/>
      <c r="BT161" s="529">
        <v>3235.9369999999999</v>
      </c>
      <c r="BU161" s="529">
        <v>5.4320899999999996</v>
      </c>
      <c r="BV161" s="529">
        <v>-248.57499999999999</v>
      </c>
      <c r="BW161" s="49"/>
      <c r="BY161" s="529"/>
      <c r="BZ161" s="529"/>
      <c r="CA161" s="529"/>
      <c r="CC161" s="529"/>
    </row>
    <row r="162" spans="1:81">
      <c r="A162">
        <f t="shared" si="106"/>
        <v>64000</v>
      </c>
      <c r="B162">
        <f t="shared" si="138"/>
        <v>64</v>
      </c>
      <c r="C162">
        <f t="shared" si="107"/>
        <v>1.0504714669177155</v>
      </c>
      <c r="D162">
        <f t="shared" si="108"/>
        <v>0.31124344566113099</v>
      </c>
      <c r="F162">
        <f t="shared" si="109"/>
        <v>2.3407923850655957E-3</v>
      </c>
      <c r="G162">
        <f t="shared" si="110"/>
        <v>1.4604163164744593E-2</v>
      </c>
      <c r="H162">
        <f t="shared" si="111"/>
        <v>-3.1269884868352555</v>
      </c>
      <c r="J162">
        <f t="shared" si="112"/>
        <v>15</v>
      </c>
      <c r="M162">
        <f t="shared" si="113"/>
        <v>2.3530887781030706E-2</v>
      </c>
      <c r="N162">
        <f t="shared" si="114"/>
        <v>-1.5707963250000001</v>
      </c>
      <c r="O162">
        <f t="shared" si="115"/>
        <v>31.200734662189202</v>
      </c>
      <c r="P162">
        <f t="shared" si="116"/>
        <v>1.538740309650779</v>
      </c>
      <c r="Q162">
        <f t="shared" si="117"/>
        <v>24.358358246406734</v>
      </c>
      <c r="R162">
        <f t="shared" si="118"/>
        <v>1.5297311160867175</v>
      </c>
      <c r="S162">
        <f t="shared" si="119"/>
        <v>0.94587774985343998</v>
      </c>
      <c r="T162">
        <f t="shared" si="120"/>
        <v>-0.33050756167677214</v>
      </c>
      <c r="U162">
        <f t="shared" si="121"/>
        <v>0.88183587770747229</v>
      </c>
      <c r="V162">
        <f t="shared" si="122"/>
        <v>-0.49105495685249267</v>
      </c>
      <c r="X162">
        <f t="shared" si="139"/>
        <v>-5.1897532864217242</v>
      </c>
      <c r="Y162">
        <f t="shared" si="123"/>
        <v>-122.59190974802567</v>
      </c>
      <c r="Z162">
        <f t="shared" si="140"/>
        <v>57.408090251974329</v>
      </c>
      <c r="AC162">
        <v>1</v>
      </c>
      <c r="AD162">
        <f t="shared" si="124"/>
        <v>31.184705280960006</v>
      </c>
      <c r="AE162">
        <f t="shared" si="125"/>
        <v>-1.0282893509187291E-3</v>
      </c>
      <c r="AF162">
        <f t="shared" si="126"/>
        <v>1.9229562946944001E-3</v>
      </c>
      <c r="AG162">
        <f t="shared" si="141"/>
        <v>12394.700723921193</v>
      </c>
      <c r="AH162">
        <f t="shared" si="142"/>
        <v>-7148.024528772381</v>
      </c>
      <c r="AJ162">
        <f t="shared" si="127"/>
        <v>22100</v>
      </c>
      <c r="AK162">
        <f t="shared" si="128"/>
        <v>7582.3348943946239</v>
      </c>
      <c r="AL162">
        <v>1</v>
      </c>
      <c r="AM162">
        <f t="shared" si="129"/>
        <v>24.337822755133441</v>
      </c>
      <c r="AN162">
        <f t="shared" si="143"/>
        <v>348.26766943239062</v>
      </c>
      <c r="AO162">
        <f t="shared" si="144"/>
        <v>-893.74191559430415</v>
      </c>
      <c r="AQ162">
        <f t="shared" si="130"/>
        <v>0.61031431187061336</v>
      </c>
      <c r="AR162">
        <f t="shared" si="131"/>
        <v>-78.12023191943851</v>
      </c>
      <c r="AT162">
        <f t="shared" si="156"/>
        <v>-550840.67071037134</v>
      </c>
      <c r="AU162">
        <f t="shared" si="157"/>
        <v>-972639.43679626787</v>
      </c>
      <c r="AV162">
        <f t="shared" si="145"/>
        <v>-2.0860949597314056</v>
      </c>
      <c r="AW162">
        <f t="shared" si="146"/>
        <v>-57355.977975269758</v>
      </c>
      <c r="AX162">
        <f t="shared" si="147"/>
        <v>-39016.932137309312</v>
      </c>
      <c r="AY162">
        <f t="shared" si="155"/>
        <v>-2.5442387686704917</v>
      </c>
      <c r="BA162">
        <f t="shared" si="132"/>
        <v>16.113720293504045</v>
      </c>
      <c r="BB162">
        <f t="shared" si="148"/>
        <v>24.143916415350077</v>
      </c>
      <c r="BC162">
        <f t="shared" si="149"/>
        <v>0.45814380893908613</v>
      </c>
      <c r="BD162">
        <f t="shared" si="133"/>
        <v>-153.75029330774774</v>
      </c>
      <c r="BF162">
        <f t="shared" si="134"/>
        <v>-4.5193152738628575</v>
      </c>
      <c r="BG162">
        <f t="shared" si="135"/>
        <v>-135.08060053626204</v>
      </c>
      <c r="BH162">
        <f t="shared" si="150"/>
        <v>44.91939946373796</v>
      </c>
      <c r="BI162">
        <f t="shared" si="151"/>
        <v>44.91939946373796</v>
      </c>
      <c r="BJ162">
        <f t="shared" si="136"/>
        <v>0</v>
      </c>
      <c r="BK162">
        <f t="shared" si="152"/>
        <v>0</v>
      </c>
      <c r="BM162">
        <f t="shared" si="153"/>
        <v>-28.663231689212928</v>
      </c>
      <c r="BN162">
        <f t="shared" si="137"/>
        <v>-161.3303072285143</v>
      </c>
      <c r="BQ162" s="47">
        <f t="shared" si="154"/>
        <v>41.045877215635215</v>
      </c>
      <c r="BR162" s="529"/>
      <c r="BS162" s="529"/>
      <c r="BT162" s="529">
        <v>3311.3110000000001</v>
      </c>
      <c r="BU162" s="529">
        <v>5.2356100000000003</v>
      </c>
      <c r="BV162" s="529">
        <v>-247.75799999999998</v>
      </c>
      <c r="BW162" s="49"/>
      <c r="BY162" s="529"/>
      <c r="BZ162" s="529"/>
      <c r="CA162" s="529"/>
      <c r="CC162" s="529"/>
    </row>
    <row r="163" spans="1:81">
      <c r="A163">
        <f t="shared" si="106"/>
        <v>64500</v>
      </c>
      <c r="B163">
        <f t="shared" si="138"/>
        <v>64.5</v>
      </c>
      <c r="C163">
        <f t="shared" si="107"/>
        <v>1.0512438610219983</v>
      </c>
      <c r="D163">
        <f t="shared" si="108"/>
        <v>0.31351934212440979</v>
      </c>
      <c r="F163">
        <f t="shared" si="109"/>
        <v>2.3045606874429175E-3</v>
      </c>
      <c r="G163">
        <f t="shared" si="110"/>
        <v>1.4490435256704388E-2</v>
      </c>
      <c r="H163">
        <f t="shared" si="111"/>
        <v>-3.1271022147432959</v>
      </c>
      <c r="J163">
        <f t="shared" si="112"/>
        <v>15</v>
      </c>
      <c r="M163">
        <f t="shared" si="113"/>
        <v>2.3348477798232015E-2</v>
      </c>
      <c r="N163">
        <f t="shared" si="114"/>
        <v>-1.5707963250000001</v>
      </c>
      <c r="O163">
        <f t="shared" si="115"/>
        <v>31.44424097652556</v>
      </c>
      <c r="P163">
        <f t="shared" si="116"/>
        <v>1.5389886376804891</v>
      </c>
      <c r="Q163">
        <f t="shared" si="117"/>
        <v>24.54833842947777</v>
      </c>
      <c r="R163">
        <f t="shared" si="118"/>
        <v>1.5300490974347816</v>
      </c>
      <c r="S163">
        <f t="shared" si="119"/>
        <v>0.94509743132869217</v>
      </c>
      <c r="T163">
        <f t="shared" si="120"/>
        <v>-0.3329037046440127</v>
      </c>
      <c r="U163">
        <f t="shared" si="121"/>
        <v>0.88030195308957138</v>
      </c>
      <c r="V163">
        <f t="shared" si="122"/>
        <v>-0.49429802553128566</v>
      </c>
      <c r="X163">
        <f t="shared" si="139"/>
        <v>-5.2737416211354828</v>
      </c>
      <c r="Y163">
        <f t="shared" si="123"/>
        <v>-122.75868250525872</v>
      </c>
      <c r="Z163">
        <f t="shared" si="140"/>
        <v>57.241317494741281</v>
      </c>
      <c r="AC163">
        <v>1</v>
      </c>
      <c r="AD163">
        <f t="shared" si="124"/>
        <v>31.428335790967502</v>
      </c>
      <c r="AE163">
        <f t="shared" si="125"/>
        <v>-1.0444191338280378E-3</v>
      </c>
      <c r="AF163">
        <f t="shared" si="126"/>
        <v>1.9379793907467002E-3</v>
      </c>
      <c r="AG163">
        <f t="shared" si="141"/>
        <v>12351.617875491187</v>
      </c>
      <c r="AH163">
        <f t="shared" si="142"/>
        <v>-7172.5561733345712</v>
      </c>
      <c r="AJ163">
        <f t="shared" si="127"/>
        <v>22100</v>
      </c>
      <c r="AK163">
        <f t="shared" si="128"/>
        <v>7641.5718857570819</v>
      </c>
      <c r="AL163">
        <v>1</v>
      </c>
      <c r="AM163">
        <f t="shared" si="129"/>
        <v>24.527961995407921</v>
      </c>
      <c r="AN163">
        <f t="shared" si="143"/>
        <v>347.70147860342666</v>
      </c>
      <c r="AO163">
        <f t="shared" si="144"/>
        <v>-886.83676717490823</v>
      </c>
      <c r="AQ163">
        <f t="shared" si="130"/>
        <v>0.60088931618795816</v>
      </c>
      <c r="AR163">
        <f t="shared" si="131"/>
        <v>-77.514721788246604</v>
      </c>
      <c r="AT163">
        <f t="shared" si="156"/>
        <v>-548556.74106758111</v>
      </c>
      <c r="AU163">
        <f t="shared" si="157"/>
        <v>-961742.13562774763</v>
      </c>
      <c r="AV163">
        <f t="shared" si="145"/>
        <v>-2.0891502587283828</v>
      </c>
      <c r="AW163">
        <f t="shared" si="146"/>
        <v>-56325.497737001962</v>
      </c>
      <c r="AX163">
        <f t="shared" si="147"/>
        <v>-38738.874776866796</v>
      </c>
      <c r="AY163">
        <f t="shared" si="155"/>
        <v>-2.5391233479544075</v>
      </c>
      <c r="BA163">
        <f t="shared" si="132"/>
        <v>16.196112991752116</v>
      </c>
      <c r="BB163">
        <f t="shared" si="148"/>
        <v>24.188215959017256</v>
      </c>
      <c r="BC163">
        <f t="shared" si="149"/>
        <v>0.44997308922602475</v>
      </c>
      <c r="BD163">
        <f t="shared" si="133"/>
        <v>-154.21844106342544</v>
      </c>
      <c r="BF163">
        <f t="shared" si="134"/>
        <v>-4.6041264236272754</v>
      </c>
      <c r="BG163">
        <f t="shared" si="135"/>
        <v>-135.4248651589871</v>
      </c>
      <c r="BH163">
        <f t="shared" si="150"/>
        <v>44.575134841012897</v>
      </c>
      <c r="BI163">
        <f t="shared" si="151"/>
        <v>44.575134841012897</v>
      </c>
      <c r="BJ163">
        <f t="shared" si="136"/>
        <v>0</v>
      </c>
      <c r="BK163">
        <f t="shared" si="152"/>
        <v>0</v>
      </c>
      <c r="BM163">
        <f t="shared" si="153"/>
        <v>-28.792342382644534</v>
      </c>
      <c r="BN163">
        <f t="shared" si="137"/>
        <v>-161.20642409556166</v>
      </c>
      <c r="BQ163" s="47">
        <f t="shared" si="154"/>
        <v>41.090176759302395</v>
      </c>
      <c r="BR163" s="529"/>
      <c r="BS163" s="529"/>
      <c r="BT163" s="529">
        <v>3388.442</v>
      </c>
      <c r="BU163" s="529">
        <v>5.0528199999999996</v>
      </c>
      <c r="BV163" s="529">
        <v>-247.756</v>
      </c>
      <c r="BW163" s="49"/>
      <c r="BY163" s="529"/>
      <c r="BZ163" s="529"/>
      <c r="CA163" s="529"/>
      <c r="CC163" s="529"/>
    </row>
    <row r="164" spans="1:81">
      <c r="A164">
        <f t="shared" si="106"/>
        <v>65000</v>
      </c>
      <c r="B164">
        <f t="shared" si="138"/>
        <v>65</v>
      </c>
      <c r="C164">
        <f t="shared" si="107"/>
        <v>1.0520216922469916</v>
      </c>
      <c r="D164">
        <f t="shared" si="108"/>
        <v>0.31579188489408283</v>
      </c>
      <c r="F164">
        <f t="shared" si="109"/>
        <v>2.26916434546916E-3</v>
      </c>
      <c r="G164">
        <f t="shared" si="110"/>
        <v>1.4378468844265777E-2</v>
      </c>
      <c r="H164">
        <f t="shared" si="111"/>
        <v>-3.1272141811557344</v>
      </c>
      <c r="J164">
        <f t="shared" si="112"/>
        <v>15</v>
      </c>
      <c r="M164">
        <f t="shared" si="113"/>
        <v>2.3168874122861002E-2</v>
      </c>
      <c r="N164">
        <f t="shared" si="114"/>
        <v>-1.5707963250000001</v>
      </c>
      <c r="O164">
        <f t="shared" si="115"/>
        <v>31.687749200126163</v>
      </c>
      <c r="P164">
        <f t="shared" si="116"/>
        <v>1.5392331491133713</v>
      </c>
      <c r="Q164">
        <f t="shared" si="117"/>
        <v>24.738321056560078</v>
      </c>
      <c r="R164">
        <f t="shared" si="118"/>
        <v>1.5303621948179926</v>
      </c>
      <c r="S164">
        <f t="shared" si="119"/>
        <v>0.94431299086165832</v>
      </c>
      <c r="T164">
        <f t="shared" si="120"/>
        <v>-0.33529588368101804</v>
      </c>
      <c r="U164">
        <f t="shared" si="121"/>
        <v>0.87876416137850755</v>
      </c>
      <c r="V164">
        <f t="shared" si="122"/>
        <v>-0.49752979752550203</v>
      </c>
      <c r="X164">
        <f t="shared" si="139"/>
        <v>-5.3572650057179692</v>
      </c>
      <c r="Y164">
        <f t="shared" si="123"/>
        <v>-122.92517062535954</v>
      </c>
      <c r="Z164">
        <f t="shared" si="140"/>
        <v>57.074829374640458</v>
      </c>
      <c r="AC164">
        <v>1</v>
      </c>
      <c r="AD164">
        <f t="shared" si="124"/>
        <v>31.671966300975001</v>
      </c>
      <c r="AE164">
        <f t="shared" si="125"/>
        <v>-1.0606744403397535E-3</v>
      </c>
      <c r="AF164">
        <f t="shared" si="126"/>
        <v>1.9530024867990001E-3</v>
      </c>
      <c r="AG164">
        <f t="shared" si="141"/>
        <v>12308.501703575894</v>
      </c>
      <c r="AH164">
        <f t="shared" si="142"/>
        <v>-7196.7717659684749</v>
      </c>
      <c r="AJ164">
        <f t="shared" si="127"/>
        <v>22100</v>
      </c>
      <c r="AK164">
        <f t="shared" si="128"/>
        <v>7700.8088771195398</v>
      </c>
      <c r="AL164">
        <v>1</v>
      </c>
      <c r="AM164">
        <f t="shared" si="129"/>
        <v>24.718101235682401</v>
      </c>
      <c r="AN164">
        <f t="shared" si="143"/>
        <v>347.14827493018925</v>
      </c>
      <c r="AO164">
        <f t="shared" si="144"/>
        <v>-880.03732639738394</v>
      </c>
      <c r="AQ164">
        <f t="shared" si="130"/>
        <v>0.59168096562333594</v>
      </c>
      <c r="AR164">
        <f t="shared" si="131"/>
        <v>-76.918525531033666</v>
      </c>
      <c r="AT164">
        <f t="shared" si="156"/>
        <v>-546282.36664832011</v>
      </c>
      <c r="AU164">
        <f t="shared" si="157"/>
        <v>-951009.99540313275</v>
      </c>
      <c r="AV164">
        <f t="shared" si="145"/>
        <v>-2.0921971460262752</v>
      </c>
      <c r="AW164">
        <f t="shared" si="146"/>
        <v>-55319.620355256935</v>
      </c>
      <c r="AX164">
        <f t="shared" si="147"/>
        <v>-38466.341212025334</v>
      </c>
      <c r="AY164">
        <f t="shared" si="155"/>
        <v>-2.5339962275498107</v>
      </c>
      <c r="BA164">
        <f t="shared" si="132"/>
        <v>16.277235283464893</v>
      </c>
      <c r="BB164">
        <f t="shared" si="148"/>
        <v>24.231612822980072</v>
      </c>
      <c r="BC164">
        <f t="shared" si="149"/>
        <v>0.44179908152353553</v>
      </c>
      <c r="BD164">
        <f t="shared" si="133"/>
        <v>-154.68677720702064</v>
      </c>
      <c r="BF164">
        <f t="shared" si="134"/>
        <v>-4.6887490775067917</v>
      </c>
      <c r="BG164">
        <f t="shared" si="135"/>
        <v>-135.76940939585558</v>
      </c>
      <c r="BH164">
        <f t="shared" si="150"/>
        <v>44.230590604144425</v>
      </c>
      <c r="BI164">
        <f t="shared" si="151"/>
        <v>44.230590604144425</v>
      </c>
      <c r="BJ164">
        <f t="shared" si="136"/>
        <v>0</v>
      </c>
      <c r="BK164">
        <f t="shared" si="152"/>
        <v>0</v>
      </c>
      <c r="BM164">
        <f t="shared" si="153"/>
        <v>-28.92036190048686</v>
      </c>
      <c r="BN164">
        <f t="shared" si="137"/>
        <v>-161.08263218883494</v>
      </c>
      <c r="BQ164" s="47">
        <f t="shared" si="154"/>
        <v>41.133573623265207</v>
      </c>
      <c r="BR164" s="529"/>
      <c r="BS164" s="529"/>
      <c r="BT164" s="529">
        <v>3467.3690000000001</v>
      </c>
      <c r="BU164" s="529">
        <v>4.9028999999999998</v>
      </c>
      <c r="BV164" s="529">
        <v>-247.51300000000001</v>
      </c>
      <c r="BW164" s="49"/>
      <c r="BY164" s="529"/>
      <c r="BZ164" s="529"/>
      <c r="CA164" s="529"/>
      <c r="CC164" s="529"/>
    </row>
    <row r="165" spans="1:81">
      <c r="A165">
        <f t="shared" si="106"/>
        <v>65500</v>
      </c>
      <c r="B165">
        <f t="shared" si="138"/>
        <v>65.5</v>
      </c>
      <c r="C165">
        <f t="shared" si="107"/>
        <v>1.0528049485415683</v>
      </c>
      <c r="D165">
        <f t="shared" si="108"/>
        <v>0.31806105795671386</v>
      </c>
      <c r="F165">
        <f t="shared" si="109"/>
        <v>2.2345778570278833E-3</v>
      </c>
      <c r="G165">
        <f t="shared" si="110"/>
        <v>1.4268223229294552E-2</v>
      </c>
      <c r="H165">
        <f t="shared" si="111"/>
        <v>-3.1273244267707057</v>
      </c>
      <c r="J165">
        <f t="shared" si="112"/>
        <v>15</v>
      </c>
      <c r="M165">
        <f t="shared" si="113"/>
        <v>2.2992012488335344E-2</v>
      </c>
      <c r="N165">
        <f t="shared" si="114"/>
        <v>-1.5707963250000001</v>
      </c>
      <c r="O165">
        <f t="shared" si="115"/>
        <v>31.931259289310788</v>
      </c>
      <c r="P165">
        <f t="shared" si="116"/>
        <v>1.5394739312367787</v>
      </c>
      <c r="Q165">
        <f t="shared" si="117"/>
        <v>24.928306071775044</v>
      </c>
      <c r="R165">
        <f t="shared" si="118"/>
        <v>1.5306705198400985</v>
      </c>
      <c r="S165">
        <f t="shared" si="119"/>
        <v>0.94352446560754311</v>
      </c>
      <c r="T165">
        <f t="shared" si="120"/>
        <v>-0.33768408130546307</v>
      </c>
      <c r="U165">
        <f t="shared" si="121"/>
        <v>0.87722261891852882</v>
      </c>
      <c r="V165">
        <f t="shared" si="122"/>
        <v>-0.50075026460284888</v>
      </c>
      <c r="X165">
        <f t="shared" si="139"/>
        <v>-5.4403308764779119</v>
      </c>
      <c r="Y165">
        <f t="shared" si="123"/>
        <v>-123.09136448870188</v>
      </c>
      <c r="Z165">
        <f t="shared" si="140"/>
        <v>56.908635511298115</v>
      </c>
      <c r="AC165">
        <v>1</v>
      </c>
      <c r="AD165">
        <f t="shared" si="124"/>
        <v>31.915596810982503</v>
      </c>
      <c r="AE165">
        <f t="shared" si="125"/>
        <v>-1.0770552704538762E-3</v>
      </c>
      <c r="AF165">
        <f t="shared" si="126"/>
        <v>1.9680255828513002E-3</v>
      </c>
      <c r="AG165">
        <f t="shared" si="141"/>
        <v>12265.356030347439</v>
      </c>
      <c r="AH165">
        <f t="shared" si="142"/>
        <v>-7220.6715605244517</v>
      </c>
      <c r="AJ165">
        <f t="shared" si="127"/>
        <v>22100</v>
      </c>
      <c r="AK165">
        <f t="shared" si="128"/>
        <v>7760.0458684819978</v>
      </c>
      <c r="AL165">
        <v>1</v>
      </c>
      <c r="AM165">
        <f t="shared" si="129"/>
        <v>24.90824047595688</v>
      </c>
      <c r="AN165">
        <f t="shared" si="143"/>
        <v>346.60766444375616</v>
      </c>
      <c r="AO165">
        <f t="shared" si="144"/>
        <v>-873.34118829284989</v>
      </c>
      <c r="AQ165">
        <f t="shared" si="130"/>
        <v>0.58268267101736393</v>
      </c>
      <c r="AR165">
        <f t="shared" si="131"/>
        <v>-76.331429903274682</v>
      </c>
      <c r="AT165">
        <f t="shared" si="156"/>
        <v>-544017.37466399942</v>
      </c>
      <c r="AU165">
        <f t="shared" si="157"/>
        <v>-940439.52426059847</v>
      </c>
      <c r="AV165">
        <f t="shared" si="145"/>
        <v>-2.0952355474383699</v>
      </c>
      <c r="AW165">
        <f t="shared" si="146"/>
        <v>-54337.597270493883</v>
      </c>
      <c r="AX165">
        <f t="shared" si="147"/>
        <v>-38199.162518559286</v>
      </c>
      <c r="AY165">
        <f t="shared" si="155"/>
        <v>-2.5288581764525251</v>
      </c>
      <c r="BA165">
        <f t="shared" si="132"/>
        <v>16.357077361930617</v>
      </c>
      <c r="BB165">
        <f t="shared" si="148"/>
        <v>24.274114154217543</v>
      </c>
      <c r="BC165">
        <f t="shared" si="149"/>
        <v>0.43362262901415516</v>
      </c>
      <c r="BD165">
        <f t="shared" si="133"/>
        <v>-155.15525342773262</v>
      </c>
      <c r="BF165">
        <f t="shared" si="134"/>
        <v>-4.773192494091349</v>
      </c>
      <c r="BG165">
        <f t="shared" si="135"/>
        <v>-136.11418818540034</v>
      </c>
      <c r="BH165">
        <f t="shared" si="150"/>
        <v>43.885811814599663</v>
      </c>
      <c r="BI165">
        <f t="shared" si="151"/>
        <v>43.885811814599663</v>
      </c>
      <c r="BJ165">
        <f t="shared" si="136"/>
        <v>0</v>
      </c>
      <c r="BK165">
        <f t="shared" si="152"/>
        <v>0</v>
      </c>
      <c r="BM165">
        <f t="shared" si="153"/>
        <v>-29.047306648308894</v>
      </c>
      <c r="BN165">
        <f t="shared" si="137"/>
        <v>-160.95893475766772</v>
      </c>
      <c r="BQ165" s="47">
        <f t="shared" si="154"/>
        <v>41.176074954502681</v>
      </c>
      <c r="BR165" s="529"/>
      <c r="BS165" s="529"/>
      <c r="BT165" s="529">
        <v>3548.134</v>
      </c>
      <c r="BU165" s="529">
        <v>4.6522600000000001</v>
      </c>
      <c r="BV165" s="529">
        <v>-246.726</v>
      </c>
      <c r="BW165" s="49"/>
      <c r="BY165" s="529"/>
      <c r="BZ165" s="529"/>
      <c r="CA165" s="529"/>
      <c r="CC165" s="529"/>
    </row>
    <row r="166" spans="1:81">
      <c r="A166">
        <f t="shared" ref="A166:A200" si="158">A165+500</f>
        <v>66000</v>
      </c>
      <c r="B166">
        <f t="shared" si="138"/>
        <v>66</v>
      </c>
      <c r="C166">
        <f t="shared" si="107"/>
        <v>1.0535936178065095</v>
      </c>
      <c r="D166">
        <f t="shared" si="108"/>
        <v>0.32032684548512702</v>
      </c>
      <c r="F166">
        <f t="shared" si="109"/>
        <v>2.2007766864798441E-3</v>
      </c>
      <c r="G166">
        <f t="shared" si="110"/>
        <v>1.4159658960417388E-2</v>
      </c>
      <c r="H166">
        <f t="shared" si="111"/>
        <v>-3.1274329910395826</v>
      </c>
      <c r="J166">
        <f t="shared" si="112"/>
        <v>15</v>
      </c>
      <c r="M166">
        <f t="shared" si="113"/>
        <v>2.2817830575544925E-2</v>
      </c>
      <c r="N166">
        <f t="shared" si="114"/>
        <v>-1.5707963250000001</v>
      </c>
      <c r="O166">
        <f t="shared" si="115"/>
        <v>32.174771201721235</v>
      </c>
      <c r="P166">
        <f t="shared" si="116"/>
        <v>1.5397110686973172</v>
      </c>
      <c r="Q166">
        <f t="shared" si="117"/>
        <v>25.118293420933945</v>
      </c>
      <c r="R166">
        <f t="shared" si="118"/>
        <v>1.5309741807319903</v>
      </c>
      <c r="S166">
        <f t="shared" si="119"/>
        <v>0.94273189274040736</v>
      </c>
      <c r="T166">
        <f t="shared" si="120"/>
        <v>-0.34006828027482827</v>
      </c>
      <c r="U166">
        <f t="shared" si="121"/>
        <v>0.87567744108788648</v>
      </c>
      <c r="V166">
        <f t="shared" si="122"/>
        <v>-0.50395941952649681</v>
      </c>
      <c r="X166">
        <f t="shared" si="139"/>
        <v>-5.5229464782189863</v>
      </c>
      <c r="Y166">
        <f t="shared" si="123"/>
        <v>-123.25725480888335</v>
      </c>
      <c r="Z166">
        <f t="shared" si="140"/>
        <v>56.742745191116654</v>
      </c>
      <c r="AC166">
        <v>1</v>
      </c>
      <c r="AD166">
        <f t="shared" si="124"/>
        <v>32.159227320990006</v>
      </c>
      <c r="AE166">
        <f t="shared" si="125"/>
        <v>-1.0935616241704064E-3</v>
      </c>
      <c r="AF166">
        <f t="shared" si="126"/>
        <v>1.9830486789036003E-3</v>
      </c>
      <c r="AG166">
        <f t="shared" si="141"/>
        <v>12222.184629516772</v>
      </c>
      <c r="AH166">
        <f t="shared" si="142"/>
        <v>-7244.2558910392145</v>
      </c>
      <c r="AJ166">
        <f t="shared" si="127"/>
        <v>22100</v>
      </c>
      <c r="AK166">
        <f t="shared" si="128"/>
        <v>7819.2828598444557</v>
      </c>
      <c r="AL166">
        <v>1</v>
      </c>
      <c r="AM166">
        <f t="shared" si="129"/>
        <v>25.09837971623136</v>
      </c>
      <c r="AN166">
        <f t="shared" si="143"/>
        <v>346.07926799382062</v>
      </c>
      <c r="AO166">
        <f t="shared" si="144"/>
        <v>-866.74602017984898</v>
      </c>
      <c r="AQ166">
        <f t="shared" si="130"/>
        <v>0.57388809182209466</v>
      </c>
      <c r="AR166">
        <f t="shared" si="131"/>
        <v>-75.753228120516496</v>
      </c>
      <c r="AT166">
        <f t="shared" si="156"/>
        <v>-541761.60286235844</v>
      </c>
      <c r="AU166">
        <f t="shared" si="157"/>
        <v>-930027.33256083389</v>
      </c>
      <c r="AV166">
        <f t="shared" si="145"/>
        <v>-2.0982653917677774</v>
      </c>
      <c r="AW166">
        <f t="shared" si="146"/>
        <v>-53378.707967035152</v>
      </c>
      <c r="AX166">
        <f t="shared" si="147"/>
        <v>-37937.176309155606</v>
      </c>
      <c r="AY166">
        <f t="shared" si="155"/>
        <v>-2.5237099632666302</v>
      </c>
      <c r="BA166">
        <f t="shared" si="132"/>
        <v>16.435629879009518</v>
      </c>
      <c r="BB166">
        <f t="shared" si="148"/>
        <v>24.315727052729148</v>
      </c>
      <c r="BC166">
        <f t="shared" si="149"/>
        <v>0.42544457149885284</v>
      </c>
      <c r="BD166">
        <f t="shared" si="133"/>
        <v>-155.6238216085101</v>
      </c>
      <c r="BF166">
        <f t="shared" si="134"/>
        <v>-4.8574656063562553</v>
      </c>
      <c r="BG166">
        <f t="shared" si="135"/>
        <v>-136.45915657779773</v>
      </c>
      <c r="BH166">
        <f t="shared" si="150"/>
        <v>43.540843422202272</v>
      </c>
      <c r="BI166">
        <f t="shared" si="151"/>
        <v>43.540843422202272</v>
      </c>
      <c r="BJ166">
        <f t="shared" si="136"/>
        <v>0</v>
      </c>
      <c r="BK166">
        <f t="shared" si="152"/>
        <v>0</v>
      </c>
      <c r="BM166">
        <f t="shared" si="153"/>
        <v>-29.173192659085405</v>
      </c>
      <c r="BN166">
        <f t="shared" si="137"/>
        <v>-160.83533496928763</v>
      </c>
      <c r="BQ166" s="47">
        <f t="shared" si="154"/>
        <v>41.217687853014283</v>
      </c>
      <c r="BR166" s="529"/>
      <c r="BS166" s="529"/>
      <c r="BT166" s="529">
        <v>3630.7809999999999</v>
      </c>
      <c r="BU166" s="529">
        <v>4.4950999999999999</v>
      </c>
      <c r="BV166" s="529">
        <v>-246.21199999999999</v>
      </c>
      <c r="BW166" s="49"/>
      <c r="BY166" s="529"/>
      <c r="BZ166" s="529"/>
      <c r="CA166" s="529"/>
      <c r="CC166" s="529"/>
    </row>
    <row r="167" spans="1:81">
      <c r="A167">
        <f t="shared" si="158"/>
        <v>66500</v>
      </c>
      <c r="B167">
        <f t="shared" si="138"/>
        <v>66.5</v>
      </c>
      <c r="C167">
        <f t="shared" si="107"/>
        <v>1.0543876878953056</v>
      </c>
      <c r="D167">
        <f t="shared" si="108"/>
        <v>0.32258923183838173</v>
      </c>
      <c r="F167">
        <f t="shared" si="109"/>
        <v>2.1677372210108519E-3</v>
      </c>
      <c r="G167">
        <f t="shared" si="110"/>
        <v>1.4052737785546729E-2</v>
      </c>
      <c r="H167">
        <f t="shared" si="111"/>
        <v>-3.1275399122144534</v>
      </c>
      <c r="J167">
        <f t="shared" si="112"/>
        <v>15</v>
      </c>
      <c r="M167">
        <f t="shared" si="113"/>
        <v>2.2646267939638573E-2</v>
      </c>
      <c r="N167">
        <f t="shared" si="114"/>
        <v>-1.5707963250000001</v>
      </c>
      <c r="O167">
        <f t="shared" si="115"/>
        <v>32.418284896271679</v>
      </c>
      <c r="P167">
        <f t="shared" si="116"/>
        <v>1.5399446435999311</v>
      </c>
      <c r="Q167">
        <f t="shared" si="117"/>
        <v>25.308283051474572</v>
      </c>
      <c r="R167">
        <f t="shared" si="118"/>
        <v>1.5312732824780964</v>
      </c>
      <c r="S167">
        <f t="shared" si="119"/>
        <v>0.94193530944923398</v>
      </c>
      <c r="T167">
        <f t="shared" si="120"/>
        <v>-0.34244846358612208</v>
      </c>
      <c r="U167">
        <f t="shared" si="121"/>
        <v>0.87412874228933812</v>
      </c>
      <c r="V167">
        <f t="shared" si="122"/>
        <v>-0.50715725604235662</v>
      </c>
      <c r="X167">
        <f t="shared" si="139"/>
        <v>-5.605118870417515</v>
      </c>
      <c r="Y167">
        <f t="shared" si="123"/>
        <v>-123.42283262178313</v>
      </c>
      <c r="Z167">
        <f t="shared" si="140"/>
        <v>56.57716737821687</v>
      </c>
      <c r="AC167">
        <v>1</v>
      </c>
      <c r="AD167">
        <f t="shared" si="124"/>
        <v>32.402857830997505</v>
      </c>
      <c r="AE167">
        <f t="shared" si="125"/>
        <v>-1.1101935014893433E-3</v>
      </c>
      <c r="AF167">
        <f t="shared" si="126"/>
        <v>1.9980717749559004E-3</v>
      </c>
      <c r="AG167">
        <f t="shared" si="141"/>
        <v>12178.991226170549</v>
      </c>
      <c r="AH167">
        <f t="shared" si="142"/>
        <v>-7267.5251690148962</v>
      </c>
      <c r="AJ167">
        <f t="shared" si="127"/>
        <v>22100</v>
      </c>
      <c r="AK167">
        <f t="shared" si="128"/>
        <v>7878.5198512069137</v>
      </c>
      <c r="AL167">
        <v>1</v>
      </c>
      <c r="AM167">
        <f t="shared" si="129"/>
        <v>25.288518956505843</v>
      </c>
      <c r="AN167">
        <f t="shared" si="143"/>
        <v>345.56272058517482</v>
      </c>
      <c r="AO167">
        <f t="shared" si="144"/>
        <v>-860.24955897301265</v>
      </c>
      <c r="AQ167">
        <f t="shared" si="130"/>
        <v>0.56529112492933864</v>
      </c>
      <c r="AR167">
        <f t="shared" si="131"/>
        <v>-75.18371961560203</v>
      </c>
      <c r="AT167">
        <f t="shared" si="156"/>
        <v>-539514.89895580022</v>
      </c>
      <c r="AU167">
        <f t="shared" si="157"/>
        <v>-919770.12902752846</v>
      </c>
      <c r="AV167">
        <f t="shared" si="145"/>
        <v>-2.1012866107199146</v>
      </c>
      <c r="AW167">
        <f t="shared" si="146"/>
        <v>-52442.258720698723</v>
      </c>
      <c r="AX167">
        <f t="shared" si="147"/>
        <v>-37680.226428680187</v>
      </c>
      <c r="AY167">
        <f t="shared" si="155"/>
        <v>-2.518552355899736</v>
      </c>
      <c r="BA167">
        <f t="shared" si="132"/>
        <v>16.512883954385881</v>
      </c>
      <c r="BB167">
        <f t="shared" si="148"/>
        <v>24.35645857742665</v>
      </c>
      <c r="BC167">
        <f t="shared" si="149"/>
        <v>0.4172657451798214</v>
      </c>
      <c r="BD167">
        <f t="shared" si="133"/>
        <v>-156.09243383849659</v>
      </c>
      <c r="BF167">
        <f t="shared" si="134"/>
        <v>-4.9415770271383233</v>
      </c>
      <c r="BG167">
        <f t="shared" si="135"/>
        <v>-136.80426975003428</v>
      </c>
      <c r="BH167">
        <f t="shared" si="150"/>
        <v>43.19573024996572</v>
      </c>
      <c r="BI167">
        <f t="shared" si="151"/>
        <v>43.19573024996572</v>
      </c>
      <c r="BJ167">
        <f t="shared" si="136"/>
        <v>0</v>
      </c>
      <c r="BK167">
        <f t="shared" si="152"/>
        <v>0</v>
      </c>
      <c r="BM167">
        <f t="shared" si="153"/>
        <v>-29.298035604564969</v>
      </c>
      <c r="BN167">
        <f t="shared" si="137"/>
        <v>-160.71183591153769</v>
      </c>
      <c r="BQ167" s="47">
        <f t="shared" si="154"/>
        <v>41.258419377711782</v>
      </c>
      <c r="BR167" s="529"/>
      <c r="BS167" s="529"/>
      <c r="BT167" s="529">
        <v>3715.3519999999999</v>
      </c>
      <c r="BU167" s="529">
        <v>4.3437000000000001</v>
      </c>
      <c r="BV167" s="529">
        <v>-245.97</v>
      </c>
      <c r="BW167" s="49"/>
      <c r="BY167" s="529"/>
      <c r="BZ167" s="529"/>
      <c r="CA167" s="529"/>
      <c r="CC167" s="529"/>
    </row>
    <row r="168" spans="1:81">
      <c r="A168">
        <f t="shared" si="158"/>
        <v>67000</v>
      </c>
      <c r="B168">
        <f t="shared" si="138"/>
        <v>67</v>
      </c>
      <c r="C168">
        <f t="shared" si="107"/>
        <v>1.0551871466149561</v>
      </c>
      <c r="D168">
        <f t="shared" si="108"/>
        <v>0.3248482015617255</v>
      </c>
      <c r="F168">
        <f t="shared" si="109"/>
        <v>2.1354367292641635E-3</v>
      </c>
      <c r="G168">
        <f t="shared" si="110"/>
        <v>1.3947422606562824E-2</v>
      </c>
      <c r="H168">
        <f t="shared" si="111"/>
        <v>-3.1276452273934372</v>
      </c>
      <c r="J168">
        <f t="shared" si="112"/>
        <v>15</v>
      </c>
      <c r="M168">
        <f t="shared" si="113"/>
        <v>2.2477265940089031E-2</v>
      </c>
      <c r="N168">
        <f t="shared" si="114"/>
        <v>-1.5707963250000001</v>
      </c>
      <c r="O168">
        <f t="shared" si="115"/>
        <v>32.66180033310129</v>
      </c>
      <c r="P168">
        <f t="shared" si="116"/>
        <v>1.5401747356025579</v>
      </c>
      <c r="Q168">
        <f t="shared" si="117"/>
        <v>25.498274912400657</v>
      </c>
      <c r="R168">
        <f t="shared" si="118"/>
        <v>1.5315679269371392</v>
      </c>
      <c r="S168">
        <f t="shared" si="119"/>
        <v>0.94113475293402737</v>
      </c>
      <c r="T168">
        <f t="shared" si="120"/>
        <v>-0.34482461447557589</v>
      </c>
      <c r="U168">
        <f t="shared" si="121"/>
        <v>0.87257663594115709</v>
      </c>
      <c r="V168">
        <f t="shared" si="122"/>
        <v>-0.51034376886631483</v>
      </c>
      <c r="X168">
        <f t="shared" si="139"/>
        <v>-5.6868549331610305</v>
      </c>
      <c r="Y168">
        <f t="shared" si="123"/>
        <v>-123.58808927506975</v>
      </c>
      <c r="Z168">
        <f t="shared" si="140"/>
        <v>56.411910724930252</v>
      </c>
      <c r="AC168">
        <v>1</v>
      </c>
      <c r="AD168">
        <f t="shared" si="124"/>
        <v>32.646488341005004</v>
      </c>
      <c r="AE168">
        <f t="shared" si="125"/>
        <v>-1.1269509024106872E-3</v>
      </c>
      <c r="AF168">
        <f t="shared" si="126"/>
        <v>2.0130948710082E-3</v>
      </c>
      <c r="AG168">
        <f t="shared" si="141"/>
        <v>12135.77949663077</v>
      </c>
      <c r="AH168">
        <f t="shared" si="142"/>
        <v>-7290.4798807792404</v>
      </c>
      <c r="AJ168">
        <f t="shared" si="127"/>
        <v>22100</v>
      </c>
      <c r="AK168">
        <f t="shared" si="128"/>
        <v>7937.7568425693717</v>
      </c>
      <c r="AL168">
        <v>1</v>
      </c>
      <c r="AM168">
        <f t="shared" si="129"/>
        <v>25.478658196780319</v>
      </c>
      <c r="AN168">
        <f t="shared" si="143"/>
        <v>345.05767074858102</v>
      </c>
      <c r="AO168">
        <f t="shared" si="144"/>
        <v>-853.84960861088609</v>
      </c>
      <c r="AQ168">
        <f t="shared" si="130"/>
        <v>0.55688589408030298</v>
      </c>
      <c r="AR168">
        <f t="shared" si="131"/>
        <v>-74.622709806760597</v>
      </c>
      <c r="AT168">
        <f t="shared" si="156"/>
        <v>-537277.12008007313</v>
      </c>
      <c r="AU168">
        <f t="shared" si="157"/>
        <v>-909664.71706259542</v>
      </c>
      <c r="AV168">
        <f t="shared" si="145"/>
        <v>-2.1042991388183014</v>
      </c>
      <c r="AW168">
        <f t="shared" si="146"/>
        <v>-51527.581411256593</v>
      </c>
      <c r="AX168">
        <f t="shared" si="147"/>
        <v>-37428.162666097996</v>
      </c>
      <c r="AY168">
        <f t="shared" si="155"/>
        <v>-2.5133861212492405</v>
      </c>
      <c r="BA168">
        <f t="shared" si="132"/>
        <v>16.588831184247958</v>
      </c>
      <c r="BB168">
        <f t="shared" si="148"/>
        <v>24.396315751694381</v>
      </c>
      <c r="BC168">
        <f t="shared" si="149"/>
        <v>0.40908698243093911</v>
      </c>
      <c r="BD168">
        <f t="shared" si="133"/>
        <v>-156.56104242618181</v>
      </c>
      <c r="BF168">
        <f t="shared" si="134"/>
        <v>-5.0255350545118693</v>
      </c>
      <c r="BG168">
        <f t="shared" si="135"/>
        <v>-137.14948302165752</v>
      </c>
      <c r="BH168">
        <f t="shared" si="150"/>
        <v>42.850516978342483</v>
      </c>
      <c r="BI168">
        <f t="shared" si="151"/>
        <v>42.850516978342483</v>
      </c>
      <c r="BJ168">
        <f t="shared" si="136"/>
        <v>0</v>
      </c>
      <c r="BK168">
        <f t="shared" si="152"/>
        <v>0</v>
      </c>
      <c r="BM168">
        <f t="shared" si="153"/>
        <v>-29.421850806206251</v>
      </c>
      <c r="BN168">
        <f t="shared" si="137"/>
        <v>-160.5884405954757</v>
      </c>
      <c r="BQ168" s="47">
        <f t="shared" si="154"/>
        <v>41.298276551979512</v>
      </c>
      <c r="BR168" s="529"/>
      <c r="BS168" s="529"/>
      <c r="BT168" s="529">
        <v>3801.8939999999998</v>
      </c>
      <c r="BU168" s="529">
        <v>4.1437400000000002</v>
      </c>
      <c r="BV168" s="529">
        <v>-245.16899999999998</v>
      </c>
      <c r="BW168" s="49"/>
      <c r="BY168" s="529"/>
      <c r="BZ168" s="529"/>
      <c r="CA168" s="529"/>
      <c r="CC168" s="529"/>
    </row>
    <row r="169" spans="1:81">
      <c r="A169">
        <f t="shared" si="158"/>
        <v>67500</v>
      </c>
      <c r="B169">
        <f t="shared" si="138"/>
        <v>67.5</v>
      </c>
      <c r="C169">
        <f t="shared" si="107"/>
        <v>1.0559919817267651</v>
      </c>
      <c r="D169">
        <f t="shared" si="108"/>
        <v>0.32710373938652676</v>
      </c>
      <c r="F169">
        <f t="shared" si="109"/>
        <v>2.1038533221217179E-3</v>
      </c>
      <c r="G169">
        <f t="shared" si="110"/>
        <v>1.3843677436039202E-2</v>
      </c>
      <c r="H169">
        <f t="shared" si="111"/>
        <v>-3.1277489725639609</v>
      </c>
      <c r="J169">
        <f t="shared" si="112"/>
        <v>15</v>
      </c>
      <c r="M169">
        <f t="shared" si="113"/>
        <v>2.2310767673866149E-2</v>
      </c>
      <c r="N169">
        <f t="shared" si="114"/>
        <v>-1.5707963250000001</v>
      </c>
      <c r="O169">
        <f t="shared" si="115"/>
        <v>32.905317473528925</v>
      </c>
      <c r="P169">
        <f t="shared" si="116"/>
        <v>1.5404014220065889</v>
      </c>
      <c r="Q169">
        <f t="shared" si="117"/>
        <v>25.688268954224043</v>
      </c>
      <c r="R169">
        <f t="shared" si="118"/>
        <v>1.5318582129575451</v>
      </c>
      <c r="S169">
        <f t="shared" si="119"/>
        <v>0.94033026040194778</v>
      </c>
      <c r="T169">
        <f t="shared" si="120"/>
        <v>-0.34719671641831062</v>
      </c>
      <c r="U169">
        <f t="shared" si="121"/>
        <v>0.87102123446864166</v>
      </c>
      <c r="V169">
        <f t="shared" si="122"/>
        <v>-0.51351895367143707</v>
      </c>
      <c r="X169">
        <f t="shared" si="139"/>
        <v>-5.7681613728587777</v>
      </c>
      <c r="Y169">
        <f t="shared" si="123"/>
        <v>-123.75301641813699</v>
      </c>
      <c r="Z169">
        <f t="shared" si="140"/>
        <v>56.246983581863006</v>
      </c>
      <c r="AC169">
        <v>1</v>
      </c>
      <c r="AD169">
        <f t="shared" si="124"/>
        <v>32.890118851012502</v>
      </c>
      <c r="AE169">
        <f t="shared" si="125"/>
        <v>-1.1438338269344384E-3</v>
      </c>
      <c r="AF169">
        <f t="shared" si="126"/>
        <v>2.0281179670605001E-3</v>
      </c>
      <c r="AG169">
        <f t="shared" si="141"/>
        <v>12092.553068336772</v>
      </c>
      <c r="AH169">
        <f t="shared" si="142"/>
        <v>-7313.1205849235457</v>
      </c>
      <c r="AJ169">
        <f t="shared" si="127"/>
        <v>22100</v>
      </c>
      <c r="AK169">
        <f t="shared" si="128"/>
        <v>7996.9938339318305</v>
      </c>
      <c r="AL169">
        <v>1</v>
      </c>
      <c r="AM169">
        <f t="shared" si="129"/>
        <v>25.668797437054799</v>
      </c>
      <c r="AN169">
        <f t="shared" si="143"/>
        <v>344.56377994400691</v>
      </c>
      <c r="AO169">
        <f t="shared" si="144"/>
        <v>-847.5440375968069</v>
      </c>
      <c r="AQ169">
        <f t="shared" si="130"/>
        <v>0.54866673982223202</v>
      </c>
      <c r="AR169">
        <f t="shared" si="131"/>
        <v>-74.070009876001322</v>
      </c>
      <c r="AT169">
        <f t="shared" si="156"/>
        <v>-535048.13228154392</v>
      </c>
      <c r="AU169">
        <f t="shared" si="157"/>
        <v>-899707.99122703169</v>
      </c>
      <c r="AV169">
        <f t="shared" si="145"/>
        <v>-2.1073029133234762</v>
      </c>
      <c r="AW169">
        <f t="shared" si="146"/>
        <v>-50634.032395912742</v>
      </c>
      <c r="AX169">
        <f t="shared" si="147"/>
        <v>-37180.840482006621</v>
      </c>
      <c r="AY169">
        <f t="shared" si="155"/>
        <v>-2.5082120248806077</v>
      </c>
      <c r="BA169">
        <f t="shared" si="132"/>
        <v>16.663463649378681</v>
      </c>
      <c r="BB169">
        <f t="shared" si="148"/>
        <v>24.435305568625864</v>
      </c>
      <c r="BC169">
        <f t="shared" si="149"/>
        <v>0.40090911155713149</v>
      </c>
      <c r="BD169">
        <f t="shared" si="133"/>
        <v>-157.02959991318937</v>
      </c>
      <c r="BF169">
        <f t="shared" si="134"/>
        <v>-5.109347677076272</v>
      </c>
      <c r="BG169">
        <f t="shared" si="135"/>
        <v>-137.49475187104682</v>
      </c>
      <c r="BH169">
        <f t="shared" si="150"/>
        <v>42.505248128953184</v>
      </c>
      <c r="BI169">
        <f t="shared" si="151"/>
        <v>42.505248128953184</v>
      </c>
      <c r="BJ169">
        <f t="shared" si="136"/>
        <v>0</v>
      </c>
      <c r="BK169">
        <f t="shared" si="152"/>
        <v>0</v>
      </c>
      <c r="BM169">
        <f t="shared" si="153"/>
        <v>-29.544653245702136</v>
      </c>
      <c r="BN169">
        <f t="shared" si="137"/>
        <v>-160.46515195785747</v>
      </c>
      <c r="BQ169" s="47">
        <f t="shared" si="154"/>
        <v>41.337266368911003</v>
      </c>
      <c r="BR169" s="529"/>
      <c r="BS169" s="529"/>
      <c r="BT169" s="529">
        <v>3890.451</v>
      </c>
      <c r="BU169" s="529">
        <v>3.9573</v>
      </c>
      <c r="BV169" s="529">
        <v>-244.768</v>
      </c>
      <c r="BW169" s="49"/>
      <c r="BY169" s="529"/>
      <c r="BZ169" s="529"/>
      <c r="CA169" s="529"/>
      <c r="CC169" s="529"/>
    </row>
    <row r="170" spans="1:81">
      <c r="A170">
        <f t="shared" si="158"/>
        <v>68000</v>
      </c>
      <c r="B170">
        <f t="shared" si="138"/>
        <v>68</v>
      </c>
      <c r="C170">
        <f t="shared" si="107"/>
        <v>1.0568021809471411</v>
      </c>
      <c r="D170">
        <f t="shared" si="108"/>
        <v>0.32935583023018655</v>
      </c>
      <c r="F170">
        <f t="shared" si="109"/>
        <v>2.0729659155074836E-3</v>
      </c>
      <c r="G170">
        <f t="shared" si="110"/>
        <v>1.37414673559047E-2</v>
      </c>
      <c r="H170">
        <f t="shared" si="111"/>
        <v>-3.1278511826440956</v>
      </c>
      <c r="J170">
        <f t="shared" si="112"/>
        <v>15</v>
      </c>
      <c r="M170">
        <f t="shared" si="113"/>
        <v>2.2146717911558308E-2</v>
      </c>
      <c r="N170">
        <f t="shared" si="114"/>
        <v>-1.5707963250000001</v>
      </c>
      <c r="O170">
        <f t="shared" si="115"/>
        <v>33.148836280009789</v>
      </c>
      <c r="P170">
        <f t="shared" si="116"/>
        <v>1.5406247778433459</v>
      </c>
      <c r="Q170">
        <f t="shared" si="117"/>
        <v>25.878265128909341</v>
      </c>
      <c r="R170">
        <f t="shared" si="118"/>
        <v>1.5321442364877793</v>
      </c>
      <c r="S170">
        <f t="shared" si="119"/>
        <v>0.93952186906347901</v>
      </c>
      <c r="T170">
        <f t="shared" si="120"/>
        <v>-0.34956475312797608</v>
      </c>
      <c r="U170">
        <f t="shared" si="121"/>
        <v>0.86946264929611494</v>
      </c>
      <c r="V170">
        <f t="shared" si="122"/>
        <v>-0.51668280707514225</v>
      </c>
      <c r="X170">
        <f t="shared" si="139"/>
        <v>-5.8490447277345483</v>
      </c>
      <c r="Y170">
        <f t="shared" si="123"/>
        <v>-123.91760599244539</v>
      </c>
      <c r="Z170">
        <f t="shared" si="140"/>
        <v>56.082394007554612</v>
      </c>
      <c r="AC170">
        <v>1</v>
      </c>
      <c r="AD170">
        <f t="shared" si="124"/>
        <v>33.133749361020001</v>
      </c>
      <c r="AE170">
        <f t="shared" si="125"/>
        <v>-1.1608422750605967E-3</v>
      </c>
      <c r="AF170">
        <f t="shared" si="126"/>
        <v>2.0431410631128002E-3</v>
      </c>
      <c r="AG170">
        <f t="shared" si="141"/>
        <v>12049.315519749038</v>
      </c>
      <c r="AH170">
        <f t="shared" si="142"/>
        <v>-7335.447909815216</v>
      </c>
      <c r="AJ170">
        <f t="shared" si="127"/>
        <v>22100</v>
      </c>
      <c r="AK170">
        <f t="shared" si="128"/>
        <v>8056.2308252942885</v>
      </c>
      <c r="AL170">
        <v>1</v>
      </c>
      <c r="AM170">
        <f t="shared" si="129"/>
        <v>25.858936677329282</v>
      </c>
      <c r="AN170">
        <f t="shared" si="143"/>
        <v>344.08072199434042</v>
      </c>
      <c r="AO170">
        <f t="shared" si="144"/>
        <v>-841.33077664710129</v>
      </c>
      <c r="AQ170">
        <f t="shared" si="130"/>
        <v>0.54062820997999672</v>
      </c>
      <c r="AR170">
        <f t="shared" si="131"/>
        <v>-73.525436557279562</v>
      </c>
      <c r="AT170">
        <f t="shared" si="156"/>
        <v>-532827.81003142148</v>
      </c>
      <c r="AU170">
        <f t="shared" si="157"/>
        <v>-889896.9338788368</v>
      </c>
      <c r="AV170">
        <f t="shared" si="145"/>
        <v>-2.1102978741548988</v>
      </c>
      <c r="AW170">
        <f t="shared" si="146"/>
        <v>-49760.991440244732</v>
      </c>
      <c r="AX170">
        <f t="shared" si="147"/>
        <v>-36938.120750815506</v>
      </c>
      <c r="AY170">
        <f t="shared" si="155"/>
        <v>-2.503030830698652</v>
      </c>
      <c r="BA170">
        <f t="shared" si="132"/>
        <v>16.736773922641277</v>
      </c>
      <c r="BB170">
        <f t="shared" si="148"/>
        <v>24.473434995944121</v>
      </c>
      <c r="BC170">
        <f t="shared" si="149"/>
        <v>0.39273295654375318</v>
      </c>
      <c r="BD170">
        <f t="shared" si="133"/>
        <v>-157.49805908863596</v>
      </c>
      <c r="BF170">
        <f t="shared" si="134"/>
        <v>-5.1930225791661062</v>
      </c>
      <c r="BG170">
        <f t="shared" si="135"/>
        <v>-137.84003195214632</v>
      </c>
      <c r="BH170">
        <f t="shared" si="150"/>
        <v>42.159968047853681</v>
      </c>
      <c r="BI170">
        <f t="shared" si="151"/>
        <v>42.159968047853681</v>
      </c>
      <c r="BJ170">
        <f t="shared" si="136"/>
        <v>0</v>
      </c>
      <c r="BK170">
        <f t="shared" si="152"/>
        <v>0</v>
      </c>
      <c r="BM170">
        <f t="shared" si="153"/>
        <v>-29.666457575110229</v>
      </c>
      <c r="BN170">
        <f t="shared" si="137"/>
        <v>-160.34197286351036</v>
      </c>
      <c r="BQ170" s="47">
        <f t="shared" si="154"/>
        <v>41.375395796229256</v>
      </c>
      <c r="BR170" s="529"/>
      <c r="BS170" s="529"/>
      <c r="BT170" s="529">
        <v>3981.0720000000001</v>
      </c>
      <c r="BU170" s="529">
        <v>3.8980899999999998</v>
      </c>
      <c r="BV170" s="529">
        <v>-244.315</v>
      </c>
      <c r="BW170" s="49"/>
      <c r="BY170" s="529"/>
      <c r="BZ170" s="529"/>
      <c r="CA170" s="529"/>
      <c r="CC170" s="529"/>
    </row>
    <row r="171" spans="1:81">
      <c r="A171">
        <f t="shared" si="158"/>
        <v>68500</v>
      </c>
      <c r="B171">
        <f t="shared" si="138"/>
        <v>68.5</v>
      </c>
      <c r="C171">
        <f t="shared" si="107"/>
        <v>1.0576177319483875</v>
      </c>
      <c r="D171">
        <f t="shared" si="108"/>
        <v>0.33160445919603054</v>
      </c>
      <c r="F171">
        <f t="shared" si="109"/>
        <v>2.0427541950945711E-3</v>
      </c>
      <c r="G171">
        <f t="shared" si="110"/>
        <v>1.3640758477941483E-2</v>
      </c>
      <c r="H171">
        <f t="shared" si="111"/>
        <v>-3.1279518915220588</v>
      </c>
      <c r="J171">
        <f t="shared" si="112"/>
        <v>15</v>
      </c>
      <c r="M171">
        <f t="shared" si="113"/>
        <v>2.1985063036291462E-2</v>
      </c>
      <c r="N171">
        <f t="shared" si="114"/>
        <v>-1.5707963250000001</v>
      </c>
      <c r="O171">
        <f t="shared" si="115"/>
        <v>33.392356716094064</v>
      </c>
      <c r="P171">
        <f t="shared" si="116"/>
        <v>1.5408448759567785</v>
      </c>
      <c r="Q171">
        <f t="shared" si="117"/>
        <v>26.068263389821038</v>
      </c>
      <c r="R171">
        <f t="shared" si="118"/>
        <v>1.5324260906818663</v>
      </c>
      <c r="S171">
        <f t="shared" si="119"/>
        <v>0.93870961612863202</v>
      </c>
      <c r="T171">
        <f t="shared" si="120"/>
        <v>-0.35192870855636288</v>
      </c>
      <c r="U171">
        <f t="shared" si="121"/>
        <v>0.86790099083941097</v>
      </c>
      <c r="V171">
        <f t="shared" si="122"/>
        <v>-0.51983532662635468</v>
      </c>
      <c r="X171">
        <f t="shared" si="139"/>
        <v>-5.9295113731116853</v>
      </c>
      <c r="Y171">
        <f t="shared" si="123"/>
        <v>-124.08185022224893</v>
      </c>
      <c r="Z171">
        <f t="shared" si="140"/>
        <v>55.918149777751069</v>
      </c>
      <c r="AC171">
        <v>1</v>
      </c>
      <c r="AD171">
        <f t="shared" si="124"/>
        <v>33.3773798710275</v>
      </c>
      <c r="AE171">
        <f t="shared" si="125"/>
        <v>-1.1779762467891617E-3</v>
      </c>
      <c r="AF171">
        <f t="shared" si="126"/>
        <v>2.0581641591651003E-3</v>
      </c>
      <c r="AG171">
        <f t="shared" si="141"/>
        <v>12006.070380274354</v>
      </c>
      <c r="AH171">
        <f t="shared" si="142"/>
        <v>-7357.4625511819468</v>
      </c>
      <c r="AJ171">
        <f t="shared" si="127"/>
        <v>22100</v>
      </c>
      <c r="AK171">
        <f t="shared" si="128"/>
        <v>8115.4678166567464</v>
      </c>
      <c r="AL171">
        <v>1</v>
      </c>
      <c r="AM171">
        <f t="shared" si="129"/>
        <v>26.049075917603762</v>
      </c>
      <c r="AN171">
        <f t="shared" si="143"/>
        <v>343.60818254781634</v>
      </c>
      <c r="AO171">
        <f t="shared" si="144"/>
        <v>-835.20781644117312</v>
      </c>
      <c r="AQ171">
        <f t="shared" si="130"/>
        <v>0.53276505061267976</v>
      </c>
      <c r="AR171">
        <f t="shared" si="131"/>
        <v>-72.988811933937129</v>
      </c>
      <c r="AT171">
        <f t="shared" si="156"/>
        <v>-530616.03576539818</v>
      </c>
      <c r="AU171">
        <f t="shared" si="157"/>
        <v>-880228.61195991922</v>
      </c>
      <c r="AV171">
        <f t="shared" si="145"/>
        <v>-2.1132839638156717</v>
      </c>
      <c r="AW171">
        <f t="shared" si="146"/>
        <v>-48907.860703283142</v>
      </c>
      <c r="AX171">
        <f t="shared" si="147"/>
        <v>-36699.869516670398</v>
      </c>
      <c r="AY171">
        <f t="shared" si="155"/>
        <v>-2.4978433006128227</v>
      </c>
      <c r="BA171">
        <f t="shared" si="132"/>
        <v>16.808755075845724</v>
      </c>
      <c r="BB171">
        <f t="shared" si="148"/>
        <v>24.510710980613378</v>
      </c>
      <c r="BC171">
        <f t="shared" si="149"/>
        <v>0.38455933679715093</v>
      </c>
      <c r="BD171">
        <f t="shared" si="133"/>
        <v>-157.96637300399618</v>
      </c>
      <c r="BF171">
        <f t="shared" si="134"/>
        <v>-5.2765671459939378</v>
      </c>
      <c r="BG171">
        <f t="shared" si="135"/>
        <v>-138.18527911159896</v>
      </c>
      <c r="BH171">
        <f t="shared" si="150"/>
        <v>41.814720888401041</v>
      </c>
      <c r="BI171">
        <f t="shared" si="151"/>
        <v>41.814720888401041</v>
      </c>
      <c r="BJ171">
        <f t="shared" si="136"/>
        <v>0</v>
      </c>
      <c r="BK171">
        <f t="shared" si="152"/>
        <v>0</v>
      </c>
      <c r="BM171">
        <f t="shared" si="153"/>
        <v>-29.787278126607319</v>
      </c>
      <c r="BN171">
        <f t="shared" si="137"/>
        <v>-160.21890610760278</v>
      </c>
      <c r="BQ171" s="47">
        <f t="shared" si="154"/>
        <v>41.412671780898513</v>
      </c>
      <c r="BR171" s="529"/>
      <c r="BS171" s="529"/>
      <c r="BT171" s="529">
        <v>4073.8029999999999</v>
      </c>
      <c r="BU171" s="529">
        <v>3.5600999999999998</v>
      </c>
      <c r="BV171" s="529">
        <v>-244.142</v>
      </c>
      <c r="BW171" s="49"/>
      <c r="BY171" s="529"/>
      <c r="BZ171" s="529"/>
      <c r="CA171" s="529"/>
      <c r="CC171" s="529"/>
    </row>
    <row r="172" spans="1:81">
      <c r="A172">
        <f t="shared" si="158"/>
        <v>69000</v>
      </c>
      <c r="B172">
        <f t="shared" si="138"/>
        <v>69</v>
      </c>
      <c r="C172">
        <f t="shared" si="107"/>
        <v>1.0584386223594986</v>
      </c>
      <c r="D172">
        <f t="shared" si="108"/>
        <v>0.33384961157317988</v>
      </c>
      <c r="F172">
        <f t="shared" si="109"/>
        <v>2.0131985828054939E-3</v>
      </c>
      <c r="G172">
        <f t="shared" si="110"/>
        <v>1.3541517906024498E-2</v>
      </c>
      <c r="H172">
        <f t="shared" si="111"/>
        <v>-3.1280511320939759</v>
      </c>
      <c r="J172">
        <f t="shared" si="112"/>
        <v>15</v>
      </c>
      <c r="M172">
        <f t="shared" si="113"/>
        <v>2.182575098530384E-2</v>
      </c>
      <c r="N172">
        <f t="shared" si="114"/>
        <v>-1.5707963250000001</v>
      </c>
      <c r="O172">
        <f t="shared" si="115"/>
        <v>33.63587874638722</v>
      </c>
      <c r="P172">
        <f t="shared" si="116"/>
        <v>1.5410617870825749</v>
      </c>
      <c r="Q172">
        <f t="shared" si="117"/>
        <v>26.258263691672891</v>
      </c>
      <c r="R172">
        <f t="shared" si="118"/>
        <v>1.5327038660003396</v>
      </c>
      <c r="S172">
        <f t="shared" si="119"/>
        <v>0.93789353880318505</v>
      </c>
      <c r="T172">
        <f t="shared" si="120"/>
        <v>-0.35428856689298793</v>
      </c>
      <c r="U172">
        <f t="shared" si="121"/>
        <v>0.86633636849883588</v>
      </c>
      <c r="V172">
        <f t="shared" si="122"/>
        <v>-0.5229765107926394</v>
      </c>
      <c r="X172">
        <f t="shared" si="139"/>
        <v>-6.0095675264996329</v>
      </c>
      <c r="Y172">
        <f t="shared" si="123"/>
        <v>-124.24574160568893</v>
      </c>
      <c r="Z172">
        <f t="shared" si="140"/>
        <v>55.754258394311066</v>
      </c>
      <c r="AC172">
        <v>1</v>
      </c>
      <c r="AD172">
        <f t="shared" si="124"/>
        <v>33.621010381035006</v>
      </c>
      <c r="AE172">
        <f t="shared" si="125"/>
        <v>-1.195235742120134E-3</v>
      </c>
      <c r="AF172">
        <f t="shared" si="126"/>
        <v>2.0731872552174004E-3</v>
      </c>
      <c r="AG172">
        <f t="shared" si="141"/>
        <v>11962.821130211842</v>
      </c>
      <c r="AH172">
        <f t="shared" si="142"/>
        <v>-7379.1652697647596</v>
      </c>
      <c r="AJ172">
        <f t="shared" si="127"/>
        <v>22100</v>
      </c>
      <c r="AK172">
        <f t="shared" si="128"/>
        <v>8174.7048080192044</v>
      </c>
      <c r="AL172">
        <v>1</v>
      </c>
      <c r="AM172">
        <f t="shared" si="129"/>
        <v>26.239215157878238</v>
      </c>
      <c r="AN172">
        <f t="shared" si="143"/>
        <v>343.14585856750375</v>
      </c>
      <c r="AO172">
        <f t="shared" si="144"/>
        <v>-829.17320546838346</v>
      </c>
      <c r="AQ172">
        <f t="shared" si="130"/>
        <v>0.52507219742714628</v>
      </c>
      <c r="AR172">
        <f t="shared" si="131"/>
        <v>-72.459963244946181</v>
      </c>
      <c r="AT172">
        <f t="shared" si="156"/>
        <v>-528412.69944726955</v>
      </c>
      <c r="AU172">
        <f t="shared" si="157"/>
        <v>-870700.17392438895</v>
      </c>
      <c r="AV172">
        <f t="shared" si="145"/>
        <v>-2.1162611273199605</v>
      </c>
      <c r="AW172">
        <f t="shared" si="146"/>
        <v>-48074.0637736184</v>
      </c>
      <c r="AX172">
        <f t="shared" si="147"/>
        <v>-36465.957762284314</v>
      </c>
      <c r="AY172">
        <f t="shared" si="155"/>
        <v>-2.4926501941974566</v>
      </c>
      <c r="BA172">
        <f t="shared" si="132"/>
        <v>16.879400685983445</v>
      </c>
      <c r="BB172">
        <f t="shared" si="148"/>
        <v>24.547140453149424</v>
      </c>
      <c r="BC172">
        <f t="shared" si="149"/>
        <v>0.37638906687749607</v>
      </c>
      <c r="BD172">
        <f t="shared" si="133"/>
        <v>-158.43449498840999</v>
      </c>
      <c r="BF172">
        <f t="shared" si="134"/>
        <v>-5.3599884687348966</v>
      </c>
      <c r="BG172">
        <f t="shared" si="135"/>
        <v>-138.53044940622519</v>
      </c>
      <c r="BH172">
        <f t="shared" si="150"/>
        <v>41.469550593774812</v>
      </c>
      <c r="BI172">
        <f t="shared" si="151"/>
        <v>41.469550593774812</v>
      </c>
      <c r="BJ172">
        <f t="shared" si="136"/>
        <v>0</v>
      </c>
      <c r="BK172">
        <f t="shared" si="152"/>
        <v>0</v>
      </c>
      <c r="BM172">
        <f t="shared" si="153"/>
        <v>-29.907128921884318</v>
      </c>
      <c r="BN172">
        <f t="shared" si="137"/>
        <v>-160.09595441781519</v>
      </c>
      <c r="BQ172" s="47">
        <f t="shared" si="154"/>
        <v>41.449101253434563</v>
      </c>
      <c r="BR172" s="529"/>
      <c r="BS172" s="529"/>
      <c r="BT172" s="529">
        <v>4168.6940000000004</v>
      </c>
      <c r="BU172" s="529">
        <v>3.4098799999999998</v>
      </c>
      <c r="BV172" s="529">
        <v>-243.709</v>
      </c>
      <c r="BW172" s="49"/>
      <c r="BY172" s="529"/>
      <c r="BZ172" s="529"/>
      <c r="CA172" s="529"/>
      <c r="CC172" s="529"/>
    </row>
    <row r="173" spans="1:81">
      <c r="A173">
        <f t="shared" si="158"/>
        <v>69500</v>
      </c>
      <c r="B173">
        <f t="shared" si="138"/>
        <v>69.5</v>
      </c>
      <c r="C173">
        <f t="shared" si="107"/>
        <v>1.0592648397669489</v>
      </c>
      <c r="D173">
        <f t="shared" si="108"/>
        <v>0.33609127283640333</v>
      </c>
      <c r="F173">
        <f t="shared" si="109"/>
        <v>1.9842802050021348E-3</v>
      </c>
      <c r="G173">
        <f t="shared" si="110"/>
        <v>1.3443713700013247E-2</v>
      </c>
      <c r="H173">
        <f t="shared" si="111"/>
        <v>-3.1281489362999868</v>
      </c>
      <c r="J173">
        <f t="shared" si="112"/>
        <v>15</v>
      </c>
      <c r="M173">
        <f t="shared" si="113"/>
        <v>2.1668731194042664E-2</v>
      </c>
      <c r="N173">
        <f t="shared" si="114"/>
        <v>-1.5707963250000001</v>
      </c>
      <c r="O173">
        <f t="shared" si="115"/>
        <v>33.879402336512193</v>
      </c>
      <c r="P173">
        <f t="shared" si="116"/>
        <v>1.5412755799238627</v>
      </c>
      <c r="Q173">
        <f t="shared" si="117"/>
        <v>26.448265990479495</v>
      </c>
      <c r="R173">
        <f t="shared" si="118"/>
        <v>1.5329776503068457</v>
      </c>
      <c r="S173">
        <f t="shared" si="119"/>
        <v>0.93707367428495847</v>
      </c>
      <c r="T173">
        <f t="shared" si="120"/>
        <v>-0.35664431256465301</v>
      </c>
      <c r="U173">
        <f t="shared" si="121"/>
        <v>0.86476889065259921</v>
      </c>
      <c r="V173">
        <f t="shared" si="122"/>
        <v>-0.52610635894732605</v>
      </c>
      <c r="X173">
        <f t="shared" si="139"/>
        <v>-6.0892192524908149</v>
      </c>
      <c r="Y173">
        <f t="shared" si="123"/>
        <v>-124.40927290623554</v>
      </c>
      <c r="Z173">
        <f t="shared" si="140"/>
        <v>55.590727093764457</v>
      </c>
      <c r="AC173">
        <v>1</v>
      </c>
      <c r="AD173">
        <f t="shared" si="124"/>
        <v>33.864640891042505</v>
      </c>
      <c r="AE173">
        <f t="shared" si="125"/>
        <v>-1.2126207610535134E-3</v>
      </c>
      <c r="AF173">
        <f t="shared" si="126"/>
        <v>2.0882103512697E-3</v>
      </c>
      <c r="AG173">
        <f t="shared" si="141"/>
        <v>11919.571200719351</v>
      </c>
      <c r="AH173">
        <f t="shared" si="142"/>
        <v>-7400.5568890372315</v>
      </c>
      <c r="AJ173">
        <f t="shared" si="127"/>
        <v>22100</v>
      </c>
      <c r="AK173">
        <f t="shared" si="128"/>
        <v>8233.9417993816623</v>
      </c>
      <c r="AL173">
        <v>1</v>
      </c>
      <c r="AM173">
        <f t="shared" si="129"/>
        <v>26.429354398152721</v>
      </c>
      <c r="AN173">
        <f t="shared" si="143"/>
        <v>342.69345784631122</v>
      </c>
      <c r="AO173">
        <f t="shared" si="144"/>
        <v>-823.22504796690828</v>
      </c>
      <c r="AQ173">
        <f t="shared" si="130"/>
        <v>0.51754476762239932</v>
      </c>
      <c r="AR173">
        <f t="shared" si="131"/>
        <v>-71.938722699513505</v>
      </c>
      <c r="AT173">
        <f t="shared" si="156"/>
        <v>-526217.69815518882</v>
      </c>
      <c r="AU173">
        <f t="shared" si="157"/>
        <v>-861308.8468010698</v>
      </c>
      <c r="AV173">
        <f t="shared" si="145"/>
        <v>-2.1192293121229642</v>
      </c>
      <c r="AW173">
        <f t="shared" si="146"/>
        <v>-47259.044753624592</v>
      </c>
      <c r="AX173">
        <f t="shared" si="147"/>
        <v>-36236.261189894052</v>
      </c>
      <c r="AY173">
        <f t="shared" si="155"/>
        <v>-2.4874522683479507</v>
      </c>
      <c r="BA173">
        <f t="shared" si="132"/>
        <v>16.948704840818955</v>
      </c>
      <c r="BB173">
        <f t="shared" si="148"/>
        <v>24.582730331635897</v>
      </c>
      <c r="BC173">
        <f t="shared" si="149"/>
        <v>0.36822295622498658</v>
      </c>
      <c r="BD173">
        <f t="shared" si="133"/>
        <v>-158.90237866437025</v>
      </c>
      <c r="BF173">
        <f t="shared" si="134"/>
        <v>-5.443293349561741</v>
      </c>
      <c r="BG173">
        <f t="shared" si="135"/>
        <v>-138.87549912078748</v>
      </c>
      <c r="BH173">
        <f t="shared" si="150"/>
        <v>41.124500879212519</v>
      </c>
      <c r="BI173">
        <f t="shared" si="151"/>
        <v>41.124500879212519</v>
      </c>
      <c r="BJ173">
        <f t="shared" si="136"/>
        <v>0</v>
      </c>
      <c r="BK173">
        <f t="shared" si="152"/>
        <v>0</v>
      </c>
      <c r="BM173">
        <f t="shared" si="153"/>
        <v>-30.026023681197639</v>
      </c>
      <c r="BN173">
        <f t="shared" si="137"/>
        <v>-159.97312045641721</v>
      </c>
      <c r="BQ173" s="47">
        <f t="shared" si="154"/>
        <v>41.484691131921039</v>
      </c>
      <c r="BR173" s="529"/>
      <c r="BS173" s="529"/>
      <c r="BT173" s="529">
        <v>4265.7950000000001</v>
      </c>
      <c r="BU173" s="529">
        <v>3.2244999999999999</v>
      </c>
      <c r="BV173" s="529">
        <v>-243.32400000000001</v>
      </c>
      <c r="BW173" s="49"/>
      <c r="BY173" s="529"/>
      <c r="BZ173" s="529"/>
      <c r="CA173" s="529"/>
      <c r="CC173" s="529"/>
    </row>
    <row r="174" spans="1:81">
      <c r="A174">
        <f t="shared" si="158"/>
        <v>70000</v>
      </c>
      <c r="B174">
        <f t="shared" si="138"/>
        <v>70</v>
      </c>
      <c r="C174">
        <f t="shared" si="107"/>
        <v>1.0600963717154828</v>
      </c>
      <c r="D174">
        <f t="shared" si="108"/>
        <v>0.33832942864594873</v>
      </c>
      <c r="F174">
        <f t="shared" si="109"/>
        <v>1.9559808622686614E-3</v>
      </c>
      <c r="G174">
        <f t="shared" si="110"/>
        <v>1.3347314841211981E-2</v>
      </c>
      <c r="H174">
        <f t="shared" si="111"/>
        <v>-3.1282453351587884</v>
      </c>
      <c r="J174">
        <f t="shared" si="112"/>
        <v>15</v>
      </c>
      <c r="M174">
        <f t="shared" si="113"/>
        <v>2.1513954542656644E-2</v>
      </c>
      <c r="N174">
        <f t="shared" si="114"/>
        <v>-1.5707963250000001</v>
      </c>
      <c r="O174">
        <f t="shared" si="115"/>
        <v>34.122927453073039</v>
      </c>
      <c r="P174">
        <f t="shared" si="116"/>
        <v>1.5414863212236747</v>
      </c>
      <c r="Q174">
        <f t="shared" si="117"/>
        <v>26.638270243509915</v>
      </c>
      <c r="R174">
        <f t="shared" si="118"/>
        <v>1.5332475289606255</v>
      </c>
      <c r="S174">
        <f t="shared" si="119"/>
        <v>0.93625005976012754</v>
      </c>
      <c r="T174">
        <f t="shared" si="120"/>
        <v>-0.35899593023497783</v>
      </c>
      <c r="U174">
        <f t="shared" si="121"/>
        <v>0.86319866465070694</v>
      </c>
      <c r="V174">
        <f t="shared" si="122"/>
        <v>-0.52922487135662621</v>
      </c>
      <c r="X174">
        <f t="shared" si="139"/>
        <v>-6.1684724674763478</v>
      </c>
      <c r="Y174">
        <f t="shared" si="123"/>
        <v>-124.57243714446102</v>
      </c>
      <c r="Z174">
        <f t="shared" si="140"/>
        <v>55.42756285553898</v>
      </c>
      <c r="AC174">
        <v>1</v>
      </c>
      <c r="AD174">
        <f t="shared" si="124"/>
        <v>34.108271401049997</v>
      </c>
      <c r="AE174">
        <f t="shared" si="125"/>
        <v>-1.2301313035892999E-3</v>
      </c>
      <c r="AF174">
        <f t="shared" si="126"/>
        <v>2.1032334473220005E-3</v>
      </c>
      <c r="AG174">
        <f t="shared" si="141"/>
        <v>11876.323973799763</v>
      </c>
      <c r="AH174">
        <f t="shared" si="142"/>
        <v>-7421.638292988494</v>
      </c>
      <c r="AJ174">
        <f t="shared" si="127"/>
        <v>22100</v>
      </c>
      <c r="AK174">
        <f t="shared" si="128"/>
        <v>8293.1787907441212</v>
      </c>
      <c r="AL174">
        <v>1</v>
      </c>
      <c r="AM174">
        <f t="shared" si="129"/>
        <v>26.619493638427201</v>
      </c>
      <c r="AN174">
        <f t="shared" si="143"/>
        <v>342.2506985460613</v>
      </c>
      <c r="AO174">
        <f t="shared" si="144"/>
        <v>-817.36150195002301</v>
      </c>
      <c r="AQ174">
        <f t="shared" si="130"/>
        <v>0.51017805214019696</v>
      </c>
      <c r="AR174">
        <f t="shared" si="131"/>
        <v>-71.424927299627569</v>
      </c>
      <c r="AT174">
        <f t="shared" si="156"/>
        <v>-524030.93568929617</v>
      </c>
      <c r="AU174">
        <f t="shared" si="157"/>
        <v>-852051.93338347808</v>
      </c>
      <c r="AV174">
        <f t="shared" si="145"/>
        <v>-2.1221884680533312</v>
      </c>
      <c r="AW174">
        <f t="shared" si="146"/>
        <v>-46462.267389073902</v>
      </c>
      <c r="AX174">
        <f t="shared" si="147"/>
        <v>-36010.660013614055</v>
      </c>
      <c r="AY174">
        <f t="shared" si="155"/>
        <v>-2.4822502769337795</v>
      </c>
      <c r="BA174">
        <f t="shared" si="132"/>
        <v>17.016662143829244</v>
      </c>
      <c r="BB174">
        <f t="shared" si="148"/>
        <v>24.617487525453857</v>
      </c>
      <c r="BC174">
        <f t="shared" si="149"/>
        <v>0.36006180888044836</v>
      </c>
      <c r="BD174">
        <f t="shared" si="133"/>
        <v>-159.369977963731</v>
      </c>
      <c r="BF174">
        <f t="shared" si="134"/>
        <v>-5.5264883066379671</v>
      </c>
      <c r="BG174">
        <f t="shared" si="135"/>
        <v>-139.22038478598756</v>
      </c>
      <c r="BH174">
        <f t="shared" si="150"/>
        <v>40.779615214012438</v>
      </c>
      <c r="BI174">
        <f t="shared" si="151"/>
        <v>40.779615214012438</v>
      </c>
      <c r="BJ174">
        <f t="shared" si="136"/>
        <v>0</v>
      </c>
      <c r="BK174">
        <f t="shared" si="152"/>
        <v>0</v>
      </c>
      <c r="BM174">
        <f t="shared" si="153"/>
        <v>-30.143975832091826</v>
      </c>
      <c r="BN174">
        <f t="shared" si="137"/>
        <v>-159.85040682225656</v>
      </c>
      <c r="BQ174" s="47">
        <f t="shared" si="154"/>
        <v>41.519448325738992</v>
      </c>
      <c r="BR174" s="529"/>
      <c r="BS174" s="529"/>
      <c r="BT174" s="529">
        <v>4365.1580000000004</v>
      </c>
      <c r="BU174" s="529">
        <v>3.07782</v>
      </c>
      <c r="BV174" s="529">
        <v>-242.172</v>
      </c>
      <c r="BW174" s="49"/>
      <c r="BY174" s="529"/>
      <c r="BZ174" s="529"/>
      <c r="CA174" s="529"/>
      <c r="CC174" s="529"/>
    </row>
    <row r="175" spans="1:81">
      <c r="A175">
        <f t="shared" si="158"/>
        <v>70500</v>
      </c>
      <c r="B175">
        <f t="shared" si="138"/>
        <v>70.5</v>
      </c>
      <c r="C175">
        <f t="shared" si="107"/>
        <v>1.0609332057089014</v>
      </c>
      <c r="D175">
        <f t="shared" si="108"/>
        <v>0.34056406484735496</v>
      </c>
      <c r="F175">
        <f t="shared" si="109"/>
        <v>1.9282830006968124E-3</v>
      </c>
      <c r="G175">
        <f t="shared" si="110"/>
        <v>1.3252291199319361E-2</v>
      </c>
      <c r="H175">
        <f t="shared" si="111"/>
        <v>-3.1283403588006808</v>
      </c>
      <c r="J175">
        <f t="shared" si="112"/>
        <v>15</v>
      </c>
      <c r="M175">
        <f t="shared" si="113"/>
        <v>2.1361373304765462E-2</v>
      </c>
      <c r="N175">
        <f t="shared" si="114"/>
        <v>-1.5707963250000001</v>
      </c>
      <c r="O175">
        <f t="shared" si="115"/>
        <v>34.366454063620182</v>
      </c>
      <c r="P175">
        <f t="shared" si="116"/>
        <v>1.5416940758343352</v>
      </c>
      <c r="Q175">
        <f t="shared" si="117"/>
        <v>26.828276409243326</v>
      </c>
      <c r="R175">
        <f t="shared" si="118"/>
        <v>1.5335135849050701</v>
      </c>
      <c r="S175">
        <f t="shared" si="119"/>
        <v>0.93542273239957163</v>
      </c>
      <c r="T175">
        <f t="shared" si="120"/>
        <v>-0.36134340480390664</v>
      </c>
      <c r="U175">
        <f t="shared" si="121"/>
        <v>0.86162579680930718</v>
      </c>
      <c r="V175">
        <f t="shared" si="122"/>
        <v>-0.53233204916675037</v>
      </c>
      <c r="X175">
        <f t="shared" si="139"/>
        <v>-6.247332944188396</v>
      </c>
      <c r="Y175">
        <f t="shared" si="123"/>
        <v>-124.73522759012818</v>
      </c>
      <c r="Z175">
        <f t="shared" si="140"/>
        <v>55.264772409871824</v>
      </c>
      <c r="AC175">
        <v>1</v>
      </c>
      <c r="AD175">
        <f t="shared" si="124"/>
        <v>34.351901911057503</v>
      </c>
      <c r="AE175">
        <f t="shared" si="125"/>
        <v>-1.2477673697274935E-3</v>
      </c>
      <c r="AF175">
        <f t="shared" si="126"/>
        <v>2.1182565433743002E-3</v>
      </c>
      <c r="AG175">
        <f t="shared" si="141"/>
        <v>11833.082782306703</v>
      </c>
      <c r="AH175">
        <f t="shared" si="142"/>
        <v>-7442.4104239676262</v>
      </c>
      <c r="AJ175">
        <f t="shared" si="127"/>
        <v>22100</v>
      </c>
      <c r="AK175">
        <f t="shared" si="128"/>
        <v>8352.4157821065783</v>
      </c>
      <c r="AL175">
        <v>1</v>
      </c>
      <c r="AM175">
        <f t="shared" si="129"/>
        <v>26.809632878701684</v>
      </c>
      <c r="AN175">
        <f t="shared" si="143"/>
        <v>341.81730875927963</v>
      </c>
      <c r="AO175">
        <f t="shared" si="144"/>
        <v>-811.58077731553055</v>
      </c>
      <c r="AQ175">
        <f t="shared" si="130"/>
        <v>0.50296750829896386</v>
      </c>
      <c r="AR175">
        <f t="shared" si="131"/>
        <v>-70.918418670153912</v>
      </c>
      <c r="AT175">
        <f t="shared" si="156"/>
        <v>-521852.32219954155</v>
      </c>
      <c r="AU175">
        <f t="shared" si="157"/>
        <v>-842926.80954089761</v>
      </c>
      <c r="AV175">
        <f t="shared" si="145"/>
        <v>-2.1251385472478885</v>
      </c>
      <c r="AW175">
        <f t="shared" si="146"/>
        <v>-45683.214241589085</v>
      </c>
      <c r="AX175">
        <f t="shared" si="147"/>
        <v>-35789.038762508251</v>
      </c>
      <c r="AY175">
        <f t="shared" si="155"/>
        <v>-2.4770449704492834</v>
      </c>
      <c r="BA175">
        <f t="shared" si="132"/>
        <v>17.083267718482993</v>
      </c>
      <c r="BB175">
        <f t="shared" si="148"/>
        <v>24.651418938731769</v>
      </c>
      <c r="BC175">
        <f t="shared" si="149"/>
        <v>0.35190642320139487</v>
      </c>
      <c r="BD175">
        <f t="shared" si="133"/>
        <v>-159.83724714397613</v>
      </c>
      <c r="BF175">
        <f t="shared" si="134"/>
        <v>-5.6095795790760281</v>
      </c>
      <c r="BG175">
        <f t="shared" si="135"/>
        <v>-139.5650631966393</v>
      </c>
      <c r="BH175">
        <f t="shared" si="150"/>
        <v>40.434936803360699</v>
      </c>
      <c r="BI175">
        <f t="shared" si="151"/>
        <v>40.434936803360699</v>
      </c>
      <c r="BJ175">
        <f t="shared" si="136"/>
        <v>0</v>
      </c>
      <c r="BK175">
        <f t="shared" si="152"/>
        <v>0</v>
      </c>
      <c r="BM175">
        <f t="shared" si="153"/>
        <v>-30.260998517807796</v>
      </c>
      <c r="BN175">
        <f t="shared" si="137"/>
        <v>-159.72781605266317</v>
      </c>
      <c r="BQ175" s="47">
        <f t="shared" si="154"/>
        <v>41.553379739016904</v>
      </c>
      <c r="BR175" s="529"/>
      <c r="BS175" s="529"/>
      <c r="BT175" s="529">
        <v>4466.8360000000002</v>
      </c>
      <c r="BU175" s="529">
        <v>2.9233199999999999</v>
      </c>
      <c r="BV175" s="529">
        <v>-240.90300000000002</v>
      </c>
      <c r="BW175" s="49"/>
      <c r="BY175" s="529"/>
      <c r="BZ175" s="529"/>
      <c r="CA175" s="529"/>
      <c r="CC175" s="529"/>
    </row>
    <row r="176" spans="1:81">
      <c r="A176">
        <f t="shared" si="158"/>
        <v>71000</v>
      </c>
      <c r="B176">
        <f t="shared" si="138"/>
        <v>71</v>
      </c>
      <c r="C176">
        <f t="shared" si="107"/>
        <v>1.0617753292108489</v>
      </c>
      <c r="D176">
        <f t="shared" si="108"/>
        <v>0.3427951674712455</v>
      </c>
      <c r="F176">
        <f t="shared" si="109"/>
        <v>1.9011696845887419E-3</v>
      </c>
      <c r="G176">
        <f t="shared" si="110"/>
        <v>1.3158613500792922E-2</v>
      </c>
      <c r="H176">
        <f t="shared" si="111"/>
        <v>-3.1284340364992071</v>
      </c>
      <c r="J176">
        <f t="shared" si="112"/>
        <v>15</v>
      </c>
      <c r="M176">
        <f t="shared" si="113"/>
        <v>2.1210941098393873E-2</v>
      </c>
      <c r="N176">
        <f t="shared" si="114"/>
        <v>-1.5707963250000001</v>
      </c>
      <c r="O176">
        <f t="shared" si="115"/>
        <v>34.60998213661717</v>
      </c>
      <c r="P176">
        <f t="shared" si="116"/>
        <v>1.5418989067839206</v>
      </c>
      <c r="Q176">
        <f t="shared" si="117"/>
        <v>27.018284447326447</v>
      </c>
      <c r="R176">
        <f t="shared" si="118"/>
        <v>1.5337758987525494</v>
      </c>
      <c r="S176">
        <f t="shared" si="119"/>
        <v>0.93459172935526014</v>
      </c>
      <c r="T176">
        <f t="shared" si="120"/>
        <v>-0.36368672140718983</v>
      </c>
      <c r="U176">
        <f t="shared" si="121"/>
        <v>0.86005039240548231</v>
      </c>
      <c r="V176">
        <f t="shared" si="122"/>
        <v>-0.535427894391028</v>
      </c>
      <c r="X176">
        <f t="shared" si="139"/>
        <v>-6.3258063160768359</v>
      </c>
      <c r="Y176">
        <f t="shared" si="123"/>
        <v>-124.89763775457895</v>
      </c>
      <c r="Z176">
        <f t="shared" si="140"/>
        <v>55.102362245421048</v>
      </c>
      <c r="AC176">
        <v>1</v>
      </c>
      <c r="AD176">
        <f t="shared" si="124"/>
        <v>34.595532421065002</v>
      </c>
      <c r="AE176">
        <f t="shared" si="125"/>
        <v>-1.2655289594680943E-3</v>
      </c>
      <c r="AF176">
        <f t="shared" si="126"/>
        <v>2.1332796394266003E-3</v>
      </c>
      <c r="AG176">
        <f t="shared" si="141"/>
        <v>11789.850909969098</v>
      </c>
      <c r="AH176">
        <f t="shared" si="142"/>
        <v>-7462.8742805872225</v>
      </c>
      <c r="AJ176">
        <f t="shared" si="127"/>
        <v>22100</v>
      </c>
      <c r="AK176">
        <f t="shared" si="128"/>
        <v>8411.6527734690371</v>
      </c>
      <c r="AL176">
        <v>1</v>
      </c>
      <c r="AM176">
        <f t="shared" si="129"/>
        <v>26.999772118976157</v>
      </c>
      <c r="AN176">
        <f t="shared" si="143"/>
        <v>341.39302609243089</v>
      </c>
      <c r="AO176">
        <f t="shared" si="144"/>
        <v>-805.88113403427747</v>
      </c>
      <c r="AQ176">
        <f t="shared" si="130"/>
        <v>0.49590875278948676</v>
      </c>
      <c r="AR176">
        <f t="shared" si="131"/>
        <v>-70.419042896107115</v>
      </c>
      <c r="AT176">
        <f t="shared" si="156"/>
        <v>-519681.77383258933</v>
      </c>
      <c r="AU176">
        <f t="shared" si="157"/>
        <v>-833930.92164453212</v>
      </c>
      <c r="AV176">
        <f t="shared" si="145"/>
        <v>-2.1280795040885883</v>
      </c>
      <c r="AW176">
        <f t="shared" si="146"/>
        <v>-44921.385901540685</v>
      </c>
      <c r="AX176">
        <f t="shared" si="147"/>
        <v>-35571.286093746407</v>
      </c>
      <c r="AY176">
        <f t="shared" si="155"/>
        <v>-2.4718370956631039</v>
      </c>
      <c r="BA176">
        <f t="shared" si="132"/>
        <v>17.148517211853363</v>
      </c>
      <c r="BB176">
        <f t="shared" si="148"/>
        <v>24.684531473523094</v>
      </c>
      <c r="BC176">
        <f t="shared" si="149"/>
        <v>0.34375759157451569</v>
      </c>
      <c r="BD176">
        <f t="shared" si="133"/>
        <v>-160.30414080469254</v>
      </c>
      <c r="BF176">
        <f t="shared" si="134"/>
        <v>-5.6925731318670465</v>
      </c>
      <c r="BG176">
        <f t="shared" si="135"/>
        <v>-139.90949142996632</v>
      </c>
      <c r="BH176">
        <f t="shared" si="150"/>
        <v>40.090508570033677</v>
      </c>
      <c r="BI176">
        <f t="shared" si="151"/>
        <v>40.090508570033677</v>
      </c>
      <c r="BJ176">
        <f t="shared" si="136"/>
        <v>0</v>
      </c>
      <c r="BK176">
        <f t="shared" si="152"/>
        <v>0</v>
      </c>
      <c r="BM176">
        <f t="shared" si="153"/>
        <v>-30.377104605390137</v>
      </c>
      <c r="BN176">
        <f t="shared" si="137"/>
        <v>-159.60535062527381</v>
      </c>
      <c r="BQ176" s="47">
        <f t="shared" si="154"/>
        <v>41.586492273808233</v>
      </c>
      <c r="BR176" s="529"/>
      <c r="BS176" s="529"/>
      <c r="BT176" s="529">
        <v>4570.8819999999996</v>
      </c>
      <c r="BU176" s="529">
        <v>2.7266900000000001</v>
      </c>
      <c r="BV176" s="529">
        <v>-241.25200000000001</v>
      </c>
      <c r="BW176" s="49"/>
      <c r="BY176" s="529"/>
      <c r="BZ176" s="529"/>
      <c r="CA176" s="529"/>
      <c r="CC176" s="529"/>
    </row>
    <row r="177" spans="1:81">
      <c r="A177">
        <f t="shared" si="158"/>
        <v>71500</v>
      </c>
      <c r="B177">
        <f t="shared" si="138"/>
        <v>71.5</v>
      </c>
      <c r="C177">
        <f t="shared" si="107"/>
        <v>1.062622729645593</v>
      </c>
      <c r="D177">
        <f t="shared" si="108"/>
        <v>0.34502272273310169</v>
      </c>
      <c r="F177">
        <f t="shared" si="109"/>
        <v>1.8746245704979526E-3</v>
      </c>
      <c r="G177">
        <f t="shared" si="110"/>
        <v>1.3066253298558175E-2</v>
      </c>
      <c r="H177">
        <f t="shared" si="111"/>
        <v>-3.1285263967014418</v>
      </c>
      <c r="J177">
        <f t="shared" si="112"/>
        <v>15</v>
      </c>
      <c r="M177">
        <f t="shared" si="113"/>
        <v>2.1062612838964545E-2</v>
      </c>
      <c r="N177">
        <f t="shared" si="114"/>
        <v>-1.5707963250000001</v>
      </c>
      <c r="O177">
        <f t="shared" si="115"/>
        <v>34.853511641408772</v>
      </c>
      <c r="P177">
        <f t="shared" si="116"/>
        <v>1.5421008753399386</v>
      </c>
      <c r="Q177">
        <f t="shared" si="117"/>
        <v>27.208294318532847</v>
      </c>
      <c r="R177">
        <f t="shared" si="118"/>
        <v>1.5340345488656921</v>
      </c>
      <c r="S177">
        <f t="shared" si="119"/>
        <v>0.93375708775667809</v>
      </c>
      <c r="T177">
        <f t="shared" si="120"/>
        <v>-0.36602586541584092</v>
      </c>
      <c r="U177">
        <f t="shared" si="121"/>
        <v>0.85847255567247871</v>
      </c>
      <c r="V177">
        <f t="shared" si="122"/>
        <v>-0.53851240989703719</v>
      </c>
      <c r="X177">
        <f t="shared" si="139"/>
        <v>-6.4038980815273145</v>
      </c>
      <c r="Y177">
        <f t="shared" si="123"/>
        <v>-125.05966138340871</v>
      </c>
      <c r="Z177">
        <f t="shared" si="140"/>
        <v>54.940338616591291</v>
      </c>
      <c r="AC177">
        <v>1</v>
      </c>
      <c r="AD177">
        <f t="shared" si="124"/>
        <v>34.839162931072508</v>
      </c>
      <c r="AE177">
        <f t="shared" si="125"/>
        <v>-1.2834160728111019E-3</v>
      </c>
      <c r="AF177">
        <f t="shared" si="126"/>
        <v>2.1483027354789004E-3</v>
      </c>
      <c r="AG177">
        <f t="shared" si="141"/>
        <v>11746.631591434272</v>
      </c>
      <c r="AH177">
        <f t="shared" si="142"/>
        <v>-7483.0309156841304</v>
      </c>
      <c r="AJ177">
        <f t="shared" si="127"/>
        <v>22100</v>
      </c>
      <c r="AK177">
        <f t="shared" si="128"/>
        <v>8470.8897648314942</v>
      </c>
      <c r="AL177">
        <v>1</v>
      </c>
      <c r="AM177">
        <f t="shared" si="129"/>
        <v>27.18991135925064</v>
      </c>
      <c r="AN177">
        <f t="shared" si="143"/>
        <v>340.97759726940637</v>
      </c>
      <c r="AO177">
        <f t="shared" si="144"/>
        <v>-800.26088041392859</v>
      </c>
      <c r="AQ177">
        <f t="shared" si="130"/>
        <v>0.48899755501222492</v>
      </c>
      <c r="AR177">
        <f t="shared" si="131"/>
        <v>-69.926650366748163</v>
      </c>
      <c r="AT177">
        <f t="shared" si="156"/>
        <v>-517519.21239677083</v>
      </c>
      <c r="AU177">
        <f t="shared" si="157"/>
        <v>-825061.78410307341</v>
      </c>
      <c r="AV177">
        <f t="shared" si="145"/>
        <v>-2.1310112951415583</v>
      </c>
      <c r="AW177">
        <f t="shared" si="146"/>
        <v>-44176.300239145261</v>
      </c>
      <c r="AX177">
        <f t="shared" si="147"/>
        <v>-35357.294615252875</v>
      </c>
      <c r="AY177">
        <f t="shared" si="155"/>
        <v>-2.4666273952671478</v>
      </c>
      <c r="BA177">
        <f t="shared" si="132"/>
        <v>17.212406797560281</v>
      </c>
      <c r="BB177">
        <f t="shared" si="148"/>
        <v>24.716832032718795</v>
      </c>
      <c r="BC177">
        <f t="shared" si="149"/>
        <v>0.33561610012558951</v>
      </c>
      <c r="BD177">
        <f t="shared" si="133"/>
        <v>-160.7706139041909</v>
      </c>
      <c r="BF177">
        <f t="shared" si="134"/>
        <v>-5.7754746607875447</v>
      </c>
      <c r="BG177">
        <f t="shared" si="135"/>
        <v>-140.25362686397139</v>
      </c>
      <c r="BH177">
        <f t="shared" si="150"/>
        <v>39.746373136028609</v>
      </c>
      <c r="BI177">
        <f t="shared" si="151"/>
        <v>39.746373136028609</v>
      </c>
      <c r="BJ177">
        <f t="shared" si="136"/>
        <v>0</v>
      </c>
      <c r="BK177">
        <f t="shared" si="152"/>
        <v>0</v>
      </c>
      <c r="BM177">
        <f t="shared" si="153"/>
        <v>-30.492306693506336</v>
      </c>
      <c r="BN177">
        <f t="shared" si="137"/>
        <v>-159.48301295978052</v>
      </c>
      <c r="BQ177" s="47">
        <f t="shared" si="154"/>
        <v>41.61879283300393</v>
      </c>
      <c r="BR177" s="529"/>
      <c r="BS177" s="529"/>
      <c r="BT177" s="529">
        <v>4677.3509999999997</v>
      </c>
      <c r="BU177" s="529">
        <v>2.54392</v>
      </c>
      <c r="BV177" s="529">
        <v>-240.63800000000001</v>
      </c>
      <c r="BW177" s="49"/>
      <c r="BY177" s="529"/>
      <c r="BZ177" s="529"/>
      <c r="CA177" s="529"/>
      <c r="CC177" s="529"/>
    </row>
    <row r="178" spans="1:81">
      <c r="A178">
        <f t="shared" si="158"/>
        <v>72000</v>
      </c>
      <c r="B178">
        <f t="shared" si="138"/>
        <v>72</v>
      </c>
      <c r="C178">
        <f t="shared" si="107"/>
        <v>1.063475394398808</v>
      </c>
      <c r="D178">
        <f t="shared" si="108"/>
        <v>0.34724671703301779</v>
      </c>
      <c r="F178">
        <f t="shared" si="109"/>
        <v>1.8486318825338425E-3</v>
      </c>
      <c r="G178">
        <f t="shared" si="110"/>
        <v>1.2975182942995983E-2</v>
      </c>
      <c r="H178">
        <f t="shared" si="111"/>
        <v>-3.1286174670570044</v>
      </c>
      <c r="J178">
        <f t="shared" si="112"/>
        <v>15</v>
      </c>
      <c r="M178">
        <f t="shared" si="113"/>
        <v>2.0916344694249515E-2</v>
      </c>
      <c r="N178">
        <f t="shared" si="114"/>
        <v>-1.5707963250000001</v>
      </c>
      <c r="O178">
        <f t="shared" si="115"/>
        <v>35.097042548190387</v>
      </c>
      <c r="P178">
        <f t="shared" si="116"/>
        <v>1.5423000410703567</v>
      </c>
      <c r="Q178">
        <f t="shared" si="117"/>
        <v>27.398305984723869</v>
      </c>
      <c r="R178">
        <f t="shared" si="118"/>
        <v>1.5342896114352895</v>
      </c>
      <c r="S178">
        <f t="shared" si="119"/>
        <v>0.93291884470728792</v>
      </c>
      <c r="T178">
        <f t="shared" si="120"/>
        <v>-0.36836082243556789</v>
      </c>
      <c r="U178">
        <f t="shared" si="121"/>
        <v>0.85689238979536553</v>
      </c>
      <c r="V178">
        <f t="shared" si="122"/>
        <v>-0.54158559939374806</v>
      </c>
      <c r="X178">
        <f t="shared" si="139"/>
        <v>-6.4816136079275468</v>
      </c>
      <c r="Y178">
        <f t="shared" si="123"/>
        <v>-125.22129244941354</v>
      </c>
      <c r="Z178">
        <f t="shared" si="140"/>
        <v>54.778707550586461</v>
      </c>
      <c r="AC178">
        <v>1</v>
      </c>
      <c r="AD178">
        <f t="shared" si="124"/>
        <v>35.08279344108</v>
      </c>
      <c r="AE178">
        <f t="shared" si="125"/>
        <v>-1.3014287097565167E-3</v>
      </c>
      <c r="AF178">
        <f t="shared" si="126"/>
        <v>2.1633258315312005E-3</v>
      </c>
      <c r="AG178">
        <f t="shared" si="141"/>
        <v>11703.428012328863</v>
      </c>
      <c r="AH178">
        <f t="shared" si="142"/>
        <v>-7502.8814343353033</v>
      </c>
      <c r="AJ178">
        <f t="shared" si="127"/>
        <v>22100</v>
      </c>
      <c r="AK178">
        <f t="shared" si="128"/>
        <v>8530.126756193953</v>
      </c>
      <c r="AL178">
        <v>1</v>
      </c>
      <c r="AM178">
        <f t="shared" si="129"/>
        <v>27.38005059952512</v>
      </c>
      <c r="AN178">
        <f t="shared" si="143"/>
        <v>340.57077775415337</v>
      </c>
      <c r="AO178">
        <f t="shared" si="144"/>
        <v>-794.71837143439177</v>
      </c>
      <c r="AQ178">
        <f t="shared" si="130"/>
        <v>0.48222983073732939</v>
      </c>
      <c r="AR178">
        <f t="shared" si="131"/>
        <v>-69.441095626175439</v>
      </c>
      <c r="AT178">
        <f t="shared" si="156"/>
        <v>-515364.56504410226</v>
      </c>
      <c r="AU178">
        <f t="shared" si="157"/>
        <v>-816316.97700231068</v>
      </c>
      <c r="AV178">
        <f t="shared" si="145"/>
        <v>-2.1339338790981692</v>
      </c>
      <c r="AW178">
        <f t="shared" si="146"/>
        <v>-43447.491691660594</v>
      </c>
      <c r="AX178">
        <f t="shared" si="147"/>
        <v>-35146.960717295449</v>
      </c>
      <c r="AY178">
        <f t="shared" si="155"/>
        <v>-2.4614166075259227</v>
      </c>
      <c r="BA178">
        <f t="shared" si="132"/>
        <v>17.27493317803885</v>
      </c>
      <c r="BB178">
        <f t="shared" si="148"/>
        <v>24.748327522701711</v>
      </c>
      <c r="BC178">
        <f t="shared" si="149"/>
        <v>0.3274827284277535</v>
      </c>
      <c r="BD178">
        <f t="shared" si="133"/>
        <v>-161.23662177622055</v>
      </c>
      <c r="BF178">
        <f t="shared" si="134"/>
        <v>-5.8582895972883637</v>
      </c>
      <c r="BG178">
        <f t="shared" si="135"/>
        <v>-140.59742719582755</v>
      </c>
      <c r="BH178">
        <f t="shared" si="150"/>
        <v>39.402572804172451</v>
      </c>
      <c r="BI178">
        <f t="shared" si="151"/>
        <v>39.402572804172451</v>
      </c>
      <c r="BJ178">
        <f t="shared" si="136"/>
        <v>0</v>
      </c>
      <c r="BK178">
        <f t="shared" si="152"/>
        <v>0</v>
      </c>
      <c r="BM178">
        <f t="shared" si="153"/>
        <v>-30.606617119990073</v>
      </c>
      <c r="BN178">
        <f t="shared" si="137"/>
        <v>-159.36080541960703</v>
      </c>
      <c r="BQ178" s="47">
        <f t="shared" si="154"/>
        <v>41.650288322986846</v>
      </c>
      <c r="BR178" s="529"/>
      <c r="BS178" s="529"/>
      <c r="BT178" s="529">
        <v>4786.3010000000004</v>
      </c>
      <c r="BU178" s="529">
        <v>2.5307499999999998</v>
      </c>
      <c r="BV178" s="529">
        <v>-240.03100000000001</v>
      </c>
      <c r="BW178" s="49"/>
      <c r="BY178" s="529"/>
      <c r="BZ178" s="529"/>
      <c r="CA178" s="529"/>
      <c r="CC178" s="529"/>
    </row>
    <row r="179" spans="1:81">
      <c r="A179">
        <f t="shared" si="158"/>
        <v>72500</v>
      </c>
      <c r="B179">
        <f t="shared" si="138"/>
        <v>72.5</v>
      </c>
      <c r="C179">
        <f t="shared" si="107"/>
        <v>1.0643333108183515</v>
      </c>
      <c r="D179">
        <f t="shared" si="108"/>
        <v>0.34946713695543752</v>
      </c>
      <c r="F179">
        <f t="shared" si="109"/>
        <v>1.8231763888600036E-3</v>
      </c>
      <c r="G179">
        <f t="shared" si="110"/>
        <v>1.2885375554145611E-2</v>
      </c>
      <c r="H179">
        <f t="shared" si="111"/>
        <v>-3.1287072744458544</v>
      </c>
      <c r="J179">
        <f t="shared" si="112"/>
        <v>15</v>
      </c>
      <c r="M179">
        <f t="shared" si="113"/>
        <v>2.0772094041185726E-2</v>
      </c>
      <c r="N179">
        <f t="shared" si="114"/>
        <v>-1.5707963250000001</v>
      </c>
      <c r="O179">
        <f t="shared" si="115"/>
        <v>35.340574827978806</v>
      </c>
      <c r="P179">
        <f t="shared" si="116"/>
        <v>1.5424964619021126</v>
      </c>
      <c r="Q179">
        <f t="shared" si="117"/>
        <v>27.588319408811202</v>
      </c>
      <c r="R179">
        <f t="shared" si="118"/>
        <v>1.5345411605549857</v>
      </c>
      <c r="S179">
        <f t="shared" si="119"/>
        <v>0.93207703728103153</v>
      </c>
      <c r="T179">
        <f t="shared" si="120"/>
        <v>-0.37069157830618132</v>
      </c>
      <c r="U179">
        <f t="shared" si="121"/>
        <v>0.85530999690711584</v>
      </c>
      <c r="V179">
        <f t="shared" si="122"/>
        <v>-0.54464746741868331</v>
      </c>
      <c r="X179">
        <f t="shared" si="139"/>
        <v>-6.5589581355882753</v>
      </c>
      <c r="Y179">
        <f t="shared" si="123"/>
        <v>-125.382525145796</v>
      </c>
      <c r="Z179">
        <f t="shared" si="140"/>
        <v>54.617474854204005</v>
      </c>
      <c r="AC179">
        <v>1</v>
      </c>
      <c r="AD179">
        <f t="shared" si="124"/>
        <v>35.326423951087499</v>
      </c>
      <c r="AE179">
        <f t="shared" si="125"/>
        <v>-1.3195668703043385E-3</v>
      </c>
      <c r="AF179">
        <f t="shared" si="126"/>
        <v>2.1783489275835001E-3</v>
      </c>
      <c r="AG179">
        <f t="shared" si="141"/>
        <v>11660.24330933728</v>
      </c>
      <c r="AH179">
        <f t="shared" si="142"/>
        <v>-7522.4269919269736</v>
      </c>
      <c r="AJ179">
        <f t="shared" si="127"/>
        <v>22100</v>
      </c>
      <c r="AK179">
        <f t="shared" si="128"/>
        <v>8589.3637475564101</v>
      </c>
      <c r="AL179">
        <v>1</v>
      </c>
      <c r="AM179">
        <f t="shared" si="129"/>
        <v>27.570189839799603</v>
      </c>
      <c r="AN179">
        <f t="shared" si="143"/>
        <v>340.17233139139091</v>
      </c>
      <c r="AO179">
        <f t="shared" si="144"/>
        <v>-789.25200715145934</v>
      </c>
      <c r="AQ179">
        <f t="shared" si="130"/>
        <v>0.47560163606962808</v>
      </c>
      <c r="AR179">
        <f t="shared" si="131"/>
        <v>-68.962237230096065</v>
      </c>
      <c r="AT179">
        <f t="shared" si="156"/>
        <v>-513217.76396845514</v>
      </c>
      <c r="AU179">
        <f t="shared" si="157"/>
        <v>-807694.14384373277</v>
      </c>
      <c r="AV179">
        <f t="shared" si="145"/>
        <v>-2.1368472167180155</v>
      </c>
      <c r="AW179">
        <f t="shared" si="146"/>
        <v>-42734.51058470166</v>
      </c>
      <c r="AX179">
        <f t="shared" si="147"/>
        <v>-34940.184412497154</v>
      </c>
      <c r="AY179">
        <f t="shared" si="155"/>
        <v>-2.4562054659270656</v>
      </c>
      <c r="BA179">
        <f t="shared" si="132"/>
        <v>17.336093586133476</v>
      </c>
      <c r="BB179">
        <f t="shared" si="148"/>
        <v>24.779024855750279</v>
      </c>
      <c r="BC179">
        <f t="shared" si="149"/>
        <v>0.31935824920905009</v>
      </c>
      <c r="BD179">
        <f t="shared" si="133"/>
        <v>-161.70212014672589</v>
      </c>
      <c r="BF179">
        <f t="shared" si="134"/>
        <v>-5.9410231133700133</v>
      </c>
      <c r="BG179">
        <f t="shared" si="135"/>
        <v>-140.94085046024219</v>
      </c>
      <c r="BH179">
        <f t="shared" si="150"/>
        <v>39.059149539757811</v>
      </c>
      <c r="BI179">
        <f t="shared" si="151"/>
        <v>39.059149539757811</v>
      </c>
      <c r="BJ179">
        <f t="shared" si="136"/>
        <v>0</v>
      </c>
      <c r="BK179">
        <f t="shared" si="152"/>
        <v>0</v>
      </c>
      <c r="BM179">
        <f t="shared" si="153"/>
        <v>-30.720047969120294</v>
      </c>
      <c r="BN179">
        <f t="shared" si="137"/>
        <v>-159.2387303135163</v>
      </c>
      <c r="BQ179" s="47">
        <f t="shared" si="154"/>
        <v>41.680985656035425</v>
      </c>
      <c r="BR179" s="529"/>
      <c r="BS179" s="529"/>
      <c r="BT179" s="529">
        <v>4897.7879999999996</v>
      </c>
      <c r="BU179" s="529">
        <v>2.1795599999999999</v>
      </c>
      <c r="BV179" s="529">
        <v>-239.48099999999999</v>
      </c>
      <c r="BW179" s="49"/>
      <c r="BY179" s="529"/>
      <c r="BZ179" s="529"/>
      <c r="CA179" s="529"/>
      <c r="CC179" s="529"/>
    </row>
    <row r="180" spans="1:81">
      <c r="A180">
        <f t="shared" si="158"/>
        <v>73000</v>
      </c>
      <c r="B180">
        <f t="shared" si="138"/>
        <v>73</v>
      </c>
      <c r="C180">
        <f t="shared" si="107"/>
        <v>1.0651964662150415</v>
      </c>
      <c r="D180">
        <f t="shared" si="108"/>
        <v>0.35168396926887141</v>
      </c>
      <c r="F180">
        <f t="shared" si="109"/>
        <v>1.7982433793207488E-3</v>
      </c>
      <c r="G180">
        <f t="shared" si="110"/>
        <v>1.2796804995064338E-2</v>
      </c>
      <c r="H180">
        <f t="shared" si="111"/>
        <v>-3.128795845004936</v>
      </c>
      <c r="J180">
        <f t="shared" si="112"/>
        <v>15</v>
      </c>
      <c r="M180">
        <f t="shared" si="113"/>
        <v>2.0629819424465276E-2</v>
      </c>
      <c r="N180">
        <f t="shared" si="114"/>
        <v>-1.5707963250000001</v>
      </c>
      <c r="O180">
        <f t="shared" si="115"/>
        <v>35.584108452584061</v>
      </c>
      <c r="P180">
        <f t="shared" si="116"/>
        <v>1.5426901941772229</v>
      </c>
      <c r="Q180">
        <f t="shared" si="117"/>
        <v>27.778334554720995</v>
      </c>
      <c r="R180">
        <f t="shared" si="118"/>
        <v>1.5347892682929092</v>
      </c>
      <c r="S180">
        <f t="shared" si="119"/>
        <v>0.93123170251887011</v>
      </c>
      <c r="T180">
        <f t="shared" si="120"/>
        <v>-0.37301811910097771</v>
      </c>
      <c r="U180">
        <f t="shared" si="121"/>
        <v>0.85372547808510091</v>
      </c>
      <c r="V180">
        <f t="shared" si="122"/>
        <v>-0.54769801932510298</v>
      </c>
      <c r="X180">
        <f t="shared" si="139"/>
        <v>-6.6359367815250527</v>
      </c>
      <c r="Y180">
        <f t="shared" si="123"/>
        <v>-125.5433538796197</v>
      </c>
      <c r="Z180">
        <f t="shared" si="140"/>
        <v>54.456646120380299</v>
      </c>
      <c r="AC180">
        <v>1</v>
      </c>
      <c r="AD180">
        <f t="shared" si="124"/>
        <v>35.570054461095005</v>
      </c>
      <c r="AE180">
        <f t="shared" si="125"/>
        <v>-1.3378305544545675E-3</v>
      </c>
      <c r="AF180">
        <f t="shared" si="126"/>
        <v>2.1933720236358002E-3</v>
      </c>
      <c r="AG180">
        <f t="shared" si="141"/>
        <v>11617.080570297059</v>
      </c>
      <c r="AH180">
        <f t="shared" si="142"/>
        <v>-7541.6687922753272</v>
      </c>
      <c r="AJ180">
        <f t="shared" si="127"/>
        <v>22100</v>
      </c>
      <c r="AK180">
        <f t="shared" si="128"/>
        <v>8648.600738918869</v>
      </c>
      <c r="AL180">
        <v>1</v>
      </c>
      <c r="AM180">
        <f t="shared" si="129"/>
        <v>27.760329080074079</v>
      </c>
      <c r="AN180">
        <f t="shared" si="143"/>
        <v>339.78203006443391</v>
      </c>
      <c r="AO180">
        <f t="shared" si="144"/>
        <v>-783.8602311654405</v>
      </c>
      <c r="AQ180">
        <f t="shared" si="130"/>
        <v>0.46910916170192801</v>
      </c>
      <c r="AR180">
        <f t="shared" si="131"/>
        <v>-68.489937608481497</v>
      </c>
      <c r="AT180">
        <f t="shared" si="156"/>
        <v>-511078.74611901335</v>
      </c>
      <c r="AU180">
        <f t="shared" si="157"/>
        <v>-799190.9893773261</v>
      </c>
      <c r="AV180">
        <f t="shared" si="145"/>
        <v>-2.1397512707737381</v>
      </c>
      <c r="AW180">
        <f t="shared" si="146"/>
        <v>-42036.922485823896</v>
      </c>
      <c r="AX180">
        <f t="shared" si="147"/>
        <v>-34736.869183788214</v>
      </c>
      <c r="AY180">
        <f t="shared" si="155"/>
        <v>-2.450994698833874</v>
      </c>
      <c r="BA180">
        <f t="shared" si="132"/>
        <v>17.395885786017654</v>
      </c>
      <c r="BB180">
        <f t="shared" si="148"/>
        <v>24.808930952198548</v>
      </c>
      <c r="BC180">
        <f t="shared" si="149"/>
        <v>0.31124342806013594</v>
      </c>
      <c r="BD180">
        <f t="shared" si="133"/>
        <v>-162.16706515059346</v>
      </c>
      <c r="BF180">
        <f t="shared" si="134"/>
        <v>-6.0236801264484585</v>
      </c>
      <c r="BG180">
        <f t="shared" si="135"/>
        <v>-141.28385504774693</v>
      </c>
      <c r="BH180">
        <f t="shared" si="150"/>
        <v>38.716144952253075</v>
      </c>
      <c r="BI180">
        <f t="shared" si="151"/>
        <v>38.716144952253075</v>
      </c>
      <c r="BJ180">
        <f t="shared" si="136"/>
        <v>0</v>
      </c>
      <c r="BK180">
        <f t="shared" si="152"/>
        <v>0</v>
      </c>
      <c r="BM180">
        <f t="shared" si="153"/>
        <v>-30.832611078647005</v>
      </c>
      <c r="BN180">
        <f t="shared" si="137"/>
        <v>-159.11678989715347</v>
      </c>
      <c r="BQ180" s="47">
        <f t="shared" si="154"/>
        <v>41.710891752483683</v>
      </c>
      <c r="BR180" s="529"/>
      <c r="BS180" s="529"/>
      <c r="BT180" s="529">
        <v>5011.8720000000003</v>
      </c>
      <c r="BU180" s="529">
        <v>2.08934</v>
      </c>
      <c r="BV180" s="529">
        <v>-238.50700000000001</v>
      </c>
      <c r="BW180" s="49"/>
      <c r="BY180" s="529"/>
      <c r="BZ180" s="529"/>
      <c r="CA180" s="529"/>
      <c r="CC180" s="529"/>
    </row>
    <row r="181" spans="1:81">
      <c r="A181">
        <f t="shared" si="158"/>
        <v>73500</v>
      </c>
      <c r="B181">
        <f t="shared" si="138"/>
        <v>73.5</v>
      </c>
      <c r="C181">
        <f t="shared" si="107"/>
        <v>1.0660648478634285</v>
      </c>
      <c r="D181">
        <f t="shared" si="108"/>
        <v>0.35389720092559684</v>
      </c>
      <c r="F181">
        <f t="shared" si="109"/>
        <v>1.7738186441343517E-3</v>
      </c>
      <c r="G181">
        <f t="shared" si="110"/>
        <v>1.2709445846287835E-2</v>
      </c>
      <c r="H181">
        <f t="shared" si="111"/>
        <v>-3.1288832041537122</v>
      </c>
      <c r="J181">
        <f t="shared" si="112"/>
        <v>15</v>
      </c>
      <c r="M181">
        <f t="shared" si="113"/>
        <v>2.0489480516815851E-2</v>
      </c>
      <c r="N181">
        <f t="shared" si="114"/>
        <v>-1.5707963250000001</v>
      </c>
      <c r="O181">
        <f t="shared" si="115"/>
        <v>35.82764339458253</v>
      </c>
      <c r="P181">
        <f t="shared" si="116"/>
        <v>1.5428812927066058</v>
      </c>
      <c r="Q181">
        <f t="shared" si="117"/>
        <v>27.968351387359395</v>
      </c>
      <c r="R181">
        <f t="shared" si="118"/>
        <v>1.5350340047603874</v>
      </c>
      <c r="S181">
        <f t="shared" si="119"/>
        <v>0.93038287742536352</v>
      </c>
      <c r="T181">
        <f t="shared" si="120"/>
        <v>-0.37534043112609977</v>
      </c>
      <c r="U181">
        <f t="shared" si="121"/>
        <v>0.85213893334798896</v>
      </c>
      <c r="V181">
        <f t="shared" si="122"/>
        <v>-0.55073726126921563</v>
      </c>
      <c r="X181">
        <f t="shared" si="139"/>
        <v>-6.7125545431066778</v>
      </c>
      <c r="Y181">
        <f t="shared" si="123"/>
        <v>-125.70377326549918</v>
      </c>
      <c r="Z181">
        <f t="shared" si="140"/>
        <v>54.29622673450082</v>
      </c>
      <c r="AC181">
        <v>1</v>
      </c>
      <c r="AD181">
        <f t="shared" si="124"/>
        <v>35.813684971102504</v>
      </c>
      <c r="AE181">
        <f t="shared" si="125"/>
        <v>-1.356219762207203E-3</v>
      </c>
      <c r="AF181">
        <f t="shared" si="126"/>
        <v>2.2083951196881003E-3</v>
      </c>
      <c r="AG181">
        <f t="shared" si="141"/>
        <v>11573.94283431075</v>
      </c>
      <c r="AH181">
        <f t="shared" si="142"/>
        <v>-7560.6080857970901</v>
      </c>
      <c r="AJ181">
        <f t="shared" si="127"/>
        <v>22100</v>
      </c>
      <c r="AK181">
        <f t="shared" si="128"/>
        <v>8707.8377302813278</v>
      </c>
      <c r="AL181">
        <v>1</v>
      </c>
      <c r="AM181">
        <f t="shared" si="129"/>
        <v>27.950468320348559</v>
      </c>
      <c r="AN181">
        <f t="shared" si="143"/>
        <v>339.39965336919784</v>
      </c>
      <c r="AO181">
        <f t="shared" si="144"/>
        <v>-778.54152915171744</v>
      </c>
      <c r="AQ181">
        <f t="shared" si="130"/>
        <v>0.46274872744099954</v>
      </c>
      <c r="AR181">
        <f t="shared" si="131"/>
        <v>-68.024062933826926</v>
      </c>
      <c r="AT181">
        <f t="shared" si="156"/>
        <v>-508947.45292820979</v>
      </c>
      <c r="AU181">
        <f t="shared" si="157"/>
        <v>-790805.27752405242</v>
      </c>
      <c r="AV181">
        <f t="shared" si="145"/>
        <v>-2.142646005997594</v>
      </c>
      <c r="AW181">
        <f t="shared" si="146"/>
        <v>-41354.307588630916</v>
      </c>
      <c r="AX181">
        <f t="shared" si="147"/>
        <v>-34536.921839845985</v>
      </c>
      <c r="AY181">
        <f t="shared" si="155"/>
        <v>-2.4457850291405951</v>
      </c>
      <c r="BA181">
        <f t="shared" si="132"/>
        <v>17.454308073442203</v>
      </c>
      <c r="BB181">
        <f t="shared" si="148"/>
        <v>24.83805274235991</v>
      </c>
      <c r="BC181">
        <f t="shared" si="149"/>
        <v>0.30313902314300112</v>
      </c>
      <c r="BD181">
        <f t="shared" si="133"/>
        <v>-162.63141334834094</v>
      </c>
      <c r="BF181">
        <f t="shared" si="134"/>
        <v>-6.1062653042144346</v>
      </c>
      <c r="BG181">
        <f t="shared" si="135"/>
        <v>-141.62639972286684</v>
      </c>
      <c r="BH181">
        <f t="shared" si="150"/>
        <v>38.373600277133164</v>
      </c>
      <c r="BI181">
        <f t="shared" si="151"/>
        <v>38.373600277133164</v>
      </c>
      <c r="BJ181">
        <f t="shared" si="136"/>
        <v>0</v>
      </c>
      <c r="BK181">
        <f t="shared" si="152"/>
        <v>0</v>
      </c>
      <c r="BM181">
        <f t="shared" si="153"/>
        <v>-30.944318046574345</v>
      </c>
      <c r="BN181">
        <f t="shared" si="137"/>
        <v>-158.99498637452589</v>
      </c>
      <c r="BQ181" s="47">
        <f t="shared" si="154"/>
        <v>41.740013542645045</v>
      </c>
      <c r="BR181" s="529"/>
      <c r="BS181" s="529"/>
      <c r="BT181" s="529">
        <v>5128.6139999999996</v>
      </c>
      <c r="BU181" s="529">
        <v>1.7954699999999999</v>
      </c>
      <c r="BV181" s="529">
        <v>-237.881</v>
      </c>
      <c r="BW181" s="49"/>
      <c r="BY181" s="529"/>
      <c r="BZ181" s="529"/>
      <c r="CA181" s="529"/>
      <c r="CC181" s="529"/>
    </row>
    <row r="182" spans="1:81">
      <c r="A182">
        <f t="shared" si="158"/>
        <v>74000</v>
      </c>
      <c r="B182">
        <f t="shared" si="138"/>
        <v>74</v>
      </c>
      <c r="C182">
        <f t="shared" si="107"/>
        <v>1.066938443002567</v>
      </c>
      <c r="D182">
        <f t="shared" si="108"/>
        <v>0.35610681906133956</v>
      </c>
      <c r="F182">
        <f t="shared" si="109"/>
        <v>1.7498884535952323E-3</v>
      </c>
      <c r="G182">
        <f t="shared" si="110"/>
        <v>1.2623273381338423E-2</v>
      </c>
      <c r="H182">
        <f t="shared" si="111"/>
        <v>-3.1289693766186617</v>
      </c>
      <c r="J182">
        <f t="shared" si="112"/>
        <v>15</v>
      </c>
      <c r="M182">
        <f t="shared" si="113"/>
        <v>2.0351038080891417E-2</v>
      </c>
      <c r="N182">
        <f t="shared" si="114"/>
        <v>-1.5707963250000001</v>
      </c>
      <c r="O182">
        <f t="shared" si="115"/>
        <v>36.071179627291023</v>
      </c>
      <c r="P182">
        <f t="shared" si="116"/>
        <v>1.5430698108217284</v>
      </c>
      <c r="Q182">
        <f t="shared" si="117"/>
        <v>28.158369872579524</v>
      </c>
      <c r="R182">
        <f t="shared" si="118"/>
        <v>1.5352754381778864</v>
      </c>
      <c r="S182">
        <f t="shared" si="119"/>
        <v>0.92953059896528933</v>
      </c>
      <c r="T182">
        <f t="shared" si="120"/>
        <v>-0.37765850091987374</v>
      </c>
      <c r="U182">
        <f t="shared" si="121"/>
        <v>0.85055046165304204</v>
      </c>
      <c r="V182">
        <f t="shared" si="122"/>
        <v>-0.55376520019742093</v>
      </c>
      <c r="X182">
        <f t="shared" si="139"/>
        <v>-6.7888163015758582</v>
      </c>
      <c r="Y182">
        <f t="shared" si="123"/>
        <v>-125.86377811951537</v>
      </c>
      <c r="Z182">
        <f t="shared" si="140"/>
        <v>54.136221880484626</v>
      </c>
      <c r="AC182">
        <v>1</v>
      </c>
      <c r="AD182">
        <f t="shared" si="124"/>
        <v>36.057315481110003</v>
      </c>
      <c r="AE182">
        <f t="shared" si="125"/>
        <v>-1.3747344935622463E-3</v>
      </c>
      <c r="AF182">
        <f t="shared" si="126"/>
        <v>2.2234182157404004E-3</v>
      </c>
      <c r="AG182">
        <f t="shared" si="141"/>
        <v>11530.833091873772</v>
      </c>
      <c r="AH182">
        <f t="shared" si="142"/>
        <v>-7579.24616772837</v>
      </c>
      <c r="AJ182">
        <f t="shared" si="127"/>
        <v>22100</v>
      </c>
      <c r="AK182">
        <f t="shared" si="128"/>
        <v>8767.0747216437849</v>
      </c>
      <c r="AL182">
        <v>1</v>
      </c>
      <c r="AM182">
        <f t="shared" si="129"/>
        <v>28.140607560623042</v>
      </c>
      <c r="AN182">
        <f t="shared" si="143"/>
        <v>339.024988303518</v>
      </c>
      <c r="AO182">
        <f t="shared" si="144"/>
        <v>-773.29442745033214</v>
      </c>
      <c r="AQ182">
        <f t="shared" si="130"/>
        <v>0.45651677699155446</v>
      </c>
      <c r="AR182">
        <f t="shared" si="131"/>
        <v>-67.564482994750051</v>
      </c>
      <c r="AT182">
        <f t="shared" si="156"/>
        <v>-506823.83005337813</v>
      </c>
      <c r="AU182">
        <f t="shared" si="157"/>
        <v>-782534.82938372355</v>
      </c>
      <c r="AV182">
        <f t="shared" si="145"/>
        <v>-2.1455313890297001</v>
      </c>
      <c r="AW182">
        <f t="shared" si="146"/>
        <v>-40686.260125770648</v>
      </c>
      <c r="AX182">
        <f t="shared" si="147"/>
        <v>-34340.252377599914</v>
      </c>
      <c r="AY182">
        <f t="shared" si="155"/>
        <v>-2.4405771739312421</v>
      </c>
      <c r="BA182">
        <f t="shared" si="132"/>
        <v>17.511359275315368</v>
      </c>
      <c r="BB182">
        <f t="shared" si="148"/>
        <v>24.866397168221724</v>
      </c>
      <c r="BC182">
        <f t="shared" si="149"/>
        <v>0.29504578490154199</v>
      </c>
      <c r="BD182">
        <f t="shared" si="133"/>
        <v>-163.09512174270029</v>
      </c>
      <c r="BF182">
        <f t="shared" si="134"/>
        <v>-6.1887830694891903</v>
      </c>
      <c r="BG182">
        <f t="shared" si="135"/>
        <v>-141.96844364212538</v>
      </c>
      <c r="BH182">
        <f t="shared" si="150"/>
        <v>38.031556357874621</v>
      </c>
      <c r="BI182">
        <f t="shared" si="151"/>
        <v>38.031556357874621</v>
      </c>
      <c r="BJ182">
        <f t="shared" si="136"/>
        <v>0</v>
      </c>
      <c r="BK182">
        <f t="shared" si="152"/>
        <v>0</v>
      </c>
      <c r="BM182">
        <f t="shared" si="153"/>
        <v>-31.055180237710918</v>
      </c>
      <c r="BN182">
        <f t="shared" si="137"/>
        <v>-158.87332189942509</v>
      </c>
      <c r="BQ182" s="47">
        <f t="shared" si="154"/>
        <v>41.768357968506862</v>
      </c>
      <c r="BR182" s="529"/>
      <c r="BS182" s="529"/>
      <c r="BT182" s="529">
        <v>5248.0749999999998</v>
      </c>
      <c r="BU182" s="529">
        <v>1.6024099999999999</v>
      </c>
      <c r="BV182" s="529">
        <v>-238.28</v>
      </c>
      <c r="BW182" s="49"/>
      <c r="BY182" s="529"/>
      <c r="BZ182" s="529"/>
      <c r="CA182" s="529"/>
      <c r="CC182" s="529"/>
    </row>
    <row r="183" spans="1:81">
      <c r="A183">
        <f t="shared" si="158"/>
        <v>74500</v>
      </c>
      <c r="B183">
        <f t="shared" si="138"/>
        <v>74.5</v>
      </c>
      <c r="C183">
        <f t="shared" si="107"/>
        <v>1.0678172388367841</v>
      </c>
      <c r="D183">
        <f t="shared" si="108"/>
        <v>0.35831281099493728</v>
      </c>
      <c r="F183">
        <f t="shared" si="109"/>
        <v>1.7264395387308353E-3</v>
      </c>
      <c r="G183">
        <f t="shared" si="110"/>
        <v>1.2538263543231445E-2</v>
      </c>
      <c r="H183">
        <f t="shared" si="111"/>
        <v>-3.1290543864567688</v>
      </c>
      <c r="J183">
        <f t="shared" si="112"/>
        <v>15</v>
      </c>
      <c r="M183">
        <f t="shared" si="113"/>
        <v>2.0214453932697517E-2</v>
      </c>
      <c r="N183">
        <f t="shared" si="114"/>
        <v>-1.5707963250000001</v>
      </c>
      <c r="O183">
        <f t="shared" si="115"/>
        <v>36.314717124741996</v>
      </c>
      <c r="P183">
        <f t="shared" si="116"/>
        <v>1.5432558004241745</v>
      </c>
      <c r="Q183">
        <f t="shared" si="117"/>
        <v>28.348389977149758</v>
      </c>
      <c r="R183">
        <f t="shared" si="118"/>
        <v>1.5355136349383003</v>
      </c>
      <c r="S183">
        <f t="shared" si="119"/>
        <v>0.92867490406030184</v>
      </c>
      <c r="T183">
        <f t="shared" si="120"/>
        <v>-0.37997231525212288</v>
      </c>
      <c r="U183">
        <f t="shared" si="121"/>
        <v>0.84896016089380089</v>
      </c>
      <c r="V183">
        <f t="shared" si="122"/>
        <v>-0.55678184383358786</v>
      </c>
      <c r="X183">
        <f t="shared" si="139"/>
        <v>-6.864726825447276</v>
      </c>
      <c r="Y183">
        <f t="shared" si="123"/>
        <v>-126.02336345334658</v>
      </c>
      <c r="Z183">
        <f t="shared" si="140"/>
        <v>53.976636546653424</v>
      </c>
      <c r="AC183">
        <v>1</v>
      </c>
      <c r="AD183">
        <f t="shared" si="124"/>
        <v>36.300945991117501</v>
      </c>
      <c r="AE183">
        <f t="shared" si="125"/>
        <v>-1.3933747485196965E-3</v>
      </c>
      <c r="AF183">
        <f t="shared" si="126"/>
        <v>2.2384413117927E-3</v>
      </c>
      <c r="AG183">
        <f t="shared" si="141"/>
        <v>11487.754285017829</v>
      </c>
      <c r="AH183">
        <f t="shared" si="142"/>
        <v>-7597.5843763902803</v>
      </c>
      <c r="AJ183">
        <f t="shared" si="127"/>
        <v>22100</v>
      </c>
      <c r="AK183">
        <f t="shared" si="128"/>
        <v>8826.3117130062419</v>
      </c>
      <c r="AL183">
        <v>1</v>
      </c>
      <c r="AM183">
        <f t="shared" si="129"/>
        <v>28.330746800897522</v>
      </c>
      <c r="AN183">
        <f t="shared" si="143"/>
        <v>338.65782897096602</v>
      </c>
      <c r="AO183">
        <f t="shared" si="144"/>
        <v>-768.11749171185386</v>
      </c>
      <c r="AQ183">
        <f t="shared" si="130"/>
        <v>0.45040987298441582</v>
      </c>
      <c r="AR183">
        <f t="shared" si="131"/>
        <v>-67.111071074677952</v>
      </c>
      <c r="AT183">
        <f t="shared" si="156"/>
        <v>-504707.82713139977</v>
      </c>
      <c r="AU183">
        <f t="shared" si="157"/>
        <v>-774377.52132422605</v>
      </c>
      <c r="AV183">
        <f t="shared" si="145"/>
        <v>-2.1484073883678838</v>
      </c>
      <c r="AW183">
        <f t="shared" si="146"/>
        <v>-40032.387809280161</v>
      </c>
      <c r="AX183">
        <f t="shared" si="147"/>
        <v>-34146.773851405087</v>
      </c>
      <c r="AY183">
        <f t="shared" si="155"/>
        <v>-2.4353718441426371</v>
      </c>
      <c r="BA183">
        <f t="shared" si="132"/>
        <v>17.567038748620686</v>
      </c>
      <c r="BB183">
        <f t="shared" si="148"/>
        <v>24.893971184918151</v>
      </c>
      <c r="BC183">
        <f t="shared" si="149"/>
        <v>0.28696445577475327</v>
      </c>
      <c r="BD183">
        <f t="shared" si="133"/>
        <v>-163.5581477950505</v>
      </c>
      <c r="BF183">
        <f t="shared" si="134"/>
        <v>-6.2712376050787322</v>
      </c>
      <c r="BG183">
        <f t="shared" si="135"/>
        <v>-142.30994637184233</v>
      </c>
      <c r="BH183">
        <f t="shared" si="150"/>
        <v>37.690053628157671</v>
      </c>
      <c r="BI183">
        <f t="shared" si="151"/>
        <v>37.690053628157671</v>
      </c>
      <c r="BJ183">
        <f t="shared" si="136"/>
        <v>0</v>
      </c>
      <c r="BK183">
        <f t="shared" si="152"/>
        <v>0</v>
      </c>
      <c r="BM183">
        <f t="shared" si="153"/>
        <v>-31.165208789996882</v>
      </c>
      <c r="BN183">
        <f t="shared" si="137"/>
        <v>-158.75179857679183</v>
      </c>
      <c r="BQ183" s="47">
        <f t="shared" si="154"/>
        <v>41.795931985203289</v>
      </c>
      <c r="BR183" s="529"/>
      <c r="BS183" s="529"/>
      <c r="BT183" s="529">
        <v>5370.3180000000002</v>
      </c>
      <c r="BU183" s="529">
        <v>1.48515</v>
      </c>
      <c r="BV183" s="529">
        <v>-237.34699999999998</v>
      </c>
      <c r="BW183" s="49"/>
      <c r="BY183" s="529"/>
      <c r="BZ183" s="529"/>
      <c r="CA183" s="529"/>
      <c r="CC183" s="529"/>
    </row>
    <row r="184" spans="1:81">
      <c r="A184">
        <f t="shared" si="158"/>
        <v>75000</v>
      </c>
      <c r="B184">
        <f t="shared" si="138"/>
        <v>75</v>
      </c>
      <c r="C184">
        <f t="shared" si="107"/>
        <v>1.0687012225364441</v>
      </c>
      <c r="D184">
        <f t="shared" si="108"/>
        <v>0.3605151642279863</v>
      </c>
      <c r="F184">
        <f t="shared" si="109"/>
        <v>1.7034590728621862E-3</v>
      </c>
      <c r="G184">
        <f t="shared" si="110"/>
        <v>1.2454392921932411E-2</v>
      </c>
      <c r="H184">
        <f t="shared" si="111"/>
        <v>-3.1291382570780679</v>
      </c>
      <c r="J184">
        <f t="shared" si="112"/>
        <v>15</v>
      </c>
      <c r="M184">
        <f t="shared" si="113"/>
        <v>2.0079690906479535E-2</v>
      </c>
      <c r="N184">
        <f t="shared" si="114"/>
        <v>-1.5707963250000001</v>
      </c>
      <c r="O184">
        <f t="shared" si="115"/>
        <v>36.558255861659731</v>
      </c>
      <c r="P184">
        <f t="shared" si="116"/>
        <v>1.5434393120332348</v>
      </c>
      <c r="Q184">
        <f t="shared" si="117"/>
        <v>28.538411668723253</v>
      </c>
      <c r="R184">
        <f t="shared" si="118"/>
        <v>1.5357486596677201</v>
      </c>
      <c r="S184">
        <f t="shared" si="119"/>
        <v>0.92781582958563036</v>
      </c>
      <c r="T184">
        <f t="shared" si="120"/>
        <v>-0.38228186112346008</v>
      </c>
      <c r="U184">
        <f t="shared" si="121"/>
        <v>0.8473681278981503</v>
      </c>
      <c r="V184">
        <f t="shared" si="122"/>
        <v>-0.55978720066637289</v>
      </c>
      <c r="X184">
        <f t="shared" si="139"/>
        <v>-6.9402907737882629</v>
      </c>
      <c r="Y184">
        <f t="shared" si="123"/>
        <v>-126.1825244686044</v>
      </c>
      <c r="Z184">
        <f t="shared" si="140"/>
        <v>53.817475531395601</v>
      </c>
      <c r="AC184">
        <v>1</v>
      </c>
      <c r="AD184">
        <f t="shared" si="124"/>
        <v>36.544576501125</v>
      </c>
      <c r="AE184">
        <f t="shared" si="125"/>
        <v>-1.4121405270795535E-3</v>
      </c>
      <c r="AF184">
        <f t="shared" si="126"/>
        <v>2.2534644078450001E-3</v>
      </c>
      <c r="AG184">
        <f t="shared" si="141"/>
        <v>11444.709307469331</v>
      </c>
      <c r="AH184">
        <f t="shared" si="142"/>
        <v>-7615.6240914999325</v>
      </c>
      <c r="AJ184">
        <f t="shared" si="127"/>
        <v>22100</v>
      </c>
      <c r="AK184">
        <f t="shared" si="128"/>
        <v>8885.548704368699</v>
      </c>
      <c r="AL184">
        <v>1</v>
      </c>
      <c r="AM184">
        <f t="shared" si="129"/>
        <v>28.520886041171998</v>
      </c>
      <c r="AN184">
        <f t="shared" si="143"/>
        <v>338.29797629839504</v>
      </c>
      <c r="AO184">
        <f t="shared" si="144"/>
        <v>-763.0093255969324</v>
      </c>
      <c r="AQ184">
        <f t="shared" si="130"/>
        <v>0.44442469223590064</v>
      </c>
      <c r="AR184">
        <f t="shared" si="131"/>
        <v>-66.663703835385093</v>
      </c>
      <c r="AT184">
        <f t="shared" si="156"/>
        <v>-502599.39754567377</v>
      </c>
      <c r="AU184">
        <f t="shared" si="157"/>
        <v>-766331.28314825997</v>
      </c>
      <c r="AV184">
        <f t="shared" si="145"/>
        <v>-2.151273974319063</v>
      </c>
      <c r="AW184">
        <f t="shared" si="146"/>
        <v>-39392.31129683269</v>
      </c>
      <c r="AX184">
        <f t="shared" si="147"/>
        <v>-33956.402248513215</v>
      </c>
      <c r="AY184">
        <f t="shared" si="155"/>
        <v>-2.4301697442323871</v>
      </c>
      <c r="BA184">
        <f t="shared" si="132"/>
        <v>17.621346378679362</v>
      </c>
      <c r="BB184">
        <f t="shared" si="148"/>
        <v>24.920781761988408</v>
      </c>
      <c r="BC184">
        <f t="shared" si="149"/>
        <v>0.2788957699133241</v>
      </c>
      <c r="BD184">
        <f t="shared" si="133"/>
        <v>-164.02044944165556</v>
      </c>
      <c r="BF184">
        <f t="shared" si="134"/>
        <v>-6.353632858628516</v>
      </c>
      <c r="BG184">
        <f t="shared" si="135"/>
        <v>-142.65086790568355</v>
      </c>
      <c r="BH184">
        <f t="shared" si="150"/>
        <v>37.349132094316445</v>
      </c>
      <c r="BI184">
        <f t="shared" si="151"/>
        <v>37.349132094316445</v>
      </c>
      <c r="BJ184">
        <f t="shared" si="136"/>
        <v>0</v>
      </c>
      <c r="BK184">
        <f t="shared" si="152"/>
        <v>0</v>
      </c>
      <c r="BM184">
        <f t="shared" si="153"/>
        <v>-31.274414620616923</v>
      </c>
      <c r="BN184">
        <f t="shared" si="137"/>
        <v>-158.630418464028</v>
      </c>
      <c r="BQ184" s="47">
        <f t="shared" si="154"/>
        <v>41.822742562273547</v>
      </c>
      <c r="BR184" s="529"/>
      <c r="BS184" s="529"/>
      <c r="BT184" s="529">
        <v>5495.4089999999997</v>
      </c>
      <c r="BU184" s="529">
        <v>1.35836</v>
      </c>
      <c r="BV184" s="529">
        <v>-235.61199999999999</v>
      </c>
      <c r="BW184" s="49"/>
      <c r="BY184" s="529"/>
      <c r="BZ184" s="529"/>
      <c r="CA184" s="529"/>
      <c r="CC184" s="529"/>
    </row>
    <row r="185" spans="1:81">
      <c r="A185">
        <f t="shared" si="158"/>
        <v>75500</v>
      </c>
      <c r="B185">
        <f t="shared" si="138"/>
        <v>75.5</v>
      </c>
      <c r="C185">
        <f t="shared" si="107"/>
        <v>1.0695903812387109</v>
      </c>
      <c r="D185">
        <f t="shared" si="108"/>
        <v>0.36271386644447046</v>
      </c>
      <c r="F185">
        <f t="shared" si="109"/>
        <v>1.6809346540201779E-3</v>
      </c>
      <c r="G185">
        <f t="shared" si="110"/>
        <v>1.237163873272037E-2</v>
      </c>
      <c r="H185">
        <f t="shared" si="111"/>
        <v>-3.1292210112672798</v>
      </c>
      <c r="J185">
        <f t="shared" si="112"/>
        <v>15</v>
      </c>
      <c r="M185">
        <f t="shared" si="113"/>
        <v>1.9946712821006161E-2</v>
      </c>
      <c r="N185">
        <f t="shared" si="114"/>
        <v>-1.5707963250000001</v>
      </c>
      <c r="O185">
        <f t="shared" si="115"/>
        <v>36.801795813437408</v>
      </c>
      <c r="P185">
        <f t="shared" si="116"/>
        <v>1.5436203948316105</v>
      </c>
      <c r="Q185">
        <f t="shared" si="117"/>
        <v>28.728434915808737</v>
      </c>
      <c r="R185">
        <f t="shared" si="118"/>
        <v>1.5359805752837909</v>
      </c>
      <c r="S185">
        <f t="shared" si="119"/>
        <v>0.92695341236681916</v>
      </c>
      <c r="T185">
        <f t="shared" si="120"/>
        <v>-0.384587125764557</v>
      </c>
      <c r="U185">
        <f t="shared" si="121"/>
        <v>0.84577445842675802</v>
      </c>
      <c r="V185">
        <f t="shared" si="122"/>
        <v>-0.562781279936581</v>
      </c>
      <c r="X185">
        <f t="shared" si="139"/>
        <v>-7.0155126993866856</v>
      </c>
      <c r="Y185">
        <f t="shared" si="123"/>
        <v>-126.34125655136675</v>
      </c>
      <c r="Z185">
        <f t="shared" si="140"/>
        <v>53.658743448633246</v>
      </c>
      <c r="AC185">
        <v>1</v>
      </c>
      <c r="AD185">
        <f t="shared" si="124"/>
        <v>36.788207011132506</v>
      </c>
      <c r="AE185">
        <f t="shared" si="125"/>
        <v>-1.4310318292418179E-3</v>
      </c>
      <c r="AF185">
        <f t="shared" si="126"/>
        <v>2.2684875038973002E-3</v>
      </c>
      <c r="AG185">
        <f t="shared" si="141"/>
        <v>11401.701004822435</v>
      </c>
      <c r="AH185">
        <f t="shared" si="142"/>
        <v>-7633.3667325254391</v>
      </c>
      <c r="AJ185">
        <f t="shared" si="127"/>
        <v>22100</v>
      </c>
      <c r="AK185">
        <f t="shared" si="128"/>
        <v>8944.7856957311578</v>
      </c>
      <c r="AL185">
        <v>1</v>
      </c>
      <c r="AM185">
        <f t="shared" si="129"/>
        <v>28.711025281446481</v>
      </c>
      <c r="AN185">
        <f t="shared" si="143"/>
        <v>337.94523776649311</v>
      </c>
      <c r="AO185">
        <f t="shared" si="144"/>
        <v>-757.96856952706912</v>
      </c>
      <c r="AQ185">
        <f t="shared" si="130"/>
        <v>0.43855802122620824</v>
      </c>
      <c r="AR185">
        <f t="shared" si="131"/>
        <v>-66.222261205157437</v>
      </c>
      <c r="AT185">
        <f t="shared" si="156"/>
        <v>-500498.49820477102</v>
      </c>
      <c r="AU185">
        <f t="shared" si="157"/>
        <v>-758394.09633396764</v>
      </c>
      <c r="AV185">
        <f t="shared" si="145"/>
        <v>-2.1541311189520957</v>
      </c>
      <c r="AW185">
        <f t="shared" si="146"/>
        <v>-38765.663682524304</v>
      </c>
      <c r="AX185">
        <f t="shared" si="147"/>
        <v>-33769.056370493017</v>
      </c>
      <c r="AY185">
        <f t="shared" si="155"/>
        <v>-2.4249715718524438</v>
      </c>
      <c r="BA185">
        <f t="shared" si="132"/>
        <v>17.6742825767661</v>
      </c>
      <c r="BB185">
        <f t="shared" si="148"/>
        <v>24.946835884428047</v>
      </c>
      <c r="BC185">
        <f t="shared" si="149"/>
        <v>0.27084045290034808</v>
      </c>
      <c r="BD185">
        <f t="shared" si="133"/>
        <v>-164.48198510966637</v>
      </c>
      <c r="BF185">
        <f t="shared" si="134"/>
        <v>-6.4359725474796567</v>
      </c>
      <c r="BG185">
        <f t="shared" si="135"/>
        <v>-142.99116868192414</v>
      </c>
      <c r="BH185">
        <f t="shared" si="150"/>
        <v>37.008831318075863</v>
      </c>
      <c r="BI185">
        <f t="shared" si="151"/>
        <v>37.008831318075863</v>
      </c>
      <c r="BJ185">
        <f t="shared" si="136"/>
        <v>0</v>
      </c>
      <c r="BK185">
        <f t="shared" si="152"/>
        <v>0</v>
      </c>
      <c r="BM185">
        <f t="shared" si="153"/>
        <v>-31.382808431907709</v>
      </c>
      <c r="BN185">
        <f t="shared" si="137"/>
        <v>-158.50918357225774</v>
      </c>
      <c r="BQ185" s="47">
        <f t="shared" si="154"/>
        <v>41.848796684713186</v>
      </c>
      <c r="BR185" s="529"/>
      <c r="BS185" s="529"/>
      <c r="BT185" s="529">
        <v>5623.4129999999996</v>
      </c>
      <c r="BU185" s="529">
        <v>1.07298</v>
      </c>
      <c r="BV185" s="529">
        <v>-235.13800000000001</v>
      </c>
      <c r="BW185" s="49"/>
      <c r="BY185" s="529"/>
      <c r="BZ185" s="529"/>
      <c r="CA185" s="529"/>
      <c r="CC185" s="529"/>
    </row>
    <row r="186" spans="1:81">
      <c r="A186">
        <f t="shared" si="158"/>
        <v>76000</v>
      </c>
      <c r="B186">
        <f t="shared" si="138"/>
        <v>76</v>
      </c>
      <c r="C186">
        <f t="shared" si="107"/>
        <v>1.0704847020483086</v>
      </c>
      <c r="D186">
        <f t="shared" si="108"/>
        <v>0.36490890551037297</v>
      </c>
      <c r="F186">
        <f t="shared" si="109"/>
        <v>1.6588542881724759E-3</v>
      </c>
      <c r="G186">
        <f t="shared" si="110"/>
        <v>1.2289978795415168E-2</v>
      </c>
      <c r="H186">
        <f t="shared" si="111"/>
        <v>-3.1293026712045848</v>
      </c>
      <c r="J186">
        <f t="shared" si="112"/>
        <v>15</v>
      </c>
      <c r="M186">
        <f t="shared" si="113"/>
        <v>1.9815484447183753E-2</v>
      </c>
      <c r="N186">
        <f t="shared" si="114"/>
        <v>-1.5707963250000001</v>
      </c>
      <c r="O186">
        <f t="shared" si="115"/>
        <v>37.045336956115179</v>
      </c>
      <c r="P186">
        <f t="shared" si="116"/>
        <v>1.543799096709314</v>
      </c>
      <c r="Q186">
        <f t="shared" si="117"/>
        <v>28.918459687742395</v>
      </c>
      <c r="R186">
        <f t="shared" si="118"/>
        <v>1.5362094430517756</v>
      </c>
      <c r="S186">
        <f t="shared" si="119"/>
        <v>0.92608768917650697</v>
      </c>
      <c r="T186">
        <f t="shared" si="120"/>
        <v>-0.3868880966353922</v>
      </c>
      <c r="U186">
        <f t="shared" si="121"/>
        <v>0.84417924717187542</v>
      </c>
      <c r="V186">
        <f t="shared" si="122"/>
        <v>-0.56576409162457431</v>
      </c>
      <c r="X186">
        <f t="shared" si="139"/>
        <v>-7.0903970518106698</v>
      </c>
      <c r="Y186">
        <f t="shared" si="123"/>
        <v>-126.49955526689813</v>
      </c>
      <c r="Z186">
        <f t="shared" si="140"/>
        <v>53.500444733101872</v>
      </c>
      <c r="AC186">
        <v>1</v>
      </c>
      <c r="AD186">
        <f t="shared" si="124"/>
        <v>37.031837521139998</v>
      </c>
      <c r="AE186">
        <f t="shared" si="125"/>
        <v>-1.4500486550064892E-3</v>
      </c>
      <c r="AF186">
        <f t="shared" si="126"/>
        <v>2.2835105999496003E-3</v>
      </c>
      <c r="AG186">
        <f t="shared" si="141"/>
        <v>11358.73217472617</v>
      </c>
      <c r="AH186">
        <f t="shared" si="142"/>
        <v>-7650.8137570835961</v>
      </c>
      <c r="AJ186">
        <f t="shared" si="127"/>
        <v>22100</v>
      </c>
      <c r="AK186">
        <f t="shared" si="128"/>
        <v>9004.0226870936167</v>
      </c>
      <c r="AL186">
        <v>1</v>
      </c>
      <c r="AM186">
        <f t="shared" si="129"/>
        <v>28.901164521720961</v>
      </c>
      <c r="AN186">
        <f t="shared" si="143"/>
        <v>337.59942715266408</v>
      </c>
      <c r="AO186">
        <f t="shared" si="144"/>
        <v>-752.99389948427813</v>
      </c>
      <c r="AQ186">
        <f t="shared" si="130"/>
        <v>0.43280675178532785</v>
      </c>
      <c r="AR186">
        <f t="shared" si="131"/>
        <v>-65.78662627136984</v>
      </c>
      <c r="AT186">
        <f t="shared" si="156"/>
        <v>-498405.08933217078</v>
      </c>
      <c r="AU186">
        <f t="shared" si="157"/>
        <v>-750563.99234601238</v>
      </c>
      <c r="AV186">
        <f t="shared" si="145"/>
        <v>-2.1569787960520372</v>
      </c>
      <c r="AW186">
        <f t="shared" si="146"/>
        <v>-38152.090010919506</v>
      </c>
      <c r="AX186">
        <f t="shared" si="147"/>
        <v>-33584.657720273564</v>
      </c>
      <c r="AY186">
        <f t="shared" si="155"/>
        <v>-2.419778017528889</v>
      </c>
      <c r="BA186">
        <f t="shared" si="132"/>
        <v>17.72584827708808</v>
      </c>
      <c r="BB186">
        <f t="shared" si="148"/>
        <v>24.972140553540253</v>
      </c>
      <c r="BC186">
        <f t="shared" si="149"/>
        <v>0.26279922147685175</v>
      </c>
      <c r="BD186">
        <f t="shared" si="133"/>
        <v>-164.94271373284715</v>
      </c>
      <c r="BF186">
        <f t="shared" si="134"/>
        <v>-6.5182601635277937</v>
      </c>
      <c r="BG186">
        <f t="shared" si="135"/>
        <v>-143.33080960038683</v>
      </c>
      <c r="BH186">
        <f t="shared" si="150"/>
        <v>36.669190399613171</v>
      </c>
      <c r="BI186">
        <f t="shared" si="151"/>
        <v>36.669190399613171</v>
      </c>
      <c r="BJ186">
        <f t="shared" si="136"/>
        <v>0</v>
      </c>
      <c r="BK186">
        <f t="shared" si="152"/>
        <v>0</v>
      </c>
      <c r="BM186">
        <f t="shared" si="153"/>
        <v>-31.490400717068049</v>
      </c>
      <c r="BN186">
        <f t="shared" si="137"/>
        <v>-158.3880958675397</v>
      </c>
      <c r="BQ186" s="47">
        <f t="shared" si="154"/>
        <v>41.874101353825388</v>
      </c>
      <c r="BR186" s="529"/>
      <c r="BS186" s="529"/>
      <c r="BT186" s="529">
        <v>5754.3990000000003</v>
      </c>
      <c r="BU186" s="529">
        <v>0.86915299999999995</v>
      </c>
      <c r="BV186" s="529">
        <v>-234.68899999999999</v>
      </c>
      <c r="BW186" s="49"/>
      <c r="BY186" s="529"/>
      <c r="BZ186" s="529"/>
      <c r="CA186" s="529"/>
      <c r="CC186" s="529"/>
    </row>
    <row r="187" spans="1:81">
      <c r="A187">
        <f t="shared" si="158"/>
        <v>76500</v>
      </c>
      <c r="B187">
        <f t="shared" si="138"/>
        <v>76.5</v>
      </c>
      <c r="C187">
        <f t="shared" si="107"/>
        <v>1.0713841720382777</v>
      </c>
      <c r="D187">
        <f t="shared" si="108"/>
        <v>0.36710026947327146</v>
      </c>
      <c r="F187">
        <f t="shared" si="109"/>
        <v>1.6372063732185891E-3</v>
      </c>
      <c r="G187">
        <f t="shared" si="110"/>
        <v>1.2209391514428545E-2</v>
      </c>
      <c r="H187">
        <f t="shared" si="111"/>
        <v>-3.1293832584855719</v>
      </c>
      <c r="J187">
        <f t="shared" si="112"/>
        <v>15</v>
      </c>
      <c r="M187">
        <f t="shared" si="113"/>
        <v>1.968597147694072E-2</v>
      </c>
      <c r="N187">
        <f t="shared" si="114"/>
        <v>-1.5707963250000001</v>
      </c>
      <c r="O187">
        <f t="shared" si="115"/>
        <v>37.288879266359018</v>
      </c>
      <c r="P187">
        <f t="shared" si="116"/>
        <v>1.5439754643058523</v>
      </c>
      <c r="Q187">
        <f t="shared" si="117"/>
        <v>29.108485954660878</v>
      </c>
      <c r="R187">
        <f t="shared" si="118"/>
        <v>1.5364353226384235</v>
      </c>
      <c r="S187">
        <f t="shared" si="119"/>
        <v>0.92521869673124768</v>
      </c>
      <c r="T187">
        <f t="shared" si="120"/>
        <v>-0.38918476142447844</v>
      </c>
      <c r="U187">
        <f t="shared" si="121"/>
        <v>0.8425825877564963</v>
      </c>
      <c r="V187">
        <f t="shared" si="122"/>
        <v>-0.56873564643773145</v>
      </c>
      <c r="X187">
        <f t="shared" si="139"/>
        <v>-7.1649481803645854</v>
      </c>
      <c r="Y187">
        <f t="shared" si="123"/>
        <v>-126.6574163545494</v>
      </c>
      <c r="Z187">
        <f t="shared" si="140"/>
        <v>53.342583645450603</v>
      </c>
      <c r="AC187">
        <v>1</v>
      </c>
      <c r="AD187">
        <f t="shared" si="124"/>
        <v>37.275468031147504</v>
      </c>
      <c r="AE187">
        <f t="shared" si="125"/>
        <v>-1.4691910043735676E-3</v>
      </c>
      <c r="AF187">
        <f t="shared" si="126"/>
        <v>2.2985336960019004E-3</v>
      </c>
      <c r="AG187">
        <f t="shared" si="141"/>
        <v>11315.805567085237</v>
      </c>
      <c r="AH187">
        <f t="shared" si="142"/>
        <v>-7667.9666593790907</v>
      </c>
      <c r="AJ187">
        <f t="shared" si="127"/>
        <v>22100</v>
      </c>
      <c r="AK187">
        <f t="shared" si="128"/>
        <v>9063.2596784560737</v>
      </c>
      <c r="AL187">
        <v>1</v>
      </c>
      <c r="AM187">
        <f t="shared" si="129"/>
        <v>29.091303761995444</v>
      </c>
      <c r="AN187">
        <f t="shared" si="143"/>
        <v>337.26036428559502</v>
      </c>
      <c r="AO187">
        <f t="shared" si="144"/>
        <v>-748.08402585741123</v>
      </c>
      <c r="AQ187">
        <f t="shared" si="130"/>
        <v>0.42716787697565145</v>
      </c>
      <c r="AR187">
        <f t="shared" si="131"/>
        <v>-65.35668517727467</v>
      </c>
      <c r="AT187">
        <f t="shared" si="156"/>
        <v>-496319.13426651672</v>
      </c>
      <c r="AU187">
        <f t="shared" si="157"/>
        <v>-742839.05101384898</v>
      </c>
      <c r="AV187">
        <f t="shared" si="145"/>
        <v>-2.1598169810757408</v>
      </c>
      <c r="AW187">
        <f t="shared" si="146"/>
        <v>-37551.246813147533</v>
      </c>
      <c r="AX187">
        <f t="shared" si="147"/>
        <v>-33403.130394504275</v>
      </c>
      <c r="AY187">
        <f t="shared" si="155"/>
        <v>-2.4145897643485381</v>
      </c>
      <c r="BA187">
        <f t="shared" si="132"/>
        <v>17.776044933139151</v>
      </c>
      <c r="BB187">
        <f t="shared" si="148"/>
        <v>24.996702787594852</v>
      </c>
      <c r="BC187">
        <f t="shared" si="149"/>
        <v>0.25477278327279729</v>
      </c>
      <c r="BD187">
        <f t="shared" si="133"/>
        <v>-165.40259476698753</v>
      </c>
      <c r="BF187">
        <f t="shared" si="134"/>
        <v>-6.600498978084806</v>
      </c>
      <c r="BG187">
        <f t="shared" si="135"/>
        <v>-143.66975203902089</v>
      </c>
      <c r="BH187">
        <f t="shared" si="150"/>
        <v>36.330247960979108</v>
      </c>
      <c r="BI187">
        <f t="shared" si="151"/>
        <v>36.330247960979108</v>
      </c>
      <c r="BJ187">
        <f t="shared" si="136"/>
        <v>0</v>
      </c>
      <c r="BK187">
        <f t="shared" si="152"/>
        <v>0</v>
      </c>
      <c r="BM187">
        <f t="shared" si="153"/>
        <v>-31.59720176567966</v>
      </c>
      <c r="BN187">
        <f t="shared" si="137"/>
        <v>-158.26715727203336</v>
      </c>
      <c r="BQ187" s="47">
        <f t="shared" si="154"/>
        <v>41.898663587879987</v>
      </c>
      <c r="BR187" s="529"/>
      <c r="BS187" s="529"/>
      <c r="BT187" s="529">
        <v>5888.4369999999999</v>
      </c>
      <c r="BU187" s="529">
        <v>0.80323599999999995</v>
      </c>
      <c r="BV187" s="529">
        <v>-233.95400000000001</v>
      </c>
      <c r="BW187" s="49"/>
      <c r="BY187" s="529"/>
      <c r="BZ187" s="529"/>
      <c r="CA187" s="529"/>
      <c r="CC187" s="529"/>
    </row>
    <row r="188" spans="1:81">
      <c r="A188">
        <f t="shared" si="158"/>
        <v>77000</v>
      </c>
      <c r="B188">
        <f t="shared" si="138"/>
        <v>77</v>
      </c>
      <c r="C188">
        <f t="shared" si="107"/>
        <v>1.0722887782507287</v>
      </c>
      <c r="D188">
        <f t="shared" si="108"/>
        <v>0.36928794656191682</v>
      </c>
      <c r="F188">
        <f t="shared" si="109"/>
        <v>1.6159796837131447E-3</v>
      </c>
      <c r="G188">
        <f t="shared" si="110"/>
        <v>1.2129855859601199E-2</v>
      </c>
      <c r="H188">
        <f t="shared" si="111"/>
        <v>-3.129462794140399</v>
      </c>
      <c r="J188">
        <f t="shared" si="112"/>
        <v>15</v>
      </c>
      <c r="M188">
        <f t="shared" si="113"/>
        <v>1.955814049332422E-2</v>
      </c>
      <c r="N188">
        <f t="shared" si="114"/>
        <v>-1.5707963250000001</v>
      </c>
      <c r="O188">
        <f t="shared" si="115"/>
        <v>37.532422721440454</v>
      </c>
      <c r="P188">
        <f t="shared" si="116"/>
        <v>1.544149543050769</v>
      </c>
      <c r="Q188">
        <f t="shared" si="117"/>
        <v>29.298513687475374</v>
      </c>
      <c r="R188">
        <f t="shared" si="118"/>
        <v>1.5366582721637478</v>
      </c>
      <c r="S188">
        <f t="shared" si="119"/>
        <v>0.92434647168837236</v>
      </c>
      <c r="T188">
        <f t="shared" si="120"/>
        <v>-0.39147710804806785</v>
      </c>
      <c r="U188">
        <f t="shared" si="121"/>
        <v>0.84098457273386162</v>
      </c>
      <c r="V188">
        <f t="shared" si="122"/>
        <v>-0.57169595579796106</v>
      </c>
      <c r="X188">
        <f t="shared" si="139"/>
        <v>-7.2391703369452562</v>
      </c>
      <c r="Y188">
        <f t="shared" si="123"/>
        <v>-126.81483572282961</v>
      </c>
      <c r="Z188">
        <f t="shared" si="140"/>
        <v>53.185164277170387</v>
      </c>
      <c r="AC188">
        <v>1</v>
      </c>
      <c r="AD188">
        <f t="shared" si="124"/>
        <v>37.519098541155003</v>
      </c>
      <c r="AE188">
        <f t="shared" si="125"/>
        <v>-1.488458877343053E-3</v>
      </c>
      <c r="AF188">
        <f t="shared" si="126"/>
        <v>2.3135567920542E-3</v>
      </c>
      <c r="AG188">
        <f t="shared" si="141"/>
        <v>11272.923884273958</v>
      </c>
      <c r="AH188">
        <f t="shared" si="142"/>
        <v>-7684.8269686839776</v>
      </c>
      <c r="AJ188">
        <f t="shared" si="127"/>
        <v>22100</v>
      </c>
      <c r="AK188">
        <f t="shared" si="128"/>
        <v>9122.4966698185326</v>
      </c>
      <c r="AL188">
        <v>1</v>
      </c>
      <c r="AM188">
        <f t="shared" si="129"/>
        <v>29.281443002269917</v>
      </c>
      <c r="AN188">
        <f t="shared" si="143"/>
        <v>336.92787481090988</v>
      </c>
      <c r="AO188">
        <f t="shared" si="144"/>
        <v>-743.23769233305893</v>
      </c>
      <c r="AQ188">
        <f t="shared" si="130"/>
        <v>0.42163848716110808</v>
      </c>
      <c r="AR188">
        <f t="shared" si="131"/>
        <v>-64.93232702281064</v>
      </c>
      <c r="AT188">
        <f t="shared" si="156"/>
        <v>-494240.59927185503</v>
      </c>
      <c r="AU188">
        <f t="shared" si="157"/>
        <v>-735217.39897410024</v>
      </c>
      <c r="AV188">
        <f t="shared" si="145"/>
        <v>-2.1626456511087602</v>
      </c>
      <c r="AW188">
        <f t="shared" si="146"/>
        <v>-36962.801663913597</v>
      </c>
      <c r="AX188">
        <f t="shared" si="147"/>
        <v>-33224.400980944294</v>
      </c>
      <c r="AY188">
        <f t="shared" si="155"/>
        <v>-2.4094074876529366</v>
      </c>
      <c r="BA188">
        <f t="shared" si="132"/>
        <v>17.82487451344166</v>
      </c>
      <c r="BB188">
        <f t="shared" si="148"/>
        <v>25.020529622302274</v>
      </c>
      <c r="BC188">
        <f t="shared" si="149"/>
        <v>0.24676183654417638</v>
      </c>
      <c r="BD188">
        <f t="shared" si="133"/>
        <v>-165.86158820496613</v>
      </c>
      <c r="BF188">
        <f t="shared" si="134"/>
        <v>-6.6826920467437319</v>
      </c>
      <c r="BG188">
        <f t="shared" si="135"/>
        <v>-144.00795787008701</v>
      </c>
      <c r="BH188">
        <f t="shared" si="150"/>
        <v>35.992042129912988</v>
      </c>
      <c r="BI188">
        <f t="shared" si="151"/>
        <v>35.992042129912988</v>
      </c>
      <c r="BJ188">
        <f t="shared" si="136"/>
        <v>0</v>
      </c>
      <c r="BK188">
        <f t="shared" si="152"/>
        <v>0</v>
      </c>
      <c r="BM188">
        <f t="shared" si="153"/>
        <v>-31.703221669046005</v>
      </c>
      <c r="BN188">
        <f t="shared" si="137"/>
        <v>-158.14636966512089</v>
      </c>
      <c r="BQ188" s="47">
        <f t="shared" si="154"/>
        <v>41.922490422587408</v>
      </c>
      <c r="BR188" s="529"/>
      <c r="BS188" s="529"/>
      <c r="BT188" s="529">
        <v>6025.5959999999995</v>
      </c>
      <c r="BU188" s="529">
        <v>0.76992799999999995</v>
      </c>
      <c r="BV188" s="529">
        <v>-234.14699999999999</v>
      </c>
      <c r="BW188" s="49"/>
      <c r="BY188" s="529"/>
      <c r="BZ188" s="529"/>
      <c r="CA188" s="529"/>
      <c r="CC188" s="529"/>
    </row>
    <row r="189" spans="1:81">
      <c r="A189">
        <f t="shared" si="158"/>
        <v>77500</v>
      </c>
      <c r="B189">
        <f t="shared" si="138"/>
        <v>77.5</v>
      </c>
      <c r="C189">
        <f t="shared" si="107"/>
        <v>1.0731985076975923</v>
      </c>
      <c r="D189">
        <f t="shared" si="108"/>
        <v>0.37147192518579486</v>
      </c>
      <c r="F189">
        <f t="shared" si="109"/>
        <v>1.5951633562797233E-3</v>
      </c>
      <c r="G189">
        <f t="shared" si="110"/>
        <v>1.2051351347789844E-2</v>
      </c>
      <c r="H189">
        <f t="shared" si="111"/>
        <v>-3.1295412986522102</v>
      </c>
      <c r="J189">
        <f t="shared" si="112"/>
        <v>15</v>
      </c>
      <c r="M189">
        <f t="shared" si="113"/>
        <v>1.9431958941754385E-2</v>
      </c>
      <c r="N189">
        <f t="shared" si="114"/>
        <v>-1.5707963250000001</v>
      </c>
      <c r="O189">
        <f t="shared" si="115"/>
        <v>37.775967299217001</v>
      </c>
      <c r="P189">
        <f t="shared" si="116"/>
        <v>1.5443213772026196</v>
      </c>
      <c r="Q189">
        <f t="shared" si="117"/>
        <v>29.488542857846642</v>
      </c>
      <c r="R189">
        <f t="shared" si="118"/>
        <v>1.5368783482508033</v>
      </c>
      <c r="S189">
        <f t="shared" si="119"/>
        <v>0.92347105064289137</v>
      </c>
      <c r="T189">
        <f t="shared" si="120"/>
        <v>-0.39376512464933755</v>
      </c>
      <c r="U189">
        <f t="shared" si="121"/>
        <v>0.83938529358730396</v>
      </c>
      <c r="V189">
        <f t="shared" si="122"/>
        <v>-0.57464503182927384</v>
      </c>
      <c r="X189">
        <f t="shared" si="139"/>
        <v>-7.3130676788025371</v>
      </c>
      <c r="Y189">
        <f t="shared" si="123"/>
        <v>-126.97180944464226</v>
      </c>
      <c r="Z189">
        <f t="shared" si="140"/>
        <v>53.028190555357739</v>
      </c>
      <c r="AC189">
        <v>1</v>
      </c>
      <c r="AD189">
        <f t="shared" si="124"/>
        <v>37.762729051162502</v>
      </c>
      <c r="AE189">
        <f t="shared" si="125"/>
        <v>-1.5078522739149457E-3</v>
      </c>
      <c r="AF189">
        <f t="shared" si="126"/>
        <v>2.3285798881065006E-3</v>
      </c>
      <c r="AG189">
        <f t="shared" si="141"/>
        <v>11230.089781363013</v>
      </c>
      <c r="AH189">
        <f t="shared" si="142"/>
        <v>-7701.3962478563726</v>
      </c>
      <c r="AJ189">
        <f t="shared" si="127"/>
        <v>22100</v>
      </c>
      <c r="AK189">
        <f t="shared" si="128"/>
        <v>9181.7336611809897</v>
      </c>
      <c r="AL189">
        <v>1</v>
      </c>
      <c r="AM189">
        <f t="shared" si="129"/>
        <v>29.4715822425444</v>
      </c>
      <c r="AN189">
        <f t="shared" si="143"/>
        <v>336.60178996733646</v>
      </c>
      <c r="AO189">
        <f t="shared" si="144"/>
        <v>-738.45367482902191</v>
      </c>
      <c r="AQ189">
        <f t="shared" si="130"/>
        <v>0.41621576625322565</v>
      </c>
      <c r="AR189">
        <f t="shared" si="131"/>
        <v>-64.513443769249974</v>
      </c>
      <c r="AT189">
        <f t="shared" si="156"/>
        <v>-492169.45335735229</v>
      </c>
      <c r="AU189">
        <f t="shared" si="157"/>
        <v>-727697.20817411272</v>
      </c>
      <c r="AV189">
        <f t="shared" si="145"/>
        <v>-2.1654647848234787</v>
      </c>
      <c r="AW189">
        <f t="shared" si="146"/>
        <v>-36386.432758352632</v>
      </c>
      <c r="AX189">
        <f t="shared" si="147"/>
        <v>-33048.398460610828</v>
      </c>
      <c r="AY189">
        <f t="shared" si="155"/>
        <v>-2.4042318547402881</v>
      </c>
      <c r="BA189">
        <f t="shared" si="132"/>
        <v>17.872339496690664</v>
      </c>
      <c r="BB189">
        <f t="shared" si="148"/>
        <v>25.043628111109946</v>
      </c>
      <c r="BC189">
        <f t="shared" si="149"/>
        <v>0.2387670699168094</v>
      </c>
      <c r="BD189">
        <f t="shared" si="133"/>
        <v>-166.3196545914297</v>
      </c>
      <c r="BF189">
        <f t="shared" si="134"/>
        <v>-6.764842214246408</v>
      </c>
      <c r="BG189">
        <f t="shared" si="135"/>
        <v>-144.34538947591727</v>
      </c>
      <c r="BH189">
        <f t="shared" si="150"/>
        <v>35.654610524082727</v>
      </c>
      <c r="BI189">
        <f t="shared" si="151"/>
        <v>35.654610524082727</v>
      </c>
      <c r="BJ189">
        <f t="shared" si="136"/>
        <v>0</v>
      </c>
      <c r="BK189">
        <f t="shared" si="152"/>
        <v>0</v>
      </c>
      <c r="BM189">
        <f t="shared" si="153"/>
        <v>-31.80847032535636</v>
      </c>
      <c r="BN189">
        <f t="shared" si="137"/>
        <v>-158.02573488448758</v>
      </c>
      <c r="BQ189" s="47">
        <f t="shared" si="154"/>
        <v>41.945588911395085</v>
      </c>
      <c r="BR189" s="529"/>
      <c r="BS189" s="529"/>
      <c r="BT189" s="529">
        <v>6165.95</v>
      </c>
      <c r="BU189" s="529">
        <v>0.46947800000000001</v>
      </c>
      <c r="BV189" s="529">
        <v>-232.05599999999998</v>
      </c>
      <c r="BW189" s="49"/>
      <c r="BY189" s="529"/>
      <c r="BZ189" s="529"/>
      <c r="CA189" s="529"/>
      <c r="CC189" s="529"/>
    </row>
    <row r="190" spans="1:81">
      <c r="A190">
        <f t="shared" si="158"/>
        <v>78000</v>
      </c>
      <c r="B190">
        <f t="shared" si="138"/>
        <v>78</v>
      </c>
      <c r="C190">
        <f t="shared" si="107"/>
        <v>1.0741133473613678</v>
      </c>
      <c r="D190">
        <f t="shared" si="108"/>
        <v>0.37365219393467264</v>
      </c>
      <c r="F190">
        <f t="shared" si="109"/>
        <v>1.5747468756797979E-3</v>
      </c>
      <c r="G190">
        <f t="shared" si="110"/>
        <v>1.1973858025170162E-2</v>
      </c>
      <c r="H190">
        <f t="shared" si="111"/>
        <v>-3.1296187919748299</v>
      </c>
      <c r="J190">
        <f t="shared" si="112"/>
        <v>15</v>
      </c>
      <c r="M190">
        <f t="shared" si="113"/>
        <v>1.9307395102384169E-2</v>
      </c>
      <c r="N190">
        <f t="shared" si="114"/>
        <v>-1.5707963250000001</v>
      </c>
      <c r="O190">
        <f t="shared" si="115"/>
        <v>38.019512978113475</v>
      </c>
      <c r="P190">
        <f t="shared" si="116"/>
        <v>1.5444910098864506</v>
      </c>
      <c r="Q190">
        <f t="shared" si="117"/>
        <v>29.678573438161056</v>
      </c>
      <c r="R190">
        <f t="shared" si="118"/>
        <v>1.537095606073555</v>
      </c>
      <c r="S190">
        <f t="shared" si="119"/>
        <v>0.92259247012444012</v>
      </c>
      <c r="T190">
        <f t="shared" si="120"/>
        <v>-0.39604879959755518</v>
      </c>
      <c r="U190">
        <f t="shared" si="121"/>
        <v>0.83778484073042392</v>
      </c>
      <c r="V190">
        <f t="shared" si="122"/>
        <v>-0.5775828873454143</v>
      </c>
      <c r="X190">
        <f t="shared" si="139"/>
        <v>-7.3866442712078015</v>
      </c>
      <c r="Y190">
        <f t="shared" si="123"/>
        <v>-127.12833375267854</v>
      </c>
      <c r="Z190">
        <f t="shared" si="140"/>
        <v>52.871666247321457</v>
      </c>
      <c r="AC190">
        <v>1</v>
      </c>
      <c r="AD190">
        <f t="shared" si="124"/>
        <v>38.006359561170001</v>
      </c>
      <c r="AE190">
        <f t="shared" si="125"/>
        <v>-1.5273711940892454E-3</v>
      </c>
      <c r="AF190">
        <f t="shared" si="126"/>
        <v>2.3436029841588002E-3</v>
      </c>
      <c r="AG190">
        <f t="shared" si="141"/>
        <v>11187.305866358416</v>
      </c>
      <c r="AH190">
        <f t="shared" si="142"/>
        <v>-7717.6760918972723</v>
      </c>
      <c r="AJ190">
        <f t="shared" si="127"/>
        <v>22100</v>
      </c>
      <c r="AK190">
        <f t="shared" si="128"/>
        <v>9240.9706525434485</v>
      </c>
      <c r="AL190">
        <v>1</v>
      </c>
      <c r="AM190">
        <f t="shared" si="129"/>
        <v>29.66172148281888</v>
      </c>
      <c r="AN190">
        <f t="shared" si="143"/>
        <v>336.28194637285702</v>
      </c>
      <c r="AO190">
        <f t="shared" si="144"/>
        <v>-733.73078046847206</v>
      </c>
      <c r="AQ190">
        <f t="shared" si="130"/>
        <v>0.41089698812507702</v>
      </c>
      <c r="AR190">
        <f t="shared" si="131"/>
        <v>-64.099930147512012</v>
      </c>
      <c r="AT190">
        <f t="shared" si="156"/>
        <v>-490105.66810601793</v>
      </c>
      <c r="AU190">
        <f t="shared" si="157"/>
        <v>-720276.69443391135</v>
      </c>
      <c r="AV190">
        <f t="shared" si="145"/>
        <v>-2.1682743624384453</v>
      </c>
      <c r="AW190">
        <f t="shared" si="146"/>
        <v>-35821.828507716134</v>
      </c>
      <c r="AX190">
        <f t="shared" si="147"/>
        <v>-32875.054114433289</v>
      </c>
      <c r="AY190">
        <f t="shared" si="155"/>
        <v>-2.3990635245758174</v>
      </c>
      <c r="BA190">
        <f t="shared" si="132"/>
        <v>17.918442866315658</v>
      </c>
      <c r="BB190">
        <f t="shared" si="148"/>
        <v>25.066005325328486</v>
      </c>
      <c r="BC190">
        <f t="shared" si="149"/>
        <v>0.23078916213737211</v>
      </c>
      <c r="BD190">
        <f t="shared" si="133"/>
        <v>-166.77675503705836</v>
      </c>
      <c r="BF190">
        <f t="shared" si="134"/>
        <v>-6.8469521193533822</v>
      </c>
      <c r="BG190">
        <f t="shared" si="135"/>
        <v>-144.68200976421983</v>
      </c>
      <c r="BH190">
        <f t="shared" si="150"/>
        <v>35.317990235780172</v>
      </c>
      <c r="BI190">
        <f t="shared" si="151"/>
        <v>35.317990235780172</v>
      </c>
      <c r="BJ190">
        <f t="shared" si="136"/>
        <v>0</v>
      </c>
      <c r="BK190">
        <f t="shared" si="152"/>
        <v>0</v>
      </c>
      <c r="BM190">
        <f t="shared" si="153"/>
        <v>-31.912957444681869</v>
      </c>
      <c r="BN190">
        <f t="shared" si="137"/>
        <v>-157.90525472716149</v>
      </c>
      <c r="BQ190" s="47">
        <f t="shared" si="154"/>
        <v>41.967966125613628</v>
      </c>
      <c r="BR190" s="529"/>
      <c r="BS190" s="529"/>
      <c r="BT190" s="529">
        <v>6309.5730000000003</v>
      </c>
      <c r="BU190" s="529">
        <v>0.36985299999999999</v>
      </c>
      <c r="BV190" s="529">
        <v>-231.369</v>
      </c>
      <c r="BW190" s="49"/>
      <c r="BY190" s="529"/>
      <c r="BZ190" s="529"/>
      <c r="CA190" s="529"/>
      <c r="CC190" s="529"/>
    </row>
    <row r="191" spans="1:81">
      <c r="A191">
        <f t="shared" si="158"/>
        <v>78500</v>
      </c>
      <c r="B191">
        <f t="shared" si="138"/>
        <v>78.5</v>
      </c>
      <c r="C191">
        <f t="shared" si="107"/>
        <v>1.0750332841958665</v>
      </c>
      <c r="D191">
        <f t="shared" si="108"/>
        <v>0.37582874157812829</v>
      </c>
      <c r="F191">
        <f t="shared" si="109"/>
        <v>1.5547200615033364E-3</v>
      </c>
      <c r="G191">
        <f t="shared" si="110"/>
        <v>1.1897356450223402E-2</v>
      </c>
      <c r="H191">
        <f t="shared" si="111"/>
        <v>-3.1296952935497768</v>
      </c>
      <c r="J191">
        <f t="shared" si="112"/>
        <v>15</v>
      </c>
      <c r="M191">
        <f t="shared" si="113"/>
        <v>1.9184418063515479E-2</v>
      </c>
      <c r="N191">
        <f t="shared" si="114"/>
        <v>-1.5707963250000001</v>
      </c>
      <c r="O191">
        <f t="shared" si="115"/>
        <v>38.263059737103852</v>
      </c>
      <c r="P191">
        <f t="shared" si="116"/>
        <v>1.5446584831298487</v>
      </c>
      <c r="Q191">
        <f t="shared" si="117"/>
        <v>29.868605401507512</v>
      </c>
      <c r="R191">
        <f t="shared" si="118"/>
        <v>1.537310099402923</v>
      </c>
      <c r="S191">
        <f t="shared" si="119"/>
        <v>0.92171076659426321</v>
      </c>
      <c r="T191">
        <f t="shared" si="120"/>
        <v>-0.39832812148722363</v>
      </c>
      <c r="U191">
        <f t="shared" si="121"/>
        <v>0.83618330350758907</v>
      </c>
      <c r="V191">
        <f t="shared" si="122"/>
        <v>-0.58050953583755827</v>
      </c>
      <c r="X191">
        <f t="shared" si="139"/>
        <v>-7.4599040900341862</v>
      </c>
      <c r="Y191">
        <f t="shared" si="123"/>
        <v>-127.28440503496165</v>
      </c>
      <c r="Z191">
        <f t="shared" si="140"/>
        <v>52.715594965038349</v>
      </c>
      <c r="AC191">
        <v>1</v>
      </c>
      <c r="AD191">
        <f t="shared" si="124"/>
        <v>38.2499900711775</v>
      </c>
      <c r="AE191">
        <f t="shared" si="125"/>
        <v>-1.5470156378659518E-3</v>
      </c>
      <c r="AF191">
        <f t="shared" si="126"/>
        <v>2.3586260802111003E-3</v>
      </c>
      <c r="AG191">
        <f t="shared" si="141"/>
        <v>11144.574700452362</v>
      </c>
      <c r="AH191">
        <f t="shared" si="142"/>
        <v>-7733.6681265444504</v>
      </c>
      <c r="AJ191">
        <f t="shared" si="127"/>
        <v>22100</v>
      </c>
      <c r="AK191">
        <f t="shared" si="128"/>
        <v>9300.2076439059056</v>
      </c>
      <c r="AL191">
        <v>1</v>
      </c>
      <c r="AM191">
        <f t="shared" si="129"/>
        <v>29.851860723093363</v>
      </c>
      <c r="AN191">
        <f t="shared" si="143"/>
        <v>335.96818582033194</v>
      </c>
      <c r="AO191">
        <f t="shared" si="144"/>
        <v>-729.06784659299433</v>
      </c>
      <c r="AQ191">
        <f t="shared" si="130"/>
        <v>0.40567951318458417</v>
      </c>
      <c r="AR191">
        <f t="shared" si="131"/>
        <v>-63.691683569979716</v>
      </c>
      <c r="AT191">
        <f t="shared" si="156"/>
        <v>-488049.21751197823</v>
      </c>
      <c r="AU191">
        <f t="shared" si="157"/>
        <v>-712954.11606392101</v>
      </c>
      <c r="AV191">
        <f t="shared" si="145"/>
        <v>-2.1710743656788396</v>
      </c>
      <c r="AW191">
        <f t="shared" si="146"/>
        <v>-35268.687152938794</v>
      </c>
      <c r="AX191">
        <f t="shared" si="147"/>
        <v>-32704.301434174282</v>
      </c>
      <c r="AY191">
        <f t="shared" si="155"/>
        <v>-2.3939031475110415</v>
      </c>
      <c r="BA191">
        <f t="shared" si="132"/>
        <v>17.96318810447687</v>
      </c>
      <c r="BB191">
        <f t="shared" si="148"/>
        <v>25.087668354095154</v>
      </c>
      <c r="BC191">
        <f t="shared" si="149"/>
        <v>0.22282878183220189</v>
      </c>
      <c r="BD191">
        <f t="shared" si="133"/>
        <v>-167.23285123238483</v>
      </c>
      <c r="BF191">
        <f t="shared" si="134"/>
        <v>-6.9290241997151174</v>
      </c>
      <c r="BG191">
        <f t="shared" si="135"/>
        <v>-145.01778218290022</v>
      </c>
      <c r="BH191">
        <f t="shared" si="150"/>
        <v>34.98221781709978</v>
      </c>
      <c r="BI191">
        <f t="shared" si="151"/>
        <v>34.98221781709978</v>
      </c>
      <c r="BJ191">
        <f t="shared" si="136"/>
        <v>0</v>
      </c>
      <c r="BK191">
        <f t="shared" si="152"/>
        <v>0</v>
      </c>
      <c r="BM191">
        <f t="shared" si="153"/>
        <v>-32.016692553810266</v>
      </c>
      <c r="BN191">
        <f t="shared" si="137"/>
        <v>-157.78493095051539</v>
      </c>
      <c r="BQ191" s="47">
        <f t="shared" si="154"/>
        <v>41.989629154380296</v>
      </c>
      <c r="BR191" s="529"/>
      <c r="BS191" s="529"/>
      <c r="BT191" s="529">
        <v>6456.5420000000004</v>
      </c>
      <c r="BU191" s="529">
        <v>0.12767600000000001</v>
      </c>
      <c r="BV191" s="529">
        <v>-230.779</v>
      </c>
      <c r="BW191" s="49"/>
      <c r="BY191" s="529"/>
      <c r="BZ191" s="529"/>
      <c r="CA191" s="529"/>
      <c r="CC191" s="529"/>
    </row>
    <row r="192" spans="1:81">
      <c r="A192">
        <f t="shared" si="158"/>
        <v>79000</v>
      </c>
      <c r="B192">
        <f t="shared" si="138"/>
        <v>79</v>
      </c>
      <c r="C192">
        <f t="shared" si="107"/>
        <v>1.0759583051269519</v>
      </c>
      <c r="D192">
        <f t="shared" si="108"/>
        <v>0.37800155706506572</v>
      </c>
      <c r="F192">
        <f t="shared" si="109"/>
        <v>1.5350730554495654E-3</v>
      </c>
      <c r="G192">
        <f t="shared" si="110"/>
        <v>1.1821827677375923E-2</v>
      </c>
      <c r="H192">
        <f t="shared" si="111"/>
        <v>-3.1297708223226244</v>
      </c>
      <c r="J192">
        <f t="shared" si="112"/>
        <v>15</v>
      </c>
      <c r="M192">
        <f t="shared" si="113"/>
        <v>1.9062997696024875E-2</v>
      </c>
      <c r="N192">
        <f t="shared" si="114"/>
        <v>-1.5707963250000001</v>
      </c>
      <c r="O192">
        <f t="shared" si="115"/>
        <v>38.506607555693996</v>
      </c>
      <c r="P192">
        <f t="shared" si="116"/>
        <v>1.5448238378976218</v>
      </c>
      <c r="Q192">
        <f t="shared" si="117"/>
        <v>30.05863872165526</v>
      </c>
      <c r="R192">
        <f t="shared" si="118"/>
        <v>1.5375218806510815</v>
      </c>
      <c r="S192">
        <f t="shared" si="119"/>
        <v>0.92082597644224473</v>
      </c>
      <c r="T192">
        <f t="shared" si="120"/>
        <v>-0.40060307913720783</v>
      </c>
      <c r="U192">
        <f t="shared" si="121"/>
        <v>0.83458077019474697</v>
      </c>
      <c r="V192">
        <f t="shared" si="122"/>
        <v>-0.58342499146207616</v>
      </c>
      <c r="X192">
        <f t="shared" si="139"/>
        <v>-7.5328510242517535</v>
      </c>
      <c r="Y192">
        <f t="shared" si="123"/>
        <v>-127.44001983053563</v>
      </c>
      <c r="Z192">
        <f t="shared" si="140"/>
        <v>52.559980169464367</v>
      </c>
      <c r="AC192">
        <v>1</v>
      </c>
      <c r="AD192">
        <f t="shared" si="124"/>
        <v>38.493620581185006</v>
      </c>
      <c r="AE192">
        <f t="shared" si="125"/>
        <v>-1.5667856052450654E-3</v>
      </c>
      <c r="AF192">
        <f t="shared" si="126"/>
        <v>2.3736491762634E-3</v>
      </c>
      <c r="AG192">
        <f t="shared" si="141"/>
        <v>11101.898798285451</v>
      </c>
      <c r="AH192">
        <f t="shared" si="142"/>
        <v>-7749.3740069025052</v>
      </c>
      <c r="AJ192">
        <f t="shared" si="127"/>
        <v>22100</v>
      </c>
      <c r="AK192">
        <f t="shared" si="128"/>
        <v>9359.4446352683644</v>
      </c>
      <c r="AL192">
        <v>1</v>
      </c>
      <c r="AM192">
        <f t="shared" si="129"/>
        <v>30.041999963367839</v>
      </c>
      <c r="AN192">
        <f t="shared" si="143"/>
        <v>335.66035508212315</v>
      </c>
      <c r="AO192">
        <f t="shared" si="144"/>
        <v>-724.46373981281386</v>
      </c>
      <c r="AQ192">
        <f t="shared" si="130"/>
        <v>0.40056078509913878</v>
      </c>
      <c r="AR192">
        <f t="shared" si="131"/>
        <v>-63.288604045663931</v>
      </c>
      <c r="AT192">
        <f t="shared" si="156"/>
        <v>-486000.07782588038</v>
      </c>
      <c r="AU192">
        <f t="shared" si="157"/>
        <v>-705727.77253595181</v>
      </c>
      <c r="AV192">
        <f t="shared" si="145"/>
        <v>-2.1738647777380455</v>
      </c>
      <c r="AW192">
        <f t="shared" si="146"/>
        <v>-34726.716395186755</v>
      </c>
      <c r="AX192">
        <f t="shared" si="147"/>
        <v>-32536.076037393588</v>
      </c>
      <c r="AY192">
        <f t="shared" si="155"/>
        <v>-2.388751365012391</v>
      </c>
      <c r="BA192">
        <f t="shared" si="132"/>
        <v>18.006579185513704</v>
      </c>
      <c r="BB192">
        <f t="shared" si="148"/>
        <v>25.108624304181902</v>
      </c>
      <c r="BC192">
        <f t="shared" si="149"/>
        <v>0.21488658727434551</v>
      </c>
      <c r="BD192">
        <f t="shared" si="133"/>
        <v>-167.68790546114175</v>
      </c>
      <c r="BF192">
        <f t="shared" si="134"/>
        <v>-7.0110606967433728</v>
      </c>
      <c r="BG192">
        <f t="shared" si="135"/>
        <v>-145.35267073437362</v>
      </c>
      <c r="BH192">
        <f t="shared" si="150"/>
        <v>34.647329265626382</v>
      </c>
      <c r="BI192">
        <f t="shared" si="151"/>
        <v>34.647329265626382</v>
      </c>
      <c r="BJ192">
        <f t="shared" si="136"/>
        <v>0</v>
      </c>
      <c r="BK192">
        <f t="shared" si="152"/>
        <v>0</v>
      </c>
      <c r="BM192">
        <f t="shared" si="153"/>
        <v>-32.119685000925273</v>
      </c>
      <c r="BN192">
        <f t="shared" si="137"/>
        <v>-157.66476527323186</v>
      </c>
      <c r="BQ192" s="47">
        <f t="shared" si="154"/>
        <v>42.01058510446704</v>
      </c>
      <c r="BR192" s="529"/>
      <c r="BS192" s="529"/>
      <c r="BT192" s="529">
        <v>6606.9340000000002</v>
      </c>
      <c r="BU192" s="529">
        <v>3.6938100000000001E-2</v>
      </c>
      <c r="BV192" s="529">
        <v>-229.60900000000001</v>
      </c>
      <c r="BW192" s="49"/>
      <c r="BY192" s="529"/>
      <c r="BZ192" s="529"/>
      <c r="CA192" s="529"/>
      <c r="CC192" s="529"/>
    </row>
    <row r="193" spans="1:81">
      <c r="A193">
        <f t="shared" si="158"/>
        <v>79500</v>
      </c>
      <c r="B193">
        <f t="shared" si="138"/>
        <v>79.5</v>
      </c>
      <c r="C193">
        <f t="shared" si="107"/>
        <v>1.0768883970532785</v>
      </c>
      <c r="D193">
        <f t="shared" si="108"/>
        <v>0.3801706295232134</v>
      </c>
      <c r="F193">
        <f t="shared" si="109"/>
        <v>1.5157963091681479E-3</v>
      </c>
      <c r="G193">
        <f t="shared" si="110"/>
        <v>1.1747253241262587E-2</v>
      </c>
      <c r="H193">
        <f t="shared" si="111"/>
        <v>-3.1298453967587374</v>
      </c>
      <c r="J193">
        <f t="shared" si="112"/>
        <v>15</v>
      </c>
      <c r="M193">
        <f t="shared" si="113"/>
        <v>1.894310462875428E-2</v>
      </c>
      <c r="N193">
        <f t="shared" si="114"/>
        <v>-1.5707963250000001</v>
      </c>
      <c r="O193">
        <f t="shared" si="115"/>
        <v>38.750156413904897</v>
      </c>
      <c r="P193">
        <f t="shared" si="116"/>
        <v>1.5449871141251763</v>
      </c>
      <c r="Q193">
        <f t="shared" si="117"/>
        <v>30.248673373032521</v>
      </c>
      <c r="R193">
        <f t="shared" si="118"/>
        <v>1.5377310009140925</v>
      </c>
      <c r="S193">
        <f t="shared" si="119"/>
        <v>0.91993813598397489</v>
      </c>
      <c r="T193">
        <f t="shared" si="120"/>
        <v>-0.40287366158984106</v>
      </c>
      <c r="U193">
        <f t="shared" si="121"/>
        <v>0.83297732800054602</v>
      </c>
      <c r="V193">
        <f t="shared" si="122"/>
        <v>-0.58632926902836768</v>
      </c>
      <c r="X193">
        <f t="shared" si="139"/>
        <v>-7.6054888783410588</v>
      </c>
      <c r="Y193">
        <f t="shared" si="123"/>
        <v>-127.59517482529236</v>
      </c>
      <c r="Z193">
        <f t="shared" si="140"/>
        <v>52.404825174707639</v>
      </c>
      <c r="AC193">
        <v>1</v>
      </c>
      <c r="AD193">
        <f t="shared" si="124"/>
        <v>38.737251091192505</v>
      </c>
      <c r="AE193">
        <f t="shared" si="125"/>
        <v>-1.5866810962265861E-3</v>
      </c>
      <c r="AF193">
        <f t="shared" si="126"/>
        <v>2.3886722723157005E-3</v>
      </c>
      <c r="AG193">
        <f t="shared" si="141"/>
        <v>11059.280628219884</v>
      </c>
      <c r="AH193">
        <f t="shared" si="142"/>
        <v>-7764.7954161080588</v>
      </c>
      <c r="AJ193">
        <f t="shared" si="127"/>
        <v>22100</v>
      </c>
      <c r="AK193">
        <f t="shared" si="128"/>
        <v>9418.6816266308215</v>
      </c>
      <c r="AL193">
        <v>1</v>
      </c>
      <c r="AM193">
        <f t="shared" si="129"/>
        <v>30.232139203642319</v>
      </c>
      <c r="AN193">
        <f t="shared" si="143"/>
        <v>335.3583057232654</v>
      </c>
      <c r="AO193">
        <f t="shared" si="144"/>
        <v>-719.91735509257524</v>
      </c>
      <c r="AQ193">
        <f t="shared" si="130"/>
        <v>0.39553832766395064</v>
      </c>
      <c r="AR193">
        <f t="shared" si="131"/>
        <v>-62.890594098568151</v>
      </c>
      <c r="AT193">
        <f t="shared" si="156"/>
        <v>-483958.2274080221</v>
      </c>
      <c r="AU193">
        <f t="shared" si="157"/>
        <v>-698596.00320507458</v>
      </c>
      <c r="AV193">
        <f t="shared" si="145"/>
        <v>-2.1766455832402771</v>
      </c>
      <c r="AW193">
        <f t="shared" si="146"/>
        <v>-34195.633042538509</v>
      </c>
      <c r="AX193">
        <f t="shared" si="147"/>
        <v>-32370.315586243851</v>
      </c>
      <c r="AY193">
        <f t="shared" si="155"/>
        <v>-2.3836088093995853</v>
      </c>
      <c r="BA193">
        <f t="shared" si="132"/>
        <v>18.048620568864489</v>
      </c>
      <c r="BB193">
        <f t="shared" si="148"/>
        <v>25.128880299655542</v>
      </c>
      <c r="BC193">
        <f t="shared" si="149"/>
        <v>0.20696322615930818</v>
      </c>
      <c r="BD193">
        <f t="shared" si="133"/>
        <v>-168.1418806131102</v>
      </c>
      <c r="BF193">
        <f t="shared" si="134"/>
        <v>-7.0930636604812092</v>
      </c>
      <c r="BG193">
        <f t="shared" si="135"/>
        <v>-145.68663998934389</v>
      </c>
      <c r="BH193">
        <f t="shared" si="150"/>
        <v>34.313360010656112</v>
      </c>
      <c r="BI193">
        <f t="shared" si="151"/>
        <v>34.313360010656112</v>
      </c>
      <c r="BJ193">
        <f t="shared" si="136"/>
        <v>0</v>
      </c>
      <c r="BK193">
        <f t="shared" si="152"/>
        <v>0</v>
      </c>
      <c r="BM193">
        <f t="shared" si="153"/>
        <v>-32.221943960136755</v>
      </c>
      <c r="BN193">
        <f t="shared" si="137"/>
        <v>-157.54475937623369</v>
      </c>
      <c r="BQ193" s="47">
        <f t="shared" si="154"/>
        <v>42.030841099940673</v>
      </c>
      <c r="BR193" s="529"/>
      <c r="BS193" s="529"/>
      <c r="BT193" s="529">
        <v>6760.83</v>
      </c>
      <c r="BU193" s="529">
        <v>-4.9019100000000003E-2</v>
      </c>
      <c r="BV193" s="529">
        <v>-229.1</v>
      </c>
      <c r="BW193" s="49"/>
      <c r="BY193" s="529"/>
      <c r="BZ193" s="529"/>
      <c r="CA193" s="529"/>
      <c r="CC193" s="529"/>
    </row>
    <row r="194" spans="1:81">
      <c r="A194">
        <f t="shared" si="158"/>
        <v>80000</v>
      </c>
      <c r="B194">
        <f t="shared" si="138"/>
        <v>80</v>
      </c>
      <c r="C194">
        <f t="shared" si="107"/>
        <v>1.0778235468470252</v>
      </c>
      <c r="D194">
        <f t="shared" si="108"/>
        <v>0.38233594825860812</v>
      </c>
      <c r="F194">
        <f t="shared" si="109"/>
        <v>1.4968805726327246E-3</v>
      </c>
      <c r="G194">
        <f t="shared" si="110"/>
        <v>1.1673615141586442E-2</v>
      </c>
      <c r="H194">
        <f t="shared" si="111"/>
        <v>-3.1299190348584136</v>
      </c>
      <c r="J194">
        <f t="shared" si="112"/>
        <v>15</v>
      </c>
      <c r="M194">
        <f t="shared" si="113"/>
        <v>1.8824710224824563E-2</v>
      </c>
      <c r="N194">
        <f t="shared" si="114"/>
        <v>-1.5707963250000001</v>
      </c>
      <c r="O194">
        <f t="shared" si="115"/>
        <v>38.993706292256611</v>
      </c>
      <c r="P194">
        <f t="shared" si="116"/>
        <v>1.5451483507506407</v>
      </c>
      <c r="Q194">
        <f t="shared" si="117"/>
        <v>30.438709330705933</v>
      </c>
      <c r="R194">
        <f t="shared" si="118"/>
        <v>1.537937510012944</v>
      </c>
      <c r="S194">
        <f t="shared" si="119"/>
        <v>0.91904728145786385</v>
      </c>
      <c r="T194">
        <f t="shared" si="120"/>
        <v>-0.40513985811001374</v>
      </c>
      <c r="U194">
        <f t="shared" si="121"/>
        <v>0.83137306306775571</v>
      </c>
      <c r="V194">
        <f t="shared" si="122"/>
        <v>-0.58922238398676874</v>
      </c>
      <c r="X194">
        <f t="shared" si="139"/>
        <v>-7.6778213746281319</v>
      </c>
      <c r="Y194">
        <f t="shared" si="123"/>
        <v>-127.74986684793161</v>
      </c>
      <c r="Z194">
        <f t="shared" si="140"/>
        <v>52.250133152068386</v>
      </c>
      <c r="AC194">
        <v>1</v>
      </c>
      <c r="AD194">
        <f t="shared" si="124"/>
        <v>38.980881601200004</v>
      </c>
      <c r="AE194">
        <f t="shared" si="125"/>
        <v>-1.6067021108105142E-3</v>
      </c>
      <c r="AF194">
        <f t="shared" si="126"/>
        <v>2.4036953683680001E-3</v>
      </c>
      <c r="AG194">
        <f t="shared" si="141"/>
        <v>11016.722612623236</v>
      </c>
      <c r="AH194">
        <f t="shared" si="142"/>
        <v>-7779.9340640293076</v>
      </c>
      <c r="AJ194">
        <f t="shared" si="127"/>
        <v>22100</v>
      </c>
      <c r="AK194">
        <f t="shared" si="128"/>
        <v>9477.9186179932803</v>
      </c>
      <c r="AL194">
        <v>1</v>
      </c>
      <c r="AM194">
        <f t="shared" si="129"/>
        <v>30.422278443916802</v>
      </c>
      <c r="AN194">
        <f t="shared" si="143"/>
        <v>335.06189392276343</v>
      </c>
      <c r="AO194">
        <f t="shared" si="144"/>
        <v>-715.42761487114467</v>
      </c>
      <c r="AQ194">
        <f t="shared" si="130"/>
        <v>0.39060974180696068</v>
      </c>
      <c r="AR194">
        <f t="shared" si="131"/>
        <v>-62.49755868911371</v>
      </c>
      <c r="AT194">
        <f t="shared" si="156"/>
        <v>-481923.64658883092</v>
      </c>
      <c r="AU194">
        <f t="shared" si="157"/>
        <v>-691557.18608013249</v>
      </c>
      <c r="AV194">
        <f t="shared" si="145"/>
        <v>-2.1794167682042223</v>
      </c>
      <c r="AW194">
        <f t="shared" si="146"/>
        <v>-33675.162671998267</v>
      </c>
      <c r="AX194">
        <f t="shared" si="147"/>
        <v>-32206.959709899806</v>
      </c>
      <c r="AY194">
        <f t="shared" si="155"/>
        <v>-2.3784761035941395</v>
      </c>
      <c r="BA194">
        <f t="shared" si="132"/>
        <v>18.089317191477146</v>
      </c>
      <c r="BB194">
        <f t="shared" si="148"/>
        <v>25.148443481397184</v>
      </c>
      <c r="BC194">
        <f t="shared" si="149"/>
        <v>0.19905933538991727</v>
      </c>
      <c r="BD194">
        <f t="shared" si="133"/>
        <v>-168.5947401964462</v>
      </c>
      <c r="BF194">
        <f t="shared" si="134"/>
        <v>-7.1750349544700889</v>
      </c>
      <c r="BG194">
        <f t="shared" si="135"/>
        <v>-146.01965510002699</v>
      </c>
      <c r="BH194">
        <f t="shared" si="150"/>
        <v>33.980344899973005</v>
      </c>
      <c r="BI194">
        <f t="shared" si="151"/>
        <v>33.980344899973005</v>
      </c>
      <c r="BJ194">
        <f t="shared" si="136"/>
        <v>0</v>
      </c>
      <c r="BK194">
        <f t="shared" si="152"/>
        <v>0</v>
      </c>
      <c r="BM194">
        <f t="shared" si="153"/>
        <v>-32.323478435867273</v>
      </c>
      <c r="BN194">
        <f t="shared" si="137"/>
        <v>-157.42491490358083</v>
      </c>
      <c r="BQ194" s="47">
        <f t="shared" si="154"/>
        <v>42.050404281682319</v>
      </c>
      <c r="BR194" s="529"/>
      <c r="BS194" s="529"/>
      <c r="BT194" s="529">
        <v>6918.31</v>
      </c>
      <c r="BU194" s="529">
        <v>-0.21798300000000001</v>
      </c>
      <c r="BV194" s="529">
        <v>-228.376</v>
      </c>
      <c r="BW194" s="49"/>
      <c r="BY194" s="529"/>
      <c r="BZ194" s="529"/>
      <c r="CA194" s="529"/>
      <c r="CC194" s="529"/>
    </row>
    <row r="195" spans="1:81">
      <c r="A195">
        <f t="shared" si="158"/>
        <v>80500</v>
      </c>
      <c r="B195">
        <f t="shared" si="138"/>
        <v>80.5</v>
      </c>
      <c r="C195">
        <f t="shared" si="107"/>
        <v>1.0787637413546245</v>
      </c>
      <c r="D195">
        <f t="shared" si="108"/>
        <v>0.38449750275506417</v>
      </c>
      <c r="F195">
        <f t="shared" si="109"/>
        <v>1.4783168830203365E-3</v>
      </c>
      <c r="G195">
        <f t="shared" si="110"/>
        <v>1.1600895828548376E-2</v>
      </c>
      <c r="H195">
        <f t="shared" si="111"/>
        <v>-3.1299917541714519</v>
      </c>
      <c r="J195">
        <f t="shared" si="112"/>
        <v>15</v>
      </c>
      <c r="M195">
        <f t="shared" si="113"/>
        <v>1.8707786558831863E-2</v>
      </c>
      <c r="N195">
        <f t="shared" si="114"/>
        <v>-1.5707963250000001</v>
      </c>
      <c r="O195">
        <f t="shared" si="115"/>
        <v>39.237257171752766</v>
      </c>
      <c r="P195">
        <f t="shared" si="116"/>
        <v>1.5453075857457981</v>
      </c>
      <c r="Q195">
        <f t="shared" si="117"/>
        <v>30.628746570360772</v>
      </c>
      <c r="R195">
        <f t="shared" si="118"/>
        <v>1.5381414565330627</v>
      </c>
      <c r="S195">
        <f t="shared" si="119"/>
        <v>0.91815344902229479</v>
      </c>
      <c r="T195">
        <f t="shared" si="120"/>
        <v>-0.40740165818424356</v>
      </c>
      <c r="U195">
        <f t="shared" si="121"/>
        <v>0.8297680604749762</v>
      </c>
      <c r="V195">
        <f t="shared" si="122"/>
        <v>-0.59210435241653436</v>
      </c>
      <c r="X195">
        <f t="shared" si="139"/>
        <v>-7.7498521555438682</v>
      </c>
      <c r="Y195">
        <f t="shared" si="123"/>
        <v>-127.90409286604833</v>
      </c>
      <c r="Z195">
        <f t="shared" si="140"/>
        <v>52.09590713395167</v>
      </c>
      <c r="AC195">
        <v>1</v>
      </c>
      <c r="AD195">
        <f t="shared" si="124"/>
        <v>39.224512111207503</v>
      </c>
      <c r="AE195">
        <f t="shared" si="125"/>
        <v>-1.6268486489968493E-3</v>
      </c>
      <c r="AF195">
        <f t="shared" si="126"/>
        <v>2.4187184644203002E-3</v>
      </c>
      <c r="AG195">
        <f t="shared" si="141"/>
        <v>10974.227128162296</v>
      </c>
      <c r="AH195">
        <f t="shared" si="142"/>
        <v>-7794.7916859989091</v>
      </c>
      <c r="AJ195">
        <f t="shared" si="127"/>
        <v>22100</v>
      </c>
      <c r="AK195">
        <f t="shared" si="128"/>
        <v>9537.1556093557392</v>
      </c>
      <c r="AL195">
        <v>1</v>
      </c>
      <c r="AM195">
        <f t="shared" si="129"/>
        <v>30.612417684191282</v>
      </c>
      <c r="AN195">
        <f t="shared" si="143"/>
        <v>334.77098030261078</v>
      </c>
      <c r="AO195">
        <f t="shared" si="144"/>
        <v>-710.99346821395568</v>
      </c>
      <c r="AQ195">
        <f t="shared" si="130"/>
        <v>0.38577270272355529</v>
      </c>
      <c r="AR195">
        <f t="shared" si="131"/>
        <v>-62.109405138492399</v>
      </c>
      <c r="AT195">
        <f t="shared" si="156"/>
        <v>-479896.31753632514</v>
      </c>
      <c r="AU195">
        <f t="shared" si="157"/>
        <v>-684609.73664074088</v>
      </c>
      <c r="AV195">
        <f t="shared" si="145"/>
        <v>-2.1821783200076634</v>
      </c>
      <c r="AW195">
        <f t="shared" si="146"/>
        <v>-33165.039306084363</v>
      </c>
      <c r="AX195">
        <f t="shared" si="147"/>
        <v>-32045.949930433584</v>
      </c>
      <c r="AY195">
        <f t="shared" si="155"/>
        <v>-2.3733538608783387</v>
      </c>
      <c r="BA195">
        <f t="shared" si="132"/>
        <v>18.128674459731791</v>
      </c>
      <c r="BB195">
        <f t="shared" si="148"/>
        <v>25.167321006488518</v>
      </c>
      <c r="BC195">
        <f t="shared" si="149"/>
        <v>0.19117554087067523</v>
      </c>
      <c r="BD195">
        <f t="shared" si="133"/>
        <v>-169.04644834946328</v>
      </c>
      <c r="BF195">
        <f t="shared" si="134"/>
        <v>-7.2569762606119941</v>
      </c>
      <c r="BG195">
        <f t="shared" si="135"/>
        <v>-146.35168181279906</v>
      </c>
      <c r="BH195">
        <f t="shared" si="150"/>
        <v>33.648318187200942</v>
      </c>
      <c r="BI195">
        <f t="shared" si="151"/>
        <v>33.648318187200942</v>
      </c>
      <c r="BJ195">
        <f t="shared" si="136"/>
        <v>0</v>
      </c>
      <c r="BK195">
        <f t="shared" si="152"/>
        <v>0</v>
      </c>
      <c r="BM195">
        <f t="shared" si="153"/>
        <v>-32.424297267100513</v>
      </c>
      <c r="BN195">
        <f t="shared" si="137"/>
        <v>-157.30523346333578</v>
      </c>
      <c r="BQ195" s="47">
        <f t="shared" si="154"/>
        <v>42.069281806773652</v>
      </c>
      <c r="BR195" s="529"/>
      <c r="BS195" s="529"/>
      <c r="BT195" s="529">
        <v>7079.4579999999996</v>
      </c>
      <c r="BU195" s="529">
        <v>-0.38401400000000002</v>
      </c>
      <c r="BV195" s="529">
        <v>-227.04400000000001</v>
      </c>
      <c r="BW195" s="49"/>
      <c r="BY195" s="529"/>
      <c r="BZ195" s="529"/>
      <c r="CA195" s="529"/>
      <c r="CC195" s="529"/>
    </row>
    <row r="196" spans="1:81">
      <c r="A196">
        <f t="shared" si="158"/>
        <v>81000</v>
      </c>
      <c r="B196">
        <f t="shared" si="138"/>
        <v>81</v>
      </c>
      <c r="C196">
        <f t="shared" si="107"/>
        <v>1.0797089673974918</v>
      </c>
      <c r="D196">
        <f t="shared" si="108"/>
        <v>0.3866552826736272</v>
      </c>
      <c r="F196">
        <f t="shared" si="109"/>
        <v>1.4600965540717094E-3</v>
      </c>
      <c r="G196">
        <f t="shared" si="110"/>
        <v>1.1529078188821913E-2</v>
      </c>
      <c r="H196">
        <f t="shared" si="111"/>
        <v>-3.1300635718111782</v>
      </c>
      <c r="J196">
        <f t="shared" si="112"/>
        <v>15</v>
      </c>
      <c r="M196">
        <f t="shared" si="113"/>
        <v>1.8592306394888458E-2</v>
      </c>
      <c r="N196">
        <f t="shared" si="114"/>
        <v>-1.5707963250000001</v>
      </c>
      <c r="O196">
        <f t="shared" si="115"/>
        <v>39.480809033865661</v>
      </c>
      <c r="P196">
        <f t="shared" si="116"/>
        <v>1.5454648561458713</v>
      </c>
      <c r="Q196">
        <f t="shared" si="117"/>
        <v>30.818785068281866</v>
      </c>
      <c r="R196">
        <f t="shared" si="118"/>
        <v>1.5383428878623671</v>
      </c>
      <c r="S196">
        <f t="shared" si="119"/>
        <v>0.91725667475281902</v>
      </c>
      <c r="T196">
        <f t="shared" si="120"/>
        <v>-0.40965905151972748</v>
      </c>
      <c r="U196">
        <f t="shared" si="121"/>
        <v>0.82816240423863108</v>
      </c>
      <c r="V196">
        <f t="shared" si="122"/>
        <v>-0.59497519101390006</v>
      </c>
      <c r="X196">
        <f t="shared" si="139"/>
        <v>-7.8215847858107495</v>
      </c>
      <c r="Y196">
        <f t="shared" si="123"/>
        <v>-128.05784998234228</v>
      </c>
      <c r="Z196">
        <f t="shared" si="140"/>
        <v>51.942150017657724</v>
      </c>
      <c r="AC196">
        <v>1</v>
      </c>
      <c r="AD196">
        <f t="shared" si="124"/>
        <v>39.468142621215001</v>
      </c>
      <c r="AE196">
        <f t="shared" si="125"/>
        <v>-1.6471207107855912E-3</v>
      </c>
      <c r="AF196">
        <f t="shared" si="126"/>
        <v>2.4337415604726003E-3</v>
      </c>
      <c r="AG196">
        <f t="shared" si="141"/>
        <v>10931.79650610661</v>
      </c>
      <c r="AH196">
        <f t="shared" si="142"/>
        <v>-7809.3700415795374</v>
      </c>
      <c r="AJ196">
        <f t="shared" si="127"/>
        <v>22100</v>
      </c>
      <c r="AK196">
        <f t="shared" si="128"/>
        <v>9596.3926007181963</v>
      </c>
      <c r="AL196">
        <v>1</v>
      </c>
      <c r="AM196">
        <f t="shared" si="129"/>
        <v>30.802556924465758</v>
      </c>
      <c r="AN196">
        <f t="shared" si="143"/>
        <v>334.48542976415291</v>
      </c>
      <c r="AO196">
        <f t="shared" si="144"/>
        <v>-706.61388999651535</v>
      </c>
      <c r="AQ196">
        <f t="shared" si="130"/>
        <v>0.38102495713469231</v>
      </c>
      <c r="AR196">
        <f t="shared" si="131"/>
        <v>-61.726043055820156</v>
      </c>
      <c r="AT196">
        <f t="shared" si="156"/>
        <v>-477876.22413022612</v>
      </c>
      <c r="AU196">
        <f t="shared" si="157"/>
        <v>-677752.10669874272</v>
      </c>
      <c r="AV196">
        <f t="shared" si="145"/>
        <v>-2.1849302273530409</v>
      </c>
      <c r="AW196">
        <f t="shared" si="146"/>
        <v>-32665.005103278952</v>
      </c>
      <c r="AX196">
        <f t="shared" si="147"/>
        <v>-31887.229591960429</v>
      </c>
      <c r="AY196">
        <f t="shared" si="155"/>
        <v>-2.3682426846649851</v>
      </c>
      <c r="BA196">
        <f t="shared" si="132"/>
        <v>18.166698240896554</v>
      </c>
      <c r="BB196">
        <f t="shared" si="148"/>
        <v>25.185520047471961</v>
      </c>
      <c r="BC196">
        <f t="shared" si="149"/>
        <v>0.18331245731194423</v>
      </c>
      <c r="BD196">
        <f t="shared" si="133"/>
        <v>-169.49696985185207</v>
      </c>
      <c r="BF196">
        <f t="shared" si="134"/>
        <v>-7.3388890840246486</v>
      </c>
      <c r="BG196">
        <f t="shared" si="135"/>
        <v>-146.68268648025042</v>
      </c>
      <c r="BH196">
        <f t="shared" si="150"/>
        <v>33.317313519749575</v>
      </c>
      <c r="BI196">
        <f t="shared" si="151"/>
        <v>33.317313519749575</v>
      </c>
      <c r="BJ196">
        <f t="shared" si="136"/>
        <v>0</v>
      </c>
      <c r="BK196">
        <f t="shared" si="152"/>
        <v>0</v>
      </c>
      <c r="BM196">
        <f t="shared" si="153"/>
        <v>-32.524409131496611</v>
      </c>
      <c r="BN196">
        <f t="shared" si="137"/>
        <v>-157.18571662839838</v>
      </c>
      <c r="BQ196" s="47">
        <f t="shared" si="154"/>
        <v>42.087480847757099</v>
      </c>
      <c r="BR196" s="529"/>
      <c r="BS196" s="529"/>
      <c r="BT196" s="529">
        <v>7244.36</v>
      </c>
      <c r="BU196" s="529">
        <v>-0.57486000000000004</v>
      </c>
      <c r="BV196" s="529">
        <v>-226.239</v>
      </c>
      <c r="BW196" s="49"/>
      <c r="BY196" s="529"/>
      <c r="BZ196" s="529"/>
      <c r="CA196" s="529"/>
      <c r="CC196" s="529"/>
    </row>
    <row r="197" spans="1:81">
      <c r="A197">
        <f t="shared" si="158"/>
        <v>81500</v>
      </c>
      <c r="B197">
        <f t="shared" si="138"/>
        <v>81.5</v>
      </c>
      <c r="C197">
        <f t="shared" si="107"/>
        <v>1.0806592117727463</v>
      </c>
      <c r="D197">
        <f t="shared" si="108"/>
        <v>0.38880927785201413</v>
      </c>
      <c r="F197">
        <f t="shared" si="109"/>
        <v>1.4422111659087779E-3</v>
      </c>
      <c r="G197">
        <f t="shared" si="110"/>
        <v>1.1458145532049456E-2</v>
      </c>
      <c r="H197">
        <f t="shared" si="111"/>
        <v>-3.1301345044679509</v>
      </c>
      <c r="J197">
        <f t="shared" si="112"/>
        <v>15</v>
      </c>
      <c r="M197">
        <f t="shared" si="113"/>
        <v>1.8478243165471964E-2</v>
      </c>
      <c r="N197">
        <f t="shared" si="114"/>
        <v>-1.5707963250000001</v>
      </c>
      <c r="O197">
        <f t="shared" si="115"/>
        <v>39.724361860521888</v>
      </c>
      <c r="P197">
        <f t="shared" si="116"/>
        <v>1.5456201980782154</v>
      </c>
      <c r="Q197">
        <f t="shared" si="117"/>
        <v>31.008824801335251</v>
      </c>
      <c r="R197">
        <f t="shared" si="118"/>
        <v>1.5385418502279229</v>
      </c>
      <c r="S197">
        <f t="shared" si="119"/>
        <v>0.91635699463939579</v>
      </c>
      <c r="T197">
        <f t="shared" si="120"/>
        <v>-0.41191202804337684</v>
      </c>
      <c r="U197">
        <f t="shared" si="121"/>
        <v>0.82655617731523678</v>
      </c>
      <c r="V197">
        <f t="shared" si="122"/>
        <v>-0.59783491708022307</v>
      </c>
      <c r="X197">
        <f t="shared" si="139"/>
        <v>-7.8930227545595208</v>
      </c>
      <c r="Y197">
        <f t="shared" si="123"/>
        <v>-128.21113543094509</v>
      </c>
      <c r="Z197">
        <f t="shared" si="140"/>
        <v>51.788864569054908</v>
      </c>
      <c r="AC197">
        <v>1</v>
      </c>
      <c r="AD197">
        <f t="shared" si="124"/>
        <v>39.711773131222508</v>
      </c>
      <c r="AE197">
        <f t="shared" si="125"/>
        <v>-1.6675182961767405E-3</v>
      </c>
      <c r="AF197">
        <f t="shared" si="126"/>
        <v>2.4487646565249004E-3</v>
      </c>
      <c r="AG197">
        <f t="shared" si="141"/>
        <v>10889.433032641351</v>
      </c>
      <c r="AH197">
        <f t="shared" si="142"/>
        <v>-7823.6709133612112</v>
      </c>
      <c r="AJ197">
        <f t="shared" si="127"/>
        <v>22100</v>
      </c>
      <c r="AK197">
        <f t="shared" si="128"/>
        <v>9655.6295920806551</v>
      </c>
      <c r="AL197">
        <v>1</v>
      </c>
      <c r="AM197">
        <f t="shared" si="129"/>
        <v>30.992696164740241</v>
      </c>
      <c r="AN197">
        <f t="shared" si="143"/>
        <v>334.20511133143634</v>
      </c>
      <c r="AO197">
        <f t="shared" si="144"/>
        <v>-702.2878801177377</v>
      </c>
      <c r="AQ197">
        <f t="shared" si="130"/>
        <v>0.37636432066240122</v>
      </c>
      <c r="AR197">
        <f t="shared" si="131"/>
        <v>-61.3473842679714</v>
      </c>
      <c r="AT197">
        <f t="shared" si="156"/>
        <v>-475863.35184239224</v>
      </c>
      <c r="AU197">
        <f t="shared" si="157"/>
        <v>-670982.7833021835</v>
      </c>
      <c r="AV197">
        <f t="shared" si="145"/>
        <v>-2.1876724802339247</v>
      </c>
      <c r="AW197">
        <f t="shared" si="146"/>
        <v>-32174.810061662472</v>
      </c>
      <c r="AX197">
        <f t="shared" si="147"/>
        <v>-31730.74379288857</v>
      </c>
      <c r="AY197">
        <f t="shared" si="155"/>
        <v>-2.3631431682781994</v>
      </c>
      <c r="BA197">
        <f t="shared" si="132"/>
        <v>18.203394854139201</v>
      </c>
      <c r="BB197">
        <f t="shared" si="148"/>
        <v>25.20304779149216</v>
      </c>
      <c r="BC197">
        <f t="shared" si="149"/>
        <v>0.17547068804427468</v>
      </c>
      <c r="BD197">
        <f t="shared" si="133"/>
        <v>-169.94627013531831</v>
      </c>
      <c r="BF197">
        <f t="shared" si="134"/>
        <v>-7.4207747578874459</v>
      </c>
      <c r="BG197">
        <f t="shared" si="135"/>
        <v>-147.01263607262996</v>
      </c>
      <c r="BH197">
        <f t="shared" si="150"/>
        <v>32.987363927370041</v>
      </c>
      <c r="BI197">
        <f t="shared" si="151"/>
        <v>32.987363927370041</v>
      </c>
      <c r="BJ197">
        <f t="shared" si="136"/>
        <v>0</v>
      </c>
      <c r="BK197">
        <f t="shared" si="152"/>
        <v>0</v>
      </c>
      <c r="BM197">
        <f t="shared" si="153"/>
        <v>-32.623822549379604</v>
      </c>
      <c r="BN197">
        <f t="shared" si="137"/>
        <v>-157.06636593731164</v>
      </c>
      <c r="BQ197" s="47">
        <f t="shared" si="154"/>
        <v>42.105008591777292</v>
      </c>
      <c r="BR197" s="529"/>
      <c r="BS197" s="529"/>
      <c r="BT197" s="529">
        <v>7413.1019999999999</v>
      </c>
      <c r="BU197" s="529">
        <v>-0.73329999999999995</v>
      </c>
      <c r="BV197" s="529">
        <v>-225.834</v>
      </c>
      <c r="BW197" s="49"/>
      <c r="BY197" s="529"/>
      <c r="BZ197" s="529"/>
      <c r="CA197" s="529"/>
      <c r="CC197" s="529"/>
    </row>
    <row r="198" spans="1:81">
      <c r="A198">
        <f t="shared" si="158"/>
        <v>82000</v>
      </c>
      <c r="B198">
        <f t="shared" si="138"/>
        <v>82</v>
      </c>
      <c r="C198">
        <f t="shared" si="107"/>
        <v>1.0816144612539316</v>
      </c>
      <c r="D198">
        <f t="shared" si="108"/>
        <v>0.39095947830403849</v>
      </c>
      <c r="F198">
        <f t="shared" si="109"/>
        <v>1.4246525552871177E-3</v>
      </c>
      <c r="G198">
        <f t="shared" si="110"/>
        <v>1.1388081577837392E-2</v>
      </c>
      <c r="H198">
        <f t="shared" si="111"/>
        <v>-3.1302045684221627</v>
      </c>
      <c r="J198">
        <f t="shared" si="112"/>
        <v>15</v>
      </c>
      <c r="M198">
        <f t="shared" si="113"/>
        <v>1.8365570951048356E-2</v>
      </c>
      <c r="N198">
        <f t="shared" si="114"/>
        <v>-1.5707963250000001</v>
      </c>
      <c r="O198">
        <f t="shared" si="115"/>
        <v>39.967915634088499</v>
      </c>
      <c r="P198">
        <f t="shared" si="116"/>
        <v>1.5457736467899619</v>
      </c>
      <c r="Q198">
        <f t="shared" si="117"/>
        <v>31.198865746950467</v>
      </c>
      <c r="R198">
        <f t="shared" si="118"/>
        <v>1.5387383887312611</v>
      </c>
      <c r="S198">
        <f t="shared" si="119"/>
        <v>0.9154544445836712</v>
      </c>
      <c r="T198">
        <f t="shared" si="120"/>
        <v>-0.4141605779008346</v>
      </c>
      <c r="U198">
        <f t="shared" si="121"/>
        <v>0.82494946160393756</v>
      </c>
      <c r="V198">
        <f t="shared" si="122"/>
        <v>-0.60068354851020855</v>
      </c>
      <c r="X198">
        <f t="shared" si="139"/>
        <v>-7.9641694773785172</v>
      </c>
      <c r="Y198">
        <f t="shared" si="123"/>
        <v>-128.36394657385958</v>
      </c>
      <c r="Z198">
        <f t="shared" si="140"/>
        <v>51.636053426140421</v>
      </c>
      <c r="AC198">
        <v>1</v>
      </c>
      <c r="AD198">
        <f t="shared" si="124"/>
        <v>39.955403641229999</v>
      </c>
      <c r="AE198">
        <f t="shared" si="125"/>
        <v>-1.6880414051702966E-3</v>
      </c>
      <c r="AF198">
        <f t="shared" si="126"/>
        <v>2.4637877525772005E-3</v>
      </c>
      <c r="AG198">
        <f t="shared" si="141"/>
        <v>10847.138949189046</v>
      </c>
      <c r="AH198">
        <f t="shared" si="142"/>
        <v>-7837.6961057896388</v>
      </c>
      <c r="AJ198">
        <f t="shared" si="127"/>
        <v>22100</v>
      </c>
      <c r="AK198">
        <f t="shared" si="128"/>
        <v>9714.8665834431122</v>
      </c>
      <c r="AL198">
        <v>1</v>
      </c>
      <c r="AM198">
        <f t="shared" si="129"/>
        <v>31.182835405014721</v>
      </c>
      <c r="AN198">
        <f t="shared" si="143"/>
        <v>333.92989800120591</v>
      </c>
      <c r="AO198">
        <f t="shared" si="144"/>
        <v>-698.01446274184696</v>
      </c>
      <c r="AQ198">
        <f t="shared" si="130"/>
        <v>0.37178867531694987</v>
      </c>
      <c r="AR198">
        <f t="shared" si="131"/>
        <v>-60.973342751979771</v>
      </c>
      <c r="AT198">
        <f t="shared" si="156"/>
        <v>-473857.68762327085</v>
      </c>
      <c r="AU198">
        <f t="shared" si="157"/>
        <v>-664300.28767996177</v>
      </c>
      <c r="AV198">
        <f t="shared" si="145"/>
        <v>-2.1904050699023578</v>
      </c>
      <c r="AW198">
        <f t="shared" si="146"/>
        <v>-31694.211735094937</v>
      </c>
      <c r="AX198">
        <f t="shared" si="147"/>
        <v>-31576.439321116959</v>
      </c>
      <c r="AY198">
        <f t="shared" si="155"/>
        <v>-2.3580558947455077</v>
      </c>
      <c r="BA198">
        <f t="shared" si="132"/>
        <v>18.238771061117184</v>
      </c>
      <c r="BB198">
        <f t="shared" si="148"/>
        <v>25.21991143932577</v>
      </c>
      <c r="BC198">
        <f t="shared" si="149"/>
        <v>0.16765082484314986</v>
      </c>
      <c r="BD198">
        <f t="shared" si="133"/>
        <v>-170.3943152936244</v>
      </c>
      <c r="BF198">
        <f t="shared" si="134"/>
        <v>-7.5026344482757414</v>
      </c>
      <c r="BG198">
        <f t="shared" si="135"/>
        <v>-147.34149818866405</v>
      </c>
      <c r="BH198">
        <f t="shared" si="150"/>
        <v>32.658501811335952</v>
      </c>
      <c r="BI198">
        <f t="shared" si="151"/>
        <v>32.658501811335952</v>
      </c>
      <c r="BJ198">
        <f t="shared" si="136"/>
        <v>0</v>
      </c>
      <c r="BK198">
        <f t="shared" si="152"/>
        <v>0</v>
      </c>
      <c r="BM198">
        <f t="shared" si="153"/>
        <v>-32.722545887601513</v>
      </c>
      <c r="BN198">
        <f t="shared" si="137"/>
        <v>-156.94718289503965</v>
      </c>
      <c r="BQ198" s="47">
        <f t="shared" si="154"/>
        <v>42.121872239610909</v>
      </c>
      <c r="BR198" s="529"/>
      <c r="BS198" s="529"/>
      <c r="BT198" s="529">
        <v>7585.7759999999998</v>
      </c>
      <c r="BU198" s="529">
        <v>-0.87090199999999995</v>
      </c>
      <c r="BV198" s="529">
        <v>-224.429</v>
      </c>
      <c r="BW198" s="49"/>
      <c r="BY198" s="529"/>
      <c r="BZ198" s="529"/>
      <c r="CA198" s="529"/>
      <c r="CC198" s="529"/>
    </row>
    <row r="199" spans="1:81">
      <c r="A199">
        <f t="shared" si="158"/>
        <v>82500</v>
      </c>
      <c r="B199">
        <f t="shared" si="138"/>
        <v>82.5</v>
      </c>
      <c r="C199">
        <f t="shared" si="107"/>
        <v>1.0825747025917321</v>
      </c>
      <c r="D199">
        <f t="shared" si="108"/>
        <v>0.3931058742190221</v>
      </c>
      <c r="F199">
        <f t="shared" si="109"/>
        <v>1.4074128062621729E-3</v>
      </c>
      <c r="G199">
        <f t="shared" si="110"/>
        <v>1.131887044322879E-2</v>
      </c>
      <c r="H199">
        <f t="shared" si="111"/>
        <v>-3.1302737795567714</v>
      </c>
      <c r="J199">
        <f t="shared" si="112"/>
        <v>15</v>
      </c>
      <c r="M199">
        <f t="shared" si="113"/>
        <v>1.8254264460435942E-2</v>
      </c>
      <c r="N199">
        <f t="shared" si="114"/>
        <v>-1.5707963250000001</v>
      </c>
      <c r="O199">
        <f t="shared" si="115"/>
        <v>40.2114703373597</v>
      </c>
      <c r="P199">
        <f t="shared" si="116"/>
        <v>1.545925236674657</v>
      </c>
      <c r="Q199">
        <f t="shared" si="117"/>
        <v>31.388907883103524</v>
      </c>
      <c r="R199">
        <f t="shared" si="118"/>
        <v>1.5389325473824156</v>
      </c>
      <c r="S199">
        <f t="shared" si="119"/>
        <v>0.91454906039630202</v>
      </c>
      <c r="T199">
        <f t="shared" si="120"/>
        <v>-0.41640469145547654</v>
      </c>
      <c r="U199">
        <f t="shared" si="121"/>
        <v>0.82334233794930023</v>
      </c>
      <c r="V199">
        <f t="shared" si="122"/>
        <v>-0.60352110378021928</v>
      </c>
      <c r="X199">
        <f t="shared" si="139"/>
        <v>-8.0350282982981103</v>
      </c>
      <c r="Y199">
        <f t="shared" si="123"/>
        <v>-128.51628089750812</v>
      </c>
      <c r="Z199">
        <f t="shared" si="140"/>
        <v>51.483719102491875</v>
      </c>
      <c r="AC199">
        <v>1</v>
      </c>
      <c r="AD199">
        <f t="shared" si="124"/>
        <v>40.199034151237505</v>
      </c>
      <c r="AE199">
        <f t="shared" si="125"/>
        <v>-1.7086900377662599E-3</v>
      </c>
      <c r="AF199">
        <f t="shared" si="126"/>
        <v>2.4788108486295001E-3</v>
      </c>
      <c r="AG199">
        <f t="shared" si="141"/>
        <v>10804.916452739808</v>
      </c>
      <c r="AH199">
        <f t="shared" si="142"/>
        <v>-7851.4474440248923</v>
      </c>
      <c r="AJ199">
        <f t="shared" si="127"/>
        <v>22100</v>
      </c>
      <c r="AK199">
        <f t="shared" si="128"/>
        <v>9774.103574805571</v>
      </c>
      <c r="AL199">
        <v>1</v>
      </c>
      <c r="AM199">
        <f t="shared" si="129"/>
        <v>31.372974645289204</v>
      </c>
      <c r="AN199">
        <f t="shared" si="143"/>
        <v>333.65966659922753</v>
      </c>
      <c r="AO199">
        <f t="shared" si="144"/>
        <v>-693.79268556764316</v>
      </c>
      <c r="AQ199">
        <f t="shared" si="130"/>
        <v>0.36729596709028134</v>
      </c>
      <c r="AR199">
        <f t="shared" si="131"/>
        <v>-60.603834569896421</v>
      </c>
      <c r="AT199">
        <f t="shared" si="156"/>
        <v>-471859.21979408187</v>
      </c>
      <c r="AU199">
        <f t="shared" si="157"/>
        <v>-657703.17422540707</v>
      </c>
      <c r="AV199">
        <f t="shared" si="145"/>
        <v>-2.1931279888370447</v>
      </c>
      <c r="AW199">
        <f t="shared" si="146"/>
        <v>-31222.974961339209</v>
      </c>
      <c r="AX199">
        <f t="shared" si="147"/>
        <v>-31424.264592033207</v>
      </c>
      <c r="AY199">
        <f t="shared" si="155"/>
        <v>-2.3529814366014272</v>
      </c>
      <c r="BA199">
        <f t="shared" si="132"/>
        <v>18.272834056169899</v>
      </c>
      <c r="BB199">
        <f t="shared" si="148"/>
        <v>25.236118204306791</v>
      </c>
      <c r="BC199">
        <f t="shared" si="149"/>
        <v>0.15985344776438248</v>
      </c>
      <c r="BD199">
        <f t="shared" si="133"/>
        <v>-170.84107209202031</v>
      </c>
      <c r="BF199">
        <f t="shared" si="134"/>
        <v>-7.5844691589809177</v>
      </c>
      <c r="BG199">
        <f t="shared" si="135"/>
        <v>-147.66924106573967</v>
      </c>
      <c r="BH199">
        <f t="shared" si="150"/>
        <v>32.330758934260331</v>
      </c>
      <c r="BI199">
        <f t="shared" si="151"/>
        <v>32.330758934260331</v>
      </c>
      <c r="BJ199">
        <f t="shared" si="136"/>
        <v>0</v>
      </c>
      <c r="BK199">
        <f t="shared" si="152"/>
        <v>0</v>
      </c>
      <c r="BM199">
        <f t="shared" si="153"/>
        <v>-32.820587363287707</v>
      </c>
      <c r="BN199">
        <f t="shared" si="137"/>
        <v>-156.82816897371936</v>
      </c>
      <c r="BQ199" s="47">
        <f t="shared" si="154"/>
        <v>42.13807900459193</v>
      </c>
      <c r="BR199" s="529"/>
      <c r="BS199" s="529"/>
      <c r="BT199" s="529">
        <v>7762.4709999999995</v>
      </c>
      <c r="BU199" s="529">
        <v>-1.0348599999999999</v>
      </c>
      <c r="BV199" s="529">
        <v>-223.255</v>
      </c>
      <c r="BW199" s="49"/>
      <c r="BY199" s="529"/>
      <c r="BZ199" s="529"/>
      <c r="CA199" s="529"/>
      <c r="CC199" s="529"/>
    </row>
    <row r="200" spans="1:81">
      <c r="A200">
        <f t="shared" si="158"/>
        <v>83000</v>
      </c>
      <c r="B200">
        <f t="shared" si="138"/>
        <v>83</v>
      </c>
      <c r="C200">
        <f t="shared" si="107"/>
        <v>1.0835399225146831</v>
      </c>
      <c r="D200">
        <f t="shared" si="108"/>
        <v>0.39524845596119274</v>
      </c>
      <c r="F200">
        <f t="shared" si="109"/>
        <v>1.3904842412493219E-3</v>
      </c>
      <c r="G200">
        <f t="shared" si="110"/>
        <v>1.1250496630633216E-2</v>
      </c>
      <c r="H200">
        <f t="shared" si="111"/>
        <v>-3.1303421533693672</v>
      </c>
      <c r="J200">
        <f t="shared" si="112"/>
        <v>15</v>
      </c>
      <c r="M200">
        <f t="shared" si="113"/>
        <v>1.8144299011879098E-2</v>
      </c>
      <c r="N200">
        <f t="shared" si="114"/>
        <v>-1.5707963250000001</v>
      </c>
      <c r="O200">
        <f t="shared" si="115"/>
        <v>40.455025953543959</v>
      </c>
      <c r="P200">
        <f t="shared" si="116"/>
        <v>1.5460750012979423</v>
      </c>
      <c r="Q200">
        <f t="shared" si="117"/>
        <v>31.578951188300451</v>
      </c>
      <c r="R200">
        <f t="shared" si="118"/>
        <v>1.5391243691327308</v>
      </c>
      <c r="S200">
        <f t="shared" si="119"/>
        <v>0.91364087779432157</v>
      </c>
      <c r="T200">
        <f t="shared" si="120"/>
        <v>-0.4186443592873958</v>
      </c>
      <c r="U200">
        <f t="shared" si="121"/>
        <v>0.82173488614436185</v>
      </c>
      <c r="V200">
        <f t="shared" si="122"/>
        <v>-0.60634760193667436</v>
      </c>
      <c r="X200">
        <f t="shared" si="139"/>
        <v>-8.1056024917126219</v>
      </c>
      <c r="Y200">
        <f t="shared" si="123"/>
        <v>-128.66813600938457</v>
      </c>
      <c r="Z200">
        <f t="shared" si="140"/>
        <v>51.331863990615432</v>
      </c>
      <c r="AC200">
        <v>1</v>
      </c>
      <c r="AD200">
        <f t="shared" si="124"/>
        <v>40.442664661245004</v>
      </c>
      <c r="AE200">
        <f t="shared" si="125"/>
        <v>-1.7294641939646302E-3</v>
      </c>
      <c r="AF200">
        <f t="shared" si="126"/>
        <v>2.4938339446818002E-3</v>
      </c>
      <c r="AG200">
        <f t="shared" si="141"/>
        <v>10762.767696189623</v>
      </c>
      <c r="AH200">
        <f t="shared" si="142"/>
        <v>-7864.9267728296018</v>
      </c>
      <c r="AJ200">
        <f t="shared" si="127"/>
        <v>22100</v>
      </c>
      <c r="AK200">
        <f t="shared" si="128"/>
        <v>9833.3405661680281</v>
      </c>
      <c r="AL200">
        <v>1</v>
      </c>
      <c r="AM200">
        <f t="shared" si="129"/>
        <v>31.563113885563681</v>
      </c>
      <c r="AN200">
        <f t="shared" si="143"/>
        <v>333.39429764263554</v>
      </c>
      <c r="AO200">
        <f t="shared" si="144"/>
        <v>-689.62161912399154</v>
      </c>
      <c r="AQ200">
        <f t="shared" si="130"/>
        <v>0.36288420365061508</v>
      </c>
      <c r="AR200">
        <f t="shared" si="131"/>
        <v>-60.238777806002105</v>
      </c>
      <c r="AT200">
        <f t="shared" si="156"/>
        <v>-469867.93794445123</v>
      </c>
      <c r="AU200">
        <f t="shared" si="157"/>
        <v>-651190.02951711253</v>
      </c>
      <c r="AV200">
        <f t="shared" si="145"/>
        <v>-2.1958412307123547</v>
      </c>
      <c r="AW200">
        <f t="shared" si="146"/>
        <v>-30760.871601555107</v>
      </c>
      <c r="AX200">
        <f t="shared" si="147"/>
        <v>-31274.169589172452</v>
      </c>
      <c r="AY200">
        <f t="shared" si="155"/>
        <v>-2.3479203557027262</v>
      </c>
      <c r="BA200">
        <f t="shared" si="132"/>
        <v>18.305591456136785</v>
      </c>
      <c r="BB200">
        <f t="shared" si="148"/>
        <v>25.25167531115434</v>
      </c>
      <c r="BC200">
        <f t="shared" si="149"/>
        <v>0.15207912499037146</v>
      </c>
      <c r="BD200">
        <f t="shared" si="133"/>
        <v>-171.28650797605258</v>
      </c>
      <c r="BF200">
        <f t="shared" si="134"/>
        <v>-7.6662797363136352</v>
      </c>
      <c r="BG200">
        <f t="shared" si="135"/>
        <v>-147.99583358943892</v>
      </c>
      <c r="BH200">
        <f t="shared" si="150"/>
        <v>32.004166410561083</v>
      </c>
      <c r="BI200">
        <f t="shared" si="151"/>
        <v>32.004166410561083</v>
      </c>
      <c r="BJ200">
        <f t="shared" si="136"/>
        <v>0</v>
      </c>
      <c r="BK200">
        <f t="shared" si="152"/>
        <v>0</v>
      </c>
      <c r="BM200">
        <f t="shared" si="153"/>
        <v>-32.917955047467977</v>
      </c>
      <c r="BN200">
        <f t="shared" si="137"/>
        <v>-156.70932561338637</v>
      </c>
      <c r="BQ200" s="47">
        <f t="shared" si="154"/>
        <v>42.153636111439482</v>
      </c>
      <c r="BR200" s="529"/>
      <c r="BS200" s="529"/>
      <c r="BT200" s="529">
        <v>7943.2820000000002</v>
      </c>
      <c r="BU200" s="529">
        <v>-1.2307999999999999</v>
      </c>
      <c r="BV200" s="529">
        <v>-223.13499999999999</v>
      </c>
      <c r="BW200" s="49"/>
      <c r="BY200" s="529"/>
      <c r="BZ200" s="529"/>
      <c r="CA200" s="529"/>
      <c r="CC200" s="529"/>
    </row>
    <row r="201" spans="1:81">
      <c r="A201">
        <f>A200+500</f>
        <v>83500</v>
      </c>
      <c r="B201">
        <f t="shared" si="138"/>
        <v>83.5</v>
      </c>
      <c r="C201">
        <f t="shared" ref="C201:C264" si="159">SQRT((A201/Fesr)^2+1)</f>
        <v>1.0845101077298813</v>
      </c>
      <c r="D201">
        <f t="shared" ref="D201:D264" si="160">ATAN(A201/Fesr)</f>
        <v>0.3973872140690683</v>
      </c>
      <c r="F201">
        <f t="shared" ref="F201:F264" si="161">(Ro/(Ro+Rdcr))/SQRT((A201/(Q*Fo))^2+(1-(A201^2/Fo^2))^2)</f>
        <v>1.3738594124588881E-3</v>
      </c>
      <c r="G201">
        <f t="shared" ref="G201:G264" si="162">-ATAN(A201*Fo/(Q*(Fo^2-A201^2)))</f>
        <v>1.1182945016194367E-2</v>
      </c>
      <c r="H201">
        <f t="shared" ref="H201:H264" si="163">IF(G201&gt;0,G201-Pi,G201)</f>
        <v>-3.1304097049838058</v>
      </c>
      <c r="J201">
        <f t="shared" ref="J201:J264" si="164">Vin/Vramp</f>
        <v>15</v>
      </c>
      <c r="M201">
        <f t="shared" ref="M201:M264" si="165">1/(2*Pi*_Rfb1*(Cc1ea_u+Cc2ea_u)*A201)</f>
        <v>1.8035650514801976E-2</v>
      </c>
      <c r="N201">
        <f t="shared" ref="N201:N264" si="166">-Pi/2</f>
        <v>-1.5707963250000001</v>
      </c>
      <c r="O201">
        <f t="shared" ref="O201:O264" si="167">SQRT(1+(A201/Fz1_u)^2)</f>
        <v>40.698582466251636</v>
      </c>
      <c r="P201">
        <f t="shared" ref="P201:P264" si="168">ATAN2(Fz1_u,A201)</f>
        <v>1.5462229734223099</v>
      </c>
      <c r="Q201">
        <f t="shared" ref="Q201:Q264" si="169">SQRT(1+(A201/Fz2_u)^2)</f>
        <v>31.768995641561453</v>
      </c>
      <c r="R201">
        <f t="shared" ref="R201:R264" si="170">ATAN2(Fz2_u,A201)</f>
        <v>1.5393138959064974</v>
      </c>
      <c r="S201">
        <f t="shared" ref="S201:S264" si="171">1/SQRT(1+(A201/Fp1_u)^2)</f>
        <v>0.9127299323985465</v>
      </c>
      <c r="T201">
        <f t="shared" ref="T201:T264" si="172">-ATAN2(Fp1_u,A201)</f>
        <v>-0.42087957219237104</v>
      </c>
      <c r="U201">
        <f t="shared" ref="U201:U264" si="173">1/SQRT(1+(A201/Fp2_u)^2)</f>
        <v>0.82012718493392045</v>
      </c>
      <c r="V201">
        <f t="shared" ref="V201:V264" si="174">-ATAN2(Fp2_u,A201)</f>
        <v>-0.60916306258453667</v>
      </c>
      <c r="X201">
        <f t="shared" si="139"/>
        <v>-8.175895264242067</v>
      </c>
      <c r="Y201">
        <f t="shared" ref="Y201:Y264" si="175">(180/Pi)*(D201+H201+N201+P201+R201+T201+V201)</f>
        <v>-128.819509634806</v>
      </c>
      <c r="Z201">
        <f t="shared" si="140"/>
        <v>51.180490365194004</v>
      </c>
      <c r="AC201">
        <v>1</v>
      </c>
      <c r="AD201">
        <f t="shared" ref="AD201:AD264" si="176">Rcea1_u*Cc1ea_u*A201*2*Pi</f>
        <v>40.686295171252503</v>
      </c>
      <c r="AE201">
        <f t="shared" ref="AE201:AE264" si="177">-Rcea1_u*Cc1ea_u*Cc2ea_u*(A201*2*Pi)^2</f>
        <v>-1.7503638737654077E-3</v>
      </c>
      <c r="AF201">
        <f t="shared" ref="AF201:AF264" si="178">(Cc2ea_u+Cc1ea_u)*A201*2*Pi</f>
        <v>2.5088570407341003E-3</v>
      </c>
      <c r="AG201">
        <f t="shared" si="141"/>
        <v>10720.694788686422</v>
      </c>
      <c r="AH201">
        <f t="shared" si="142"/>
        <v>-7878.1359554861037</v>
      </c>
      <c r="AJ201">
        <f t="shared" ref="AJ201:AJ264" si="179">_Rfb1</f>
        <v>22100</v>
      </c>
      <c r="AK201">
        <f t="shared" ref="AK201:AK264" si="180">_Rfb1*Rcea2_u*Cc3ea_u*A201*2*Pi</f>
        <v>9892.577557530487</v>
      </c>
      <c r="AL201">
        <v>1</v>
      </c>
      <c r="AM201">
        <f t="shared" ref="AM201:AM264" si="181">(_Rfb1+Rcea2_u)*Cc3ea_u*A201*2*Pi</f>
        <v>31.75325312583816</v>
      </c>
      <c r="AN201">
        <f t="shared" si="143"/>
        <v>333.13367520801722</v>
      </c>
      <c r="AO201">
        <f t="shared" si="144"/>
        <v>-685.50035609044141</v>
      </c>
      <c r="AQ201">
        <f t="shared" ref="AQ201:AQ264" si="182">Eadcg/(1+(Eadcg*A201/GBP)^2)</f>
        <v>0.35855145213338113</v>
      </c>
      <c r="AR201">
        <f t="shared" ref="AR201:AR264" si="183">-(A201*Eadcg*Eadcg/GBP)/(1+(Eadcg*A201/GBP)^2)</f>
        <v>-59.878092506274648</v>
      </c>
      <c r="AT201">
        <f t="shared" si="156"/>
        <v>-467883.83283524303</v>
      </c>
      <c r="AU201">
        <f t="shared" si="157"/>
        <v>-644759.47137544595</v>
      </c>
      <c r="AV201">
        <f t="shared" si="145"/>
        <v>-2.1985447903681066</v>
      </c>
      <c r="AW201">
        <f t="shared" si="146"/>
        <v>-30307.680290623059</v>
      </c>
      <c r="AX201">
        <f t="shared" si="147"/>
        <v>-31126.10580740594</v>
      </c>
      <c r="AY201">
        <f t="shared" si="155"/>
        <v>-2.3428732030554982</v>
      </c>
      <c r="BA201">
        <f t="shared" ref="BA201:BA264" si="184">SQRT(AT201^2+AU201^2)/SQRT(AW201^2+AX201^2)</f>
        <v>18.337051289825933</v>
      </c>
      <c r="BB201">
        <f t="shared" si="148"/>
        <v>25.266589994709857</v>
      </c>
      <c r="BC201">
        <f t="shared" si="149"/>
        <v>0.14432841268739161</v>
      </c>
      <c r="BD201">
        <f t="shared" ref="BD201:BD264" si="185">BC201*180/Pi-180</f>
        <v>-171.73059107974089</v>
      </c>
      <c r="BF201">
        <f t="shared" ref="BF201:BF264" si="186">20*LOG(BA201*J201*F201*C201)</f>
        <v>-7.7480668738874154</v>
      </c>
      <c r="BG201">
        <f t="shared" ref="BG201:BG264" si="187">(180/Pi)*(D201+H201+BC201)</f>
        <v>-148.32124530241759</v>
      </c>
      <c r="BH201">
        <f t="shared" si="150"/>
        <v>31.678754697582406</v>
      </c>
      <c r="BI201">
        <f t="shared" si="151"/>
        <v>31.678754697582406</v>
      </c>
      <c r="BJ201">
        <f t="shared" ref="BJ201:BJ264" si="188">SUM((BF202&lt;0)*(BF201&gt;0))*A201</f>
        <v>0</v>
      </c>
      <c r="BK201">
        <f t="shared" si="152"/>
        <v>0</v>
      </c>
      <c r="BM201">
        <f t="shared" si="153"/>
        <v>-33.014656868597278</v>
      </c>
      <c r="BN201">
        <f t="shared" ref="BN201:BN264" si="189">(H201+D201)*180/Pi</f>
        <v>-156.59065422267673</v>
      </c>
      <c r="BQ201" s="47">
        <f t="shared" si="154"/>
        <v>42.168550794994992</v>
      </c>
      <c r="BR201" s="529"/>
      <c r="BS201" s="529"/>
      <c r="BT201" s="529">
        <v>8128.3050000000003</v>
      </c>
      <c r="BU201" s="529">
        <v>-1.3526100000000001</v>
      </c>
      <c r="BV201" s="529">
        <v>-221.982</v>
      </c>
      <c r="BW201" s="49"/>
      <c r="BY201" s="529"/>
      <c r="BZ201" s="529"/>
      <c r="CA201" s="529"/>
      <c r="CC201" s="529"/>
    </row>
    <row r="202" spans="1:81">
      <c r="A202">
        <f t="shared" ref="A202:A234" si="190">A201+500</f>
        <v>84000</v>
      </c>
      <c r="B202">
        <f t="shared" ref="B202:B265" si="191">A202/1000</f>
        <v>84</v>
      </c>
      <c r="C202">
        <f t="shared" si="159"/>
        <v>1.0854852449236867</v>
      </c>
      <c r="D202">
        <f t="shared" si="160"/>
        <v>0.39952213925482821</v>
      </c>
      <c r="F202">
        <f t="shared" si="161"/>
        <v>1.3575310936882294E-3</v>
      </c>
      <c r="G202">
        <f t="shared" si="162"/>
        <v>1.1116200838577036E-2</v>
      </c>
      <c r="H202">
        <f t="shared" si="163"/>
        <v>-3.130476449161423</v>
      </c>
      <c r="J202">
        <f t="shared" si="164"/>
        <v>15</v>
      </c>
      <c r="M202">
        <f t="shared" si="165"/>
        <v>1.7928295452213871E-2</v>
      </c>
      <c r="N202">
        <f t="shared" si="166"/>
        <v>-1.5707963250000001</v>
      </c>
      <c r="O202">
        <f t="shared" si="167"/>
        <v>40.942139859483007</v>
      </c>
      <c r="P202">
        <f t="shared" si="168"/>
        <v>1.5463691850309782</v>
      </c>
      <c r="Q202">
        <f t="shared" si="169"/>
        <v>31.959041222405641</v>
      </c>
      <c r="R202">
        <f t="shared" si="170"/>
        <v>1.5395011686314564</v>
      </c>
      <c r="S202">
        <f t="shared" si="171"/>
        <v>0.91181625973102809</v>
      </c>
      <c r="T202">
        <f t="shared" si="172"/>
        <v>-0.42311032118081993</v>
      </c>
      <c r="U202">
        <f t="shared" si="173"/>
        <v>0.81851931201806383</v>
      </c>
      <c r="V202">
        <f t="shared" si="174"/>
        <v>-0.6119675058758931</v>
      </c>
      <c r="X202">
        <f t="shared" ref="X202:X265" si="192">20*LOG(C202*J202*O202*Q202*F202*M202*S202*U202)</f>
        <v>-8.2459097565358324</v>
      </c>
      <c r="Y202">
        <f t="shared" si="175"/>
        <v>-128.97039961376188</v>
      </c>
      <c r="Z202">
        <f t="shared" ref="Z202:Z265" si="193">Y202+180</f>
        <v>51.029600386238116</v>
      </c>
      <c r="AC202">
        <v>1</v>
      </c>
      <c r="AD202">
        <f t="shared" si="176"/>
        <v>40.929925681260002</v>
      </c>
      <c r="AE202">
        <f t="shared" si="177"/>
        <v>-1.7713890771685922E-3</v>
      </c>
      <c r="AF202">
        <f t="shared" si="178"/>
        <v>2.5238801367864004E-3</v>
      </c>
      <c r="AG202">
        <f t="shared" ref="AG202:AG265" si="194">AC202*AE202/(AE202^2+AF202^2)+AD202*AF202/(AE202^2+AF202^2)</f>
        <v>10678.699795983417</v>
      </c>
      <c r="AH202">
        <f t="shared" ref="AH202:AH265" si="195">AD202*AE202/(AE202^2+AF202^2)-AC202*AF202/(AE202^2+AF202^2)</f>
        <v>-7891.0768727417699</v>
      </c>
      <c r="AJ202">
        <f t="shared" si="179"/>
        <v>22100</v>
      </c>
      <c r="AK202">
        <f t="shared" si="180"/>
        <v>9951.814548892944</v>
      </c>
      <c r="AL202">
        <v>1</v>
      </c>
      <c r="AM202">
        <f t="shared" si="181"/>
        <v>31.94339236611264</v>
      </c>
      <c r="AN202">
        <f t="shared" ref="AN202:AN265" si="196">AJ202*AL202/(AL202^2+AM202^2)+AK202*AM202/(AL202^2+AM202^2)</f>
        <v>332.87768680496282</v>
      </c>
      <c r="AO202">
        <f t="shared" ref="AO202:AO265" si="197">AK202*AL202/(AL202^2+AM202^2)-AJ202*AM202/(AL202^2+AM202^2)</f>
        <v>-681.42801064193895</v>
      </c>
      <c r="AQ202">
        <f t="shared" si="182"/>
        <v>0.35429583702391498</v>
      </c>
      <c r="AR202">
        <f t="shared" si="183"/>
        <v>-59.521700620017718</v>
      </c>
      <c r="AT202">
        <f t="shared" si="156"/>
        <v>-465906.89630633622</v>
      </c>
      <c r="AU202">
        <f t="shared" si="157"/>
        <v>-638410.14795321727</v>
      </c>
      <c r="AV202">
        <f t="shared" ref="AV202:AV265" si="198">ATAN2(AT202,AU202)</f>
        <v>-2.2012386637801162</v>
      </c>
      <c r="AW202">
        <f t="shared" ref="AW202:AW265" si="199">AG202-AH202*AO202/_Rfb2+AG202*AN202/_Rfb2+AN202-AO202*AR202+AQ202*AN202</f>
        <v>-29863.186197785202</v>
      </c>
      <c r="AX202">
        <f t="shared" ref="AX202:AX265" si="200">AH202+AH202*AN202/_Rfb2+AG202*AO202/_Rfb2+AO202+AO202*AQ202+AN202*AR202</f>
        <v>-30980.026198535015</v>
      </c>
      <c r="AY202">
        <f t="shared" si="155"/>
        <v>-2.3378405186541698</v>
      </c>
      <c r="BA202">
        <f t="shared" si="184"/>
        <v>18.367221987157485</v>
      </c>
      <c r="BB202">
        <f t="shared" ref="BB202:BB265" si="201">20*LOG(BA202)</f>
        <v>25.280869498590512</v>
      </c>
      <c r="BC202">
        <f t="shared" ref="BC202:BC265" si="202">AV202-AY202</f>
        <v>0.13660185487405352</v>
      </c>
      <c r="BD202">
        <f t="shared" si="185"/>
        <v>-172.17329023311484</v>
      </c>
      <c r="BF202">
        <f t="shared" si="186"/>
        <v>-7.8298311173798449</v>
      </c>
      <c r="BG202">
        <f t="shared" si="187"/>
        <v>-148.64544641262049</v>
      </c>
      <c r="BH202">
        <f t="shared" ref="BH202:BH265" si="203">IF(BG202&gt;180,BG202-180,BG202+180)</f>
        <v>31.354553587379513</v>
      </c>
      <c r="BI202">
        <f t="shared" ref="BI202:BI265" si="204">IF(BH202&gt;180,BH202-360,BH202)</f>
        <v>31.354553587379513</v>
      </c>
      <c r="BJ202">
        <f t="shared" si="188"/>
        <v>0</v>
      </c>
      <c r="BK202">
        <f t="shared" ref="BK202:BK265" si="205">IF(BJ202&gt;0,BI202,0)</f>
        <v>0</v>
      </c>
      <c r="BM202">
        <f t="shared" ref="BM202:BM265" si="206">20*LOG(J202*F202*C202)</f>
        <v>-33.110700615970352</v>
      </c>
      <c r="BN202">
        <f t="shared" si="189"/>
        <v>-156.47215617950565</v>
      </c>
      <c r="BQ202" s="47">
        <f t="shared" ref="BQ202:BQ265" si="207">20*LOG(BA202*7)</f>
        <v>42.18283029887565</v>
      </c>
      <c r="BR202" s="529"/>
      <c r="BS202" s="529"/>
      <c r="BT202" s="529">
        <v>8317.6380000000008</v>
      </c>
      <c r="BU202" s="529">
        <v>-1.29555</v>
      </c>
      <c r="BV202" s="529">
        <v>-220.93199999999999</v>
      </c>
      <c r="BW202" s="49"/>
      <c r="BY202" s="529"/>
      <c r="BZ202" s="529"/>
      <c r="CA202" s="529"/>
      <c r="CC202" s="529"/>
    </row>
    <row r="203" spans="1:81">
      <c r="A203">
        <f t="shared" si="190"/>
        <v>84500</v>
      </c>
      <c r="B203">
        <f t="shared" si="191"/>
        <v>84.5</v>
      </c>
      <c r="C203">
        <f t="shared" si="159"/>
        <v>1.0864653207624249</v>
      </c>
      <c r="D203">
        <f t="shared" si="160"/>
        <v>0.40165322240367102</v>
      </c>
      <c r="F203">
        <f t="shared" si="161"/>
        <v>1.3414922724539816E-3</v>
      </c>
      <c r="G203">
        <f t="shared" si="162"/>
        <v>1.1050249688155912E-2</v>
      </c>
      <c r="H203">
        <f t="shared" si="163"/>
        <v>-3.1305424003118443</v>
      </c>
      <c r="J203">
        <f t="shared" si="164"/>
        <v>15</v>
      </c>
      <c r="M203">
        <f t="shared" si="165"/>
        <v>1.7822210863739231E-2</v>
      </c>
      <c r="N203">
        <f t="shared" si="166"/>
        <v>-1.5707963250000001</v>
      </c>
      <c r="O203">
        <f t="shared" si="167"/>
        <v>41.185698117616788</v>
      </c>
      <c r="P203">
        <f t="shared" si="168"/>
        <v>1.546513667350919</v>
      </c>
      <c r="Q203">
        <f t="shared" si="169"/>
        <v>32.149087910836286</v>
      </c>
      <c r="R203">
        <f t="shared" si="170"/>
        <v>1.5396862272682268</v>
      </c>
      <c r="S203">
        <f t="shared" si="171"/>
        <v>0.91089989521254411</v>
      </c>
      <c r="T203">
        <f t="shared" si="172"/>
        <v>-0.42533659747673647</v>
      </c>
      <c r="U203">
        <f t="shared" si="173"/>
        <v>0.81691134405592603</v>
      </c>
      <c r="V203">
        <f t="shared" si="174"/>
        <v>-0.61476095249862683</v>
      </c>
      <c r="X203">
        <f t="shared" si="192"/>
        <v>-8.3156490450204767</v>
      </c>
      <c r="Y203">
        <f t="shared" si="175"/>
        <v>-129.12080389785427</v>
      </c>
      <c r="Z203">
        <f t="shared" si="193"/>
        <v>50.879196102145727</v>
      </c>
      <c r="AC203">
        <v>1</v>
      </c>
      <c r="AD203">
        <f t="shared" si="176"/>
        <v>41.173556191267501</v>
      </c>
      <c r="AE203">
        <f t="shared" si="177"/>
        <v>-1.7925398041741837E-3</v>
      </c>
      <c r="AF203">
        <f t="shared" si="178"/>
        <v>2.5389032328387E-3</v>
      </c>
      <c r="AG203">
        <f t="shared" si="194"/>
        <v>10636.784740799458</v>
      </c>
      <c r="AH203">
        <f t="shared" si="195"/>
        <v>-7903.7514217819262</v>
      </c>
      <c r="AJ203">
        <f t="shared" si="179"/>
        <v>22100</v>
      </c>
      <c r="AK203">
        <f t="shared" si="180"/>
        <v>10011.051540255403</v>
      </c>
      <c r="AL203">
        <v>1</v>
      </c>
      <c r="AM203">
        <f t="shared" si="181"/>
        <v>32.133531606387123</v>
      </c>
      <c r="AN203">
        <f t="shared" si="196"/>
        <v>332.62622325482329</v>
      </c>
      <c r="AO203">
        <f t="shared" si="197"/>
        <v>-677.40371781664112</v>
      </c>
      <c r="AQ203">
        <f t="shared" si="182"/>
        <v>0.35011553812758212</v>
      </c>
      <c r="AR203">
        <f t="shared" si="183"/>
        <v>-59.169525943561375</v>
      </c>
      <c r="AT203">
        <f t="shared" si="156"/>
        <v>-463937.12118911353</v>
      </c>
      <c r="AU203">
        <f t="shared" si="157"/>
        <v>-632140.73685907503</v>
      </c>
      <c r="AV203">
        <f t="shared" si="198"/>
        <v>-2.2039228480314739</v>
      </c>
      <c r="AW203">
        <f t="shared" si="199"/>
        <v>-29427.180797118592</v>
      </c>
      <c r="AX203">
        <f t="shared" si="200"/>
        <v>-30835.885119173363</v>
      </c>
      <c r="AY203">
        <f t="shared" ref="AY203:AY266" si="208">ATAN2(AW203,AX203)</f>
        <v>-2.3328228313325199</v>
      </c>
      <c r="BA203">
        <f t="shared" si="184"/>
        <v>18.396112368007071</v>
      </c>
      <c r="BB203">
        <f t="shared" si="201"/>
        <v>25.294521073765559</v>
      </c>
      <c r="BC203">
        <f t="shared" si="202"/>
        <v>0.12889998330104602</v>
      </c>
      <c r="BD203">
        <f t="shared" si="185"/>
        <v>-172.61457496910418</v>
      </c>
      <c r="BF203">
        <f t="shared" si="186"/>
        <v>-7.9115728692683653</v>
      </c>
      <c r="BG203">
        <f t="shared" si="187"/>
        <v>-148.96840780082766</v>
      </c>
      <c r="BH203">
        <f t="shared" si="203"/>
        <v>31.031592199172337</v>
      </c>
      <c r="BI203">
        <f t="shared" si="204"/>
        <v>31.031592199172337</v>
      </c>
      <c r="BJ203">
        <f t="shared" si="188"/>
        <v>0</v>
      </c>
      <c r="BK203">
        <f t="shared" si="205"/>
        <v>0</v>
      </c>
      <c r="BM203">
        <f t="shared" si="206"/>
        <v>-33.20609394303392</v>
      </c>
      <c r="BN203">
        <f t="shared" si="189"/>
        <v>-156.35383283172348</v>
      </c>
      <c r="BQ203" s="47">
        <f t="shared" si="207"/>
        <v>42.196481874050697</v>
      </c>
      <c r="BR203" s="529"/>
      <c r="BS203" s="529"/>
      <c r="BT203" s="529">
        <v>8511.3799999999992</v>
      </c>
      <c r="BU203" s="529">
        <v>-1.5137499999999999</v>
      </c>
      <c r="BV203" s="529">
        <v>-219.99600000000001</v>
      </c>
      <c r="BW203" s="49"/>
      <c r="BY203" s="529"/>
      <c r="BZ203" s="529"/>
      <c r="CA203" s="529"/>
      <c r="CC203" s="529"/>
    </row>
    <row r="204" spans="1:81">
      <c r="A204">
        <f t="shared" si="190"/>
        <v>85000</v>
      </c>
      <c r="B204">
        <f t="shared" si="191"/>
        <v>85</v>
      </c>
      <c r="C204">
        <f t="shared" si="159"/>
        <v>1.0874503218930809</v>
      </c>
      <c r="D204">
        <f t="shared" si="160"/>
        <v>0.40378045457315986</v>
      </c>
      <c r="F204">
        <f t="shared" si="161"/>
        <v>1.325736142448436E-3</v>
      </c>
      <c r="G204">
        <f t="shared" si="162"/>
        <v>1.0985077496589441E-2</v>
      </c>
      <c r="H204">
        <f t="shared" si="163"/>
        <v>-3.1306075725034108</v>
      </c>
      <c r="J204">
        <f t="shared" si="164"/>
        <v>15</v>
      </c>
      <c r="M204">
        <f t="shared" si="165"/>
        <v>1.7717374329246648E-2</v>
      </c>
      <c r="N204">
        <f t="shared" si="166"/>
        <v>-1.5707963250000001</v>
      </c>
      <c r="O204">
        <f t="shared" si="167"/>
        <v>41.429257225398949</v>
      </c>
      <c r="P204">
        <f t="shared" si="168"/>
        <v>1.5466564508750738</v>
      </c>
      <c r="Q204">
        <f t="shared" si="169"/>
        <v>32.339135687326596</v>
      </c>
      <c r="R204">
        <f t="shared" si="170"/>
        <v>1.5398691108386939</v>
      </c>
      <c r="S204">
        <f t="shared" si="171"/>
        <v>0.90998087416013551</v>
      </c>
      <c r="T204">
        <f t="shared" si="172"/>
        <v>-0.42755839251661365</v>
      </c>
      <c r="U204">
        <f t="shared" si="173"/>
        <v>0.81530335666966813</v>
      </c>
      <c r="V204">
        <f t="shared" si="174"/>
        <v>-0.61754342366518633</v>
      </c>
      <c r="X204">
        <f t="shared" si="192"/>
        <v>-8.3851161435935495</v>
      </c>
      <c r="Y204">
        <f t="shared" si="175"/>
        <v>-129.27072054732844</v>
      </c>
      <c r="Z204">
        <f t="shared" si="193"/>
        <v>50.729279452671562</v>
      </c>
      <c r="AC204">
        <v>1</v>
      </c>
      <c r="AD204">
        <f t="shared" si="176"/>
        <v>41.417186701275007</v>
      </c>
      <c r="AE204">
        <f t="shared" si="177"/>
        <v>-1.8138160547821827E-3</v>
      </c>
      <c r="AF204">
        <f t="shared" si="178"/>
        <v>2.5539263288910006E-3</v>
      </c>
      <c r="AG204">
        <f t="shared" si="194"/>
        <v>10594.951603185935</v>
      </c>
      <c r="AH204">
        <f t="shared" si="195"/>
        <v>-7916.1615152297254</v>
      </c>
      <c r="AJ204">
        <f t="shared" si="179"/>
        <v>22100</v>
      </c>
      <c r="AK204">
        <f t="shared" si="180"/>
        <v>10070.288531617862</v>
      </c>
      <c r="AL204">
        <v>1</v>
      </c>
      <c r="AM204">
        <f t="shared" si="181"/>
        <v>32.323670846661599</v>
      </c>
      <c r="AN204">
        <f t="shared" si="196"/>
        <v>332.37917857443369</v>
      </c>
      <c r="AO204">
        <f t="shared" si="197"/>
        <v>-673.42663290588905</v>
      </c>
      <c r="AQ204">
        <f t="shared" si="182"/>
        <v>0.34600878862323103</v>
      </c>
      <c r="AR204">
        <f t="shared" si="183"/>
        <v>-58.821494065949274</v>
      </c>
      <c r="AT204">
        <f t="shared" si="156"/>
        <v>-461974.50122344116</v>
      </c>
      <c r="AU204">
        <f t="shared" si="157"/>
        <v>-625949.94431225164</v>
      </c>
      <c r="AV204">
        <f t="shared" si="198"/>
        <v>-2.206597341284529</v>
      </c>
      <c r="AW204">
        <f t="shared" si="199"/>
        <v>-28999.461647381242</v>
      </c>
      <c r="AX204">
        <f t="shared" si="200"/>
        <v>-30693.63828080691</v>
      </c>
      <c r="AY204">
        <f t="shared" si="208"/>
        <v>-2.3278206586267638</v>
      </c>
      <c r="BA204">
        <f t="shared" si="184"/>
        <v>18.423731630773826</v>
      </c>
      <c r="BB204">
        <f t="shared" si="201"/>
        <v>25.307551977062154</v>
      </c>
      <c r="BC204">
        <f t="shared" si="202"/>
        <v>0.12122331734223479</v>
      </c>
      <c r="BD204">
        <f t="shared" si="185"/>
        <v>-173.05441552977842</v>
      </c>
      <c r="BF204">
        <f t="shared" si="186"/>
        <v>-7.9932923935379723</v>
      </c>
      <c r="BG204">
        <f t="shared" si="187"/>
        <v>-149.29010102752909</v>
      </c>
      <c r="BH204">
        <f t="shared" si="203"/>
        <v>30.70989897247091</v>
      </c>
      <c r="BI204">
        <f t="shared" si="204"/>
        <v>30.70989897247091</v>
      </c>
      <c r="BJ204">
        <f t="shared" si="188"/>
        <v>0</v>
      </c>
      <c r="BK204">
        <f t="shared" si="205"/>
        <v>0</v>
      </c>
      <c r="BM204">
        <f t="shared" si="206"/>
        <v>-33.300844370600124</v>
      </c>
      <c r="BN204">
        <f t="shared" si="189"/>
        <v>-156.23568549775069</v>
      </c>
      <c r="BQ204" s="47">
        <f t="shared" si="207"/>
        <v>42.209512777347285</v>
      </c>
      <c r="BR204" s="529"/>
      <c r="BS204" s="529"/>
      <c r="BT204" s="529">
        <v>8709.6360000000004</v>
      </c>
      <c r="BU204" s="529">
        <v>-1.62094</v>
      </c>
      <c r="BV204" s="529">
        <v>-218.72200000000001</v>
      </c>
      <c r="BW204" s="49"/>
      <c r="BY204" s="529"/>
      <c r="BZ204" s="529"/>
      <c r="CA204" s="529"/>
      <c r="CC204" s="529"/>
    </row>
    <row r="205" spans="1:81">
      <c r="A205">
        <f t="shared" si="190"/>
        <v>85500</v>
      </c>
      <c r="B205">
        <f t="shared" si="191"/>
        <v>85.5</v>
      </c>
      <c r="C205">
        <f t="shared" si="159"/>
        <v>1.0884402349439939</v>
      </c>
      <c r="D205">
        <f t="shared" si="160"/>
        <v>0.40590382699255517</v>
      </c>
      <c r="F205">
        <f t="shared" si="161"/>
        <v>1.3102560963048728E-3</v>
      </c>
      <c r="G205">
        <f t="shared" si="162"/>
        <v>1.0920670526762844E-2</v>
      </c>
      <c r="H205">
        <f t="shared" si="163"/>
        <v>-3.1306719794732372</v>
      </c>
      <c r="J205">
        <f t="shared" si="164"/>
        <v>15</v>
      </c>
      <c r="M205">
        <f t="shared" si="165"/>
        <v>1.7613763953052225E-2</v>
      </c>
      <c r="N205">
        <f t="shared" si="166"/>
        <v>-1.5707963250000001</v>
      </c>
      <c r="O205">
        <f t="shared" si="167"/>
        <v>41.67281716793206</v>
      </c>
      <c r="P205">
        <f t="shared" si="168"/>
        <v>1.5467975653837915</v>
      </c>
      <c r="Q205">
        <f t="shared" si="169"/>
        <v>32.529184532806013</v>
      </c>
      <c r="R205">
        <f t="shared" si="170"/>
        <v>1.5400498574534054</v>
      </c>
      <c r="S205">
        <f t="shared" si="171"/>
        <v>0.90905923178468362</v>
      </c>
      <c r="T205">
        <f t="shared" si="172"/>
        <v>-0.42977569794835235</v>
      </c>
      <c r="U205">
        <f t="shared" si="173"/>
        <v>0.81369542444867171</v>
      </c>
      <c r="V205">
        <f t="shared" si="174"/>
        <v>-0.6203149411014508</v>
      </c>
      <c r="X205">
        <f t="shared" si="192"/>
        <v>-8.4543140052654593</v>
      </c>
      <c r="Y205">
        <f t="shared" si="175"/>
        <v>-129.42014772818874</v>
      </c>
      <c r="Z205">
        <f t="shared" si="193"/>
        <v>50.579852271811262</v>
      </c>
      <c r="AC205">
        <v>1</v>
      </c>
      <c r="AD205">
        <f t="shared" si="176"/>
        <v>41.660817211282506</v>
      </c>
      <c r="AE205">
        <f t="shared" si="177"/>
        <v>-1.8352178289925882E-3</v>
      </c>
      <c r="AF205">
        <f t="shared" si="178"/>
        <v>2.5689494249433002E-3</v>
      </c>
      <c r="AG205">
        <f t="shared" si="194"/>
        <v>10553.202320899982</v>
      </c>
      <c r="AH205">
        <f t="shared" si="195"/>
        <v>-7928.3090801723902</v>
      </c>
      <c r="AJ205">
        <f t="shared" si="179"/>
        <v>22100</v>
      </c>
      <c r="AK205">
        <f t="shared" si="180"/>
        <v>10129.525522980319</v>
      </c>
      <c r="AL205">
        <v>1</v>
      </c>
      <c r="AM205">
        <f t="shared" si="181"/>
        <v>32.513810086936083</v>
      </c>
      <c r="AN205">
        <f t="shared" si="196"/>
        <v>332.13644986456882</v>
      </c>
      <c r="AO205">
        <f t="shared" si="197"/>
        <v>-669.49593086544076</v>
      </c>
      <c r="AQ205">
        <f t="shared" si="182"/>
        <v>0.3419738731960878</v>
      </c>
      <c r="AR205">
        <f t="shared" si="183"/>
        <v>-58.477532316531018</v>
      </c>
      <c r="AT205">
        <f t="shared" si="156"/>
        <v>-460019.03097892716</v>
      </c>
      <c r="AU205">
        <f t="shared" si="157"/>
        <v>-619836.50432736101</v>
      </c>
      <c r="AV205">
        <f t="shared" si="198"/>
        <v>-2.2092621427535639</v>
      </c>
      <c r="AW205">
        <f t="shared" si="199"/>
        <v>-28579.832180794976</v>
      </c>
      <c r="AX205">
        <f t="shared" si="200"/>
        <v>-30553.242701926378</v>
      </c>
      <c r="AY205">
        <f t="shared" si="208"/>
        <v>-2.322834506650731</v>
      </c>
      <c r="BA205">
        <f t="shared" si="184"/>
        <v>18.450089340698472</v>
      </c>
      <c r="BB205">
        <f t="shared" si="201"/>
        <v>25.31996946960718</v>
      </c>
      <c r="BC205">
        <f t="shared" si="202"/>
        <v>0.11357236389716707</v>
      </c>
      <c r="BD205">
        <f t="shared" si="185"/>
        <v>-173.49278287193277</v>
      </c>
      <c r="BF205">
        <f t="shared" si="186"/>
        <v>-8.0749898203575672</v>
      </c>
      <c r="BG205">
        <f t="shared" si="187"/>
        <v>-149.61049833912509</v>
      </c>
      <c r="BH205">
        <f t="shared" si="203"/>
        <v>30.389501660874913</v>
      </c>
      <c r="BI205">
        <f t="shared" si="204"/>
        <v>30.389501660874913</v>
      </c>
      <c r="BJ205">
        <f t="shared" si="188"/>
        <v>0</v>
      </c>
      <c r="BK205">
        <f t="shared" si="205"/>
        <v>0</v>
      </c>
      <c r="BM205">
        <f t="shared" si="206"/>
        <v>-33.394959289964753</v>
      </c>
      <c r="BN205">
        <f t="shared" si="189"/>
        <v>-156.11771546719234</v>
      </c>
      <c r="BQ205" s="47">
        <f t="shared" si="207"/>
        <v>42.221930269892319</v>
      </c>
      <c r="BR205" s="529"/>
      <c r="BS205" s="529"/>
      <c r="BT205" s="529">
        <v>8912.509</v>
      </c>
      <c r="BU205" s="529">
        <v>-1.6954</v>
      </c>
      <c r="BV205" s="529">
        <v>-217.619</v>
      </c>
      <c r="BW205" s="49"/>
      <c r="BY205" s="529"/>
      <c r="BZ205" s="529"/>
      <c r="CA205" s="529"/>
      <c r="CC205" s="529"/>
    </row>
    <row r="206" spans="1:81">
      <c r="A206">
        <f t="shared" si="190"/>
        <v>86000</v>
      </c>
      <c r="B206">
        <f t="shared" si="191"/>
        <v>86</v>
      </c>
      <c r="C206">
        <f t="shared" si="159"/>
        <v>1.0894350465255431</v>
      </c>
      <c r="D206">
        <f t="shared" si="160"/>
        <v>0.40802333106213517</v>
      </c>
      <c r="F206">
        <f t="shared" si="161"/>
        <v>1.2950457186574661E-3</v>
      </c>
      <c r="G206">
        <f t="shared" si="162"/>
        <v>1.085701536308512E-2</v>
      </c>
      <c r="H206">
        <f t="shared" si="163"/>
        <v>-3.1307356346369151</v>
      </c>
      <c r="J206">
        <f t="shared" si="164"/>
        <v>15</v>
      </c>
      <c r="M206">
        <f t="shared" si="165"/>
        <v>1.7511358348674014E-2</v>
      </c>
      <c r="N206">
        <f t="shared" si="166"/>
        <v>-1.5707963250000001</v>
      </c>
      <c r="O206">
        <f t="shared" si="167"/>
        <v>41.916377930664844</v>
      </c>
      <c r="P206">
        <f t="shared" si="168"/>
        <v>1.5469370399655202</v>
      </c>
      <c r="Q206">
        <f t="shared" si="169"/>
        <v>32.719234428646942</v>
      </c>
      <c r="R206">
        <f t="shared" si="170"/>
        <v>1.5402285043380137</v>
      </c>
      <c r="S206">
        <f t="shared" si="171"/>
        <v>0.90813500318853002</v>
      </c>
      <c r="T206">
        <f t="shared" si="172"/>
        <v>-0.4319885056301549</v>
      </c>
      <c r="U206">
        <f t="shared" si="173"/>
        <v>0.81208762095394083</v>
      </c>
      <c r="V206">
        <f t="shared" si="174"/>
        <v>-0.62307552703569369</v>
      </c>
      <c r="X206">
        <f t="shared" si="192"/>
        <v>-8.5232455237511946</v>
      </c>
      <c r="Y206">
        <f t="shared" si="175"/>
        <v>-129.56908370939718</v>
      </c>
      <c r="Z206">
        <f t="shared" si="193"/>
        <v>50.430916290602823</v>
      </c>
      <c r="AC206">
        <v>1</v>
      </c>
      <c r="AD206">
        <f t="shared" si="176"/>
        <v>41.904447721290005</v>
      </c>
      <c r="AE206">
        <f t="shared" si="177"/>
        <v>-1.8567451268054007E-3</v>
      </c>
      <c r="AF206">
        <f t="shared" si="178"/>
        <v>2.5839725209956003E-3</v>
      </c>
      <c r="AG206">
        <f t="shared" si="194"/>
        <v>10511.538789783521</v>
      </c>
      <c r="AH206">
        <f t="shared" si="195"/>
        <v>-7940.1960572131893</v>
      </c>
      <c r="AJ206">
        <f t="shared" si="179"/>
        <v>22100</v>
      </c>
      <c r="AK206">
        <f t="shared" si="180"/>
        <v>10188.762514342776</v>
      </c>
      <c r="AL206">
        <v>1</v>
      </c>
      <c r="AM206">
        <f t="shared" si="181"/>
        <v>32.703949327210559</v>
      </c>
      <c r="AN206">
        <f t="shared" si="196"/>
        <v>331.89793720291613</v>
      </c>
      <c r="AO206">
        <f t="shared" si="197"/>
        <v>-665.61080574710411</v>
      </c>
      <c r="AQ206">
        <f t="shared" si="182"/>
        <v>0.33800912624640866</v>
      </c>
      <c r="AR206">
        <f t="shared" si="183"/>
        <v>-58.137569714382288</v>
      </c>
      <c r="AT206">
        <f t="shared" si="156"/>
        <v>-458070.7057802552</v>
      </c>
      <c r="AU206">
        <f t="shared" si="157"/>
        <v>-613799.17792799696</v>
      </c>
      <c r="AV206">
        <f t="shared" si="198"/>
        <v>-2.2119172526781248</v>
      </c>
      <c r="AW206">
        <f t="shared" si="199"/>
        <v>-28168.101500352601</v>
      </c>
      <c r="AX206">
        <f t="shared" si="200"/>
        <v>-30414.656662133806</v>
      </c>
      <c r="AY206">
        <f t="shared" si="208"/>
        <v>-2.3178648699831239</v>
      </c>
      <c r="BA206">
        <f t="shared" si="184"/>
        <v>18.475195417956144</v>
      </c>
      <c r="BB206">
        <f t="shared" si="201"/>
        <v>25.331780815211339</v>
      </c>
      <c r="BC206">
        <f t="shared" si="202"/>
        <v>0.10594761730499913</v>
      </c>
      <c r="BD206">
        <f t="shared" si="185"/>
        <v>-173.92964867201997</v>
      </c>
      <c r="BF206">
        <f t="shared" si="186"/>
        <v>-8.1566651507222936</v>
      </c>
      <c r="BG206">
        <f t="shared" si="187"/>
        <v>-149.9295726734529</v>
      </c>
      <c r="BH206">
        <f t="shared" si="203"/>
        <v>30.070427326547104</v>
      </c>
      <c r="BI206">
        <f t="shared" si="204"/>
        <v>30.070427326547104</v>
      </c>
      <c r="BJ206">
        <f t="shared" si="188"/>
        <v>0</v>
      </c>
      <c r="BK206">
        <f t="shared" si="205"/>
        <v>0</v>
      </c>
      <c r="BM206">
        <f t="shared" si="206"/>
        <v>-33.488445965933636</v>
      </c>
      <c r="BN206">
        <f t="shared" si="189"/>
        <v>-155.99992400143296</v>
      </c>
      <c r="BQ206" s="47">
        <f t="shared" si="207"/>
        <v>42.23374161549647</v>
      </c>
      <c r="BR206" s="529"/>
      <c r="BS206" s="529"/>
      <c r="BT206" s="529">
        <v>9120.1080000000002</v>
      </c>
      <c r="BU206" s="529">
        <v>-1.76502</v>
      </c>
      <c r="BV206" s="529">
        <v>-216.501</v>
      </c>
      <c r="BW206" s="49"/>
      <c r="BY206" s="529"/>
      <c r="BZ206" s="529"/>
      <c r="CA206" s="529"/>
      <c r="CC206" s="529"/>
    </row>
    <row r="207" spans="1:81">
      <c r="A207">
        <f t="shared" si="190"/>
        <v>86500</v>
      </c>
      <c r="B207">
        <f t="shared" si="191"/>
        <v>86.5</v>
      </c>
      <c r="C207">
        <f t="shared" si="159"/>
        <v>1.090434743230833</v>
      </c>
      <c r="D207">
        <f t="shared" si="160"/>
        <v>0.41013895835250397</v>
      </c>
      <c r="F207">
        <f t="shared" si="161"/>
        <v>1.2800987794821272E-3</v>
      </c>
      <c r="G207">
        <f t="shared" si="162"/>
        <v>1.0794098902125569E-2</v>
      </c>
      <c r="H207">
        <f t="shared" si="163"/>
        <v>-3.1307985510978749</v>
      </c>
      <c r="J207">
        <f t="shared" si="164"/>
        <v>15</v>
      </c>
      <c r="M207">
        <f t="shared" si="165"/>
        <v>1.7410136624115204E-2</v>
      </c>
      <c r="N207">
        <f t="shared" si="166"/>
        <v>-1.5707963250000001</v>
      </c>
      <c r="O207">
        <f t="shared" si="167"/>
        <v>42.159939499382283</v>
      </c>
      <c r="P207">
        <f t="shared" si="168"/>
        <v>1.5470749030367801</v>
      </c>
      <c r="Q207">
        <f t="shared" si="169"/>
        <v>32.909285356651999</v>
      </c>
      <c r="R207">
        <f t="shared" si="170"/>
        <v>1.5404050878588027</v>
      </c>
      <c r="S207">
        <f t="shared" si="171"/>
        <v>0.90720822336313989</v>
      </c>
      <c r="T207">
        <f t="shared" si="172"/>
        <v>-0.43419680762940566</v>
      </c>
      <c r="U207">
        <f t="shared" si="173"/>
        <v>0.81048001872270548</v>
      </c>
      <c r="V207">
        <f t="shared" si="174"/>
        <v>-0.62582520418764731</v>
      </c>
      <c r="X207">
        <f t="shared" si="192"/>
        <v>-8.5919135350136138</v>
      </c>
      <c r="Y207">
        <f t="shared" si="175"/>
        <v>-129.71752686015213</v>
      </c>
      <c r="Z207">
        <f t="shared" si="193"/>
        <v>50.282473139847866</v>
      </c>
      <c r="AC207">
        <v>1</v>
      </c>
      <c r="AD207">
        <f t="shared" si="176"/>
        <v>42.148078231297504</v>
      </c>
      <c r="AE207">
        <f t="shared" si="177"/>
        <v>-1.8783979482206198E-3</v>
      </c>
      <c r="AF207">
        <f t="shared" si="178"/>
        <v>2.5989956170479E-3</v>
      </c>
      <c r="AG207">
        <f t="shared" si="194"/>
        <v>10469.962864147896</v>
      </c>
      <c r="AH207">
        <f t="shared" si="195"/>
        <v>-7951.82439954865</v>
      </c>
      <c r="AJ207">
        <f t="shared" si="179"/>
        <v>22100</v>
      </c>
      <c r="AK207">
        <f t="shared" si="180"/>
        <v>10247.999505705233</v>
      </c>
      <c r="AL207">
        <v>1</v>
      </c>
      <c r="AM207">
        <f t="shared" si="181"/>
        <v>32.894088567485042</v>
      </c>
      <c r="AN207">
        <f t="shared" si="196"/>
        <v>331.66354354135257</v>
      </c>
      <c r="AO207">
        <f t="shared" si="197"/>
        <v>-661.77047014994935</v>
      </c>
      <c r="AQ207">
        <f t="shared" si="182"/>
        <v>0.33411293017039762</v>
      </c>
      <c r="AR207">
        <f t="shared" si="183"/>
        <v>-57.801536919478785</v>
      </c>
      <c r="AT207">
        <f t="shared" si="156"/>
        <v>-456129.52163640782</v>
      </c>
      <c r="AU207">
        <f t="shared" si="157"/>
        <v>-607836.75238795008</v>
      </c>
      <c r="AV207">
        <f t="shared" si="198"/>
        <v>-2.2145626722969984</v>
      </c>
      <c r="AW207">
        <f t="shared" si="199"/>
        <v>-27764.084185257318</v>
      </c>
      <c r="AX207">
        <f t="shared" si="200"/>
        <v>-30277.839658129069</v>
      </c>
      <c r="AY207">
        <f t="shared" si="208"/>
        <v>-2.3129122315668358</v>
      </c>
      <c r="BA207">
        <f t="shared" si="184"/>
        <v>18.499060125549128</v>
      </c>
      <c r="BB207">
        <f t="shared" si="201"/>
        <v>25.342993278701684</v>
      </c>
      <c r="BC207">
        <f t="shared" si="202"/>
        <v>9.834955926983735E-2</v>
      </c>
      <c r="BD207">
        <f t="shared" si="185"/>
        <v>-174.36498533042763</v>
      </c>
      <c r="BF207">
        <f t="shared" si="186"/>
        <v>-8.2383182610587031</v>
      </c>
      <c r="BG207">
        <f t="shared" si="187"/>
        <v>-150.24729766464026</v>
      </c>
      <c r="BH207">
        <f t="shared" si="203"/>
        <v>29.752702335359743</v>
      </c>
      <c r="BI207">
        <f t="shared" si="204"/>
        <v>29.752702335359743</v>
      </c>
      <c r="BJ207">
        <f t="shared" si="188"/>
        <v>0</v>
      </c>
      <c r="BK207">
        <f t="shared" si="205"/>
        <v>0</v>
      </c>
      <c r="BM207">
        <f t="shared" si="206"/>
        <v>-33.581311539760385</v>
      </c>
      <c r="BN207">
        <f t="shared" si="189"/>
        <v>-155.88231233421263</v>
      </c>
      <c r="BQ207" s="47">
        <f t="shared" si="207"/>
        <v>42.244954078986822</v>
      </c>
      <c r="BR207" s="529"/>
      <c r="BS207" s="529"/>
      <c r="BT207" s="529">
        <v>9332.5429999999997</v>
      </c>
      <c r="BU207" s="529">
        <v>-1.99203</v>
      </c>
      <c r="BV207" s="529">
        <v>-215.83600000000001</v>
      </c>
      <c r="BW207" s="49"/>
      <c r="BY207" s="529"/>
      <c r="BZ207" s="529"/>
      <c r="CA207" s="529"/>
      <c r="CC207" s="529"/>
    </row>
    <row r="208" spans="1:81">
      <c r="A208">
        <f t="shared" si="190"/>
        <v>87000</v>
      </c>
      <c r="B208">
        <f t="shared" si="191"/>
        <v>87</v>
      </c>
      <c r="C208">
        <f t="shared" si="159"/>
        <v>1.0914393116363721</v>
      </c>
      <c r="D208">
        <f t="shared" si="160"/>
        <v>0.41225070060388874</v>
      </c>
      <c r="F208">
        <f t="shared" si="161"/>
        <v>1.2654092277053618E-3</v>
      </c>
      <c r="G208">
        <f t="shared" si="162"/>
        <v>1.0731908343576005E-2</v>
      </c>
      <c r="H208">
        <f t="shared" si="163"/>
        <v>-3.130860741656424</v>
      </c>
      <c r="J208">
        <f t="shared" si="164"/>
        <v>15</v>
      </c>
      <c r="M208">
        <f t="shared" si="165"/>
        <v>1.7310078367654771E-2</v>
      </c>
      <c r="N208">
        <f t="shared" si="166"/>
        <v>-1.5707963250000001</v>
      </c>
      <c r="O208">
        <f t="shared" si="167"/>
        <v>42.403501860195874</v>
      </c>
      <c r="P208">
        <f t="shared" si="168"/>
        <v>1.5472111823614512</v>
      </c>
      <c r="Q208">
        <f t="shared" si="169"/>
        <v>33.099337299041629</v>
      </c>
      <c r="R208">
        <f t="shared" si="170"/>
        <v>1.5405796435473365</v>
      </c>
      <c r="S208">
        <f t="shared" si="171"/>
        <v>0.90627892718680603</v>
      </c>
      <c r="T208">
        <f t="shared" si="172"/>
        <v>-0.43640059622153826</v>
      </c>
      <c r="U208">
        <f t="shared" si="173"/>
        <v>0.80887268927321665</v>
      </c>
      <c r="V208">
        <f t="shared" si="174"/>
        <v>-0.62856399575766808</v>
      </c>
      <c r="X208">
        <f t="shared" si="192"/>
        <v>-8.6603208187601126</v>
      </c>
      <c r="Y208">
        <f t="shared" si="175"/>
        <v>-129.8654756472427</v>
      </c>
      <c r="Z208">
        <f t="shared" si="193"/>
        <v>50.134524352757296</v>
      </c>
      <c r="AC208">
        <v>1</v>
      </c>
      <c r="AD208">
        <f t="shared" si="176"/>
        <v>42.391708741305003</v>
      </c>
      <c r="AE208">
        <f t="shared" si="177"/>
        <v>-1.9001762932382468E-3</v>
      </c>
      <c r="AF208">
        <f t="shared" si="178"/>
        <v>2.6140187131002005E-3</v>
      </c>
      <c r="AG208">
        <f t="shared" si="194"/>
        <v>10428.4763571637</v>
      </c>
      <c r="AH208">
        <f t="shared" si="195"/>
        <v>-7963.1960720703901</v>
      </c>
      <c r="AJ208">
        <f t="shared" si="179"/>
        <v>22100</v>
      </c>
      <c r="AK208">
        <f t="shared" si="180"/>
        <v>10307.236497067692</v>
      </c>
      <c r="AL208">
        <v>1</v>
      </c>
      <c r="AM208">
        <f t="shared" si="181"/>
        <v>33.084227807759518</v>
      </c>
      <c r="AN208">
        <f t="shared" si="196"/>
        <v>331.43317460733516</v>
      </c>
      <c r="AO208">
        <f t="shared" si="197"/>
        <v>-657.97415469032353</v>
      </c>
      <c r="AQ208">
        <f t="shared" si="182"/>
        <v>0.33028371371007698</v>
      </c>
      <c r="AR208">
        <f t="shared" si="183"/>
        <v>-57.46936618555339</v>
      </c>
      <c r="AT208">
        <f t="shared" si="156"/>
        <v>-454195.47517359193</v>
      </c>
      <c r="AU208">
        <f t="shared" si="157"/>
        <v>-601948.0404989114</v>
      </c>
      <c r="AV208">
        <f t="shared" si="198"/>
        <v>-2.2171984038228061</v>
      </c>
      <c r="AW208">
        <f t="shared" si="199"/>
        <v>-27367.600104123394</v>
      </c>
      <c r="AX208">
        <f t="shared" si="200"/>
        <v>-30142.752361488056</v>
      </c>
      <c r="AY208">
        <f t="shared" si="208"/>
        <v>-2.307977062620262</v>
      </c>
      <c r="BA208">
        <f t="shared" si="184"/>
        <v>18.521694057024149</v>
      </c>
      <c r="BB208">
        <f t="shared" si="201"/>
        <v>25.353614124208683</v>
      </c>
      <c r="BC208">
        <f t="shared" si="202"/>
        <v>9.0778658797455947E-2</v>
      </c>
      <c r="BD208">
        <f t="shared" si="185"/>
        <v>-174.79876597510435</v>
      </c>
      <c r="BF208">
        <f t="shared" si="186"/>
        <v>-8.3199489077899322</v>
      </c>
      <c r="BG208">
        <f t="shared" si="187"/>
        <v>-150.5636476472894</v>
      </c>
      <c r="BH208">
        <f t="shared" si="203"/>
        <v>29.4363523527106</v>
      </c>
      <c r="BI208">
        <f t="shared" si="204"/>
        <v>29.4363523527106</v>
      </c>
      <c r="BJ208">
        <f t="shared" si="188"/>
        <v>0</v>
      </c>
      <c r="BK208">
        <f t="shared" si="205"/>
        <v>0</v>
      </c>
      <c r="BM208">
        <f t="shared" si="206"/>
        <v>-33.673563031998619</v>
      </c>
      <c r="BN208">
        <f t="shared" si="189"/>
        <v>-155.76488167218506</v>
      </c>
      <c r="BQ208" s="47">
        <f t="shared" si="207"/>
        <v>42.255574924493821</v>
      </c>
      <c r="BR208" s="529"/>
      <c r="BS208" s="529"/>
      <c r="BT208" s="529">
        <v>9549.9259999999995</v>
      </c>
      <c r="BU208" s="529">
        <v>-2.1278299999999999</v>
      </c>
      <c r="BV208" s="529">
        <v>-215.499</v>
      </c>
      <c r="BW208" s="49"/>
      <c r="BY208" s="529"/>
      <c r="BZ208" s="529"/>
      <c r="CA208" s="529"/>
      <c r="CC208" s="529"/>
    </row>
    <row r="209" spans="1:81">
      <c r="A209">
        <f t="shared" si="190"/>
        <v>87500</v>
      </c>
      <c r="B209">
        <f t="shared" si="191"/>
        <v>87.5</v>
      </c>
      <c r="C209">
        <f t="shared" si="159"/>
        <v>1.0924487383027484</v>
      </c>
      <c r="D209">
        <f t="shared" si="160"/>
        <v>0.41435854972542396</v>
      </c>
      <c r="F209">
        <f t="shared" si="161"/>
        <v>1.2509711850688713E-3</v>
      </c>
      <c r="G209">
        <f t="shared" si="162"/>
        <v>1.0670431181525546E-2</v>
      </c>
      <c r="H209">
        <f t="shared" si="163"/>
        <v>-3.1309222188184749</v>
      </c>
      <c r="J209">
        <f t="shared" si="164"/>
        <v>15</v>
      </c>
      <c r="M209">
        <f t="shared" si="165"/>
        <v>1.7211163634125316E-2</v>
      </c>
      <c r="N209">
        <f t="shared" si="166"/>
        <v>-1.5707963250000001</v>
      </c>
      <c r="O209">
        <f t="shared" si="167"/>
        <v>42.647064999534365</v>
      </c>
      <c r="P209">
        <f t="shared" si="168"/>
        <v>1.5473459050693985</v>
      </c>
      <c r="Q209">
        <f t="shared" si="169"/>
        <v>33.289390238442195</v>
      </c>
      <c r="R209">
        <f t="shared" si="170"/>
        <v>1.5407522061242647</v>
      </c>
      <c r="S209">
        <f t="shared" si="171"/>
        <v>0.90534714942239747</v>
      </c>
      <c r="T209">
        <f t="shared" si="172"/>
        <v>-0.43859986388888922</v>
      </c>
      <c r="U209">
        <f t="shared" si="173"/>
        <v>0.80726570310973012</v>
      </c>
      <c r="V209">
        <f t="shared" si="174"/>
        <v>-0.63129192541600521</v>
      </c>
      <c r="X209">
        <f t="shared" si="192"/>
        <v>-8.7284700998942046</v>
      </c>
      <c r="Y209">
        <f t="shared" si="175"/>
        <v>-130.01292863247906</v>
      </c>
      <c r="Z209">
        <f t="shared" si="193"/>
        <v>49.98707136752094</v>
      </c>
      <c r="AC209">
        <v>1</v>
      </c>
      <c r="AD209">
        <f t="shared" si="176"/>
        <v>42.635339251312509</v>
      </c>
      <c r="AE209">
        <f t="shared" si="177"/>
        <v>-1.922080161858281E-3</v>
      </c>
      <c r="AF209">
        <f t="shared" si="178"/>
        <v>2.6290418091525006E-3</v>
      </c>
      <c r="AG209">
        <f t="shared" si="194"/>
        <v>10387.081041255506</v>
      </c>
      <c r="AH209">
        <f t="shared" si="195"/>
        <v>-7974.3130504910796</v>
      </c>
      <c r="AJ209">
        <f t="shared" si="179"/>
        <v>22100</v>
      </c>
      <c r="AK209">
        <f t="shared" si="180"/>
        <v>10366.473488430151</v>
      </c>
      <c r="AL209">
        <v>1</v>
      </c>
      <c r="AM209">
        <f t="shared" si="181"/>
        <v>33.274367048034001</v>
      </c>
      <c r="AN209">
        <f t="shared" si="196"/>
        <v>331.20673880921254</v>
      </c>
      <c r="AO209">
        <f t="shared" si="197"/>
        <v>-654.22110748991656</v>
      </c>
      <c r="AQ209">
        <f t="shared" si="182"/>
        <v>0.32651995036896753</v>
      </c>
      <c r="AR209">
        <f t="shared" si="183"/>
        <v>-57.14099131456932</v>
      </c>
      <c r="AT209">
        <f t="shared" si="156"/>
        <v>-452268.56357169832</v>
      </c>
      <c r="AU209">
        <f t="shared" si="157"/>
        <v>-596131.8798635815</v>
      </c>
      <c r="AV209">
        <f t="shared" si="198"/>
        <v>-2.2198244504172027</v>
      </c>
      <c r="AW209">
        <f t="shared" si="199"/>
        <v>-26978.47423558528</v>
      </c>
      <c r="AX209">
        <f t="shared" si="200"/>
        <v>-30009.356578148298</v>
      </c>
      <c r="AY209">
        <f t="shared" si="208"/>
        <v>-2.3030598225605341</v>
      </c>
      <c r="BA209">
        <f t="shared" si="184"/>
        <v>18.543108124038778</v>
      </c>
      <c r="BB209">
        <f t="shared" si="201"/>
        <v>25.363650613413601</v>
      </c>
      <c r="BC209">
        <f t="shared" si="202"/>
        <v>8.3235372143331432E-2</v>
      </c>
      <c r="BD209">
        <f t="shared" si="185"/>
        <v>-175.2309644645369</v>
      </c>
      <c r="BF209">
        <f t="shared" si="186"/>
        <v>-8.4015567318579869</v>
      </c>
      <c r="BG209">
        <f t="shared" si="187"/>
        <v>-150.87859765999562</v>
      </c>
      <c r="BH209">
        <f t="shared" si="203"/>
        <v>29.12140234000438</v>
      </c>
      <c r="BI209">
        <f t="shared" si="204"/>
        <v>29.12140234000438</v>
      </c>
      <c r="BJ209">
        <f t="shared" si="188"/>
        <v>0</v>
      </c>
      <c r="BK209">
        <f t="shared" si="205"/>
        <v>0</v>
      </c>
      <c r="BM209">
        <f t="shared" si="206"/>
        <v>-33.765207345271584</v>
      </c>
      <c r="BN209">
        <f t="shared" si="189"/>
        <v>-155.64763319545872</v>
      </c>
      <c r="BQ209" s="47">
        <f t="shared" si="207"/>
        <v>42.265611413698736</v>
      </c>
      <c r="BR209" s="529"/>
      <c r="BS209" s="529"/>
      <c r="BT209" s="529">
        <v>9772.3719999999994</v>
      </c>
      <c r="BU209" s="529">
        <v>-1.9944299999999999</v>
      </c>
      <c r="BV209" s="529">
        <v>-212.98699999999999</v>
      </c>
      <c r="BW209" s="49"/>
      <c r="BY209" s="529"/>
      <c r="BZ209" s="529"/>
      <c r="CA209" s="529"/>
      <c r="CC209" s="529"/>
    </row>
    <row r="210" spans="1:81">
      <c r="A210">
        <f t="shared" si="190"/>
        <v>88000</v>
      </c>
      <c r="B210">
        <f t="shared" si="191"/>
        <v>88</v>
      </c>
      <c r="C210">
        <f t="shared" si="159"/>
        <v>1.0934630097753013</v>
      </c>
      <c r="D210">
        <f t="shared" si="160"/>
        <v>0.41646249779442601</v>
      </c>
      <c r="F210">
        <f t="shared" si="161"/>
        <v>1.236778940238274E-3</v>
      </c>
      <c r="G210">
        <f t="shared" si="162"/>
        <v>1.0609655196035418E-2</v>
      </c>
      <c r="H210">
        <f t="shared" si="163"/>
        <v>-3.1309829948039649</v>
      </c>
      <c r="J210">
        <f t="shared" si="164"/>
        <v>15</v>
      </c>
      <c r="M210">
        <f t="shared" si="165"/>
        <v>1.7113372931658693E-2</v>
      </c>
      <c r="N210">
        <f t="shared" si="166"/>
        <v>-1.5707963250000001</v>
      </c>
      <c r="O210">
        <f t="shared" si="167"/>
        <v>42.890628904134708</v>
      </c>
      <c r="P210">
        <f t="shared" si="168"/>
        <v>1.5474790976744648</v>
      </c>
      <c r="Q210">
        <f t="shared" si="169"/>
        <v>33.479444157874511</v>
      </c>
      <c r="R210">
        <f t="shared" si="170"/>
        <v>1.5409228095223191</v>
      </c>
      <c r="S210">
        <f t="shared" si="171"/>
        <v>0.90441292471514767</v>
      </c>
      <c r="T210">
        <f t="shared" si="172"/>
        <v>-0.44079460331953951</v>
      </c>
      <c r="U210">
        <f t="shared" si="173"/>
        <v>0.80565912972766862</v>
      </c>
      <c r="V210">
        <f t="shared" si="174"/>
        <v>-0.63400901729217307</v>
      </c>
      <c r="X210">
        <f t="shared" si="192"/>
        <v>-8.7963640499235769</v>
      </c>
      <c r="Y210">
        <f t="shared" si="175"/>
        <v>-130.15988447019191</v>
      </c>
      <c r="Z210">
        <f t="shared" si="193"/>
        <v>49.840115529808088</v>
      </c>
      <c r="AC210">
        <v>1</v>
      </c>
      <c r="AD210">
        <f t="shared" si="176"/>
        <v>42.87896976132</v>
      </c>
      <c r="AE210">
        <f t="shared" si="177"/>
        <v>-1.9441095540807221E-3</v>
      </c>
      <c r="AF210">
        <f t="shared" si="178"/>
        <v>2.6440649052048002E-3</v>
      </c>
      <c r="AG210">
        <f t="shared" si="194"/>
        <v>10345.778648501129</v>
      </c>
      <c r="AH210">
        <f t="shared" si="195"/>
        <v>-7985.1773204939627</v>
      </c>
      <c r="AJ210">
        <f t="shared" si="179"/>
        <v>22100</v>
      </c>
      <c r="AK210">
        <f t="shared" si="180"/>
        <v>10425.710479792608</v>
      </c>
      <c r="AL210">
        <v>1</v>
      </c>
      <c r="AM210">
        <f t="shared" si="181"/>
        <v>33.464506288308485</v>
      </c>
      <c r="AN210">
        <f t="shared" si="196"/>
        <v>330.984147145284</v>
      </c>
      <c r="AO210">
        <f t="shared" si="197"/>
        <v>-650.51059368116751</v>
      </c>
      <c r="AQ210">
        <f t="shared" si="182"/>
        <v>0.32282015689059623</v>
      </c>
      <c r="AR210">
        <f t="shared" si="183"/>
        <v>-56.816347612744941</v>
      </c>
      <c r="AT210">
        <f t="shared" si="156"/>
        <v>-450348.78450412769</v>
      </c>
      <c r="AU210">
        <f t="shared" si="157"/>
        <v>-590387.13221315586</v>
      </c>
      <c r="AV210">
        <f t="shared" si="198"/>
        <v>-2.222440816166654</v>
      </c>
      <c r="AW210">
        <f t="shared" si="199"/>
        <v>-26596.536495980734</v>
      </c>
      <c r="AX210">
        <f t="shared" si="200"/>
        <v>-29877.615209522799</v>
      </c>
      <c r="AY210">
        <f t="shared" si="208"/>
        <v>-2.2981609589385541</v>
      </c>
      <c r="BA210">
        <f t="shared" si="184"/>
        <v>18.563313543801151</v>
      </c>
      <c r="BB210">
        <f t="shared" si="201"/>
        <v>25.373110003761919</v>
      </c>
      <c r="BC210">
        <f t="shared" si="202"/>
        <v>7.572014277190009E-2</v>
      </c>
      <c r="BD210">
        <f t="shared" si="185"/>
        <v>-175.66155539008471</v>
      </c>
      <c r="BF210">
        <f t="shared" si="186"/>
        <v>-8.4831412632002223</v>
      </c>
      <c r="BG210">
        <f t="shared" si="187"/>
        <v>-151.19212344820545</v>
      </c>
      <c r="BH210">
        <f t="shared" si="203"/>
        <v>28.80787655179455</v>
      </c>
      <c r="BI210">
        <f t="shared" si="204"/>
        <v>28.80787655179455</v>
      </c>
      <c r="BJ210">
        <f t="shared" si="188"/>
        <v>0</v>
      </c>
      <c r="BK210">
        <f t="shared" si="205"/>
        <v>0</v>
      </c>
      <c r="BM210">
        <f t="shared" si="206"/>
        <v>-33.856251266962133</v>
      </c>
      <c r="BN210">
        <f t="shared" si="189"/>
        <v>-155.53056805812074</v>
      </c>
      <c r="BQ210" s="47">
        <f t="shared" si="207"/>
        <v>42.275070804047054</v>
      </c>
      <c r="BR210" s="529"/>
      <c r="BS210" s="529"/>
      <c r="BT210" s="529">
        <v>10000</v>
      </c>
      <c r="BU210" s="529">
        <v>-2.2209699999999999</v>
      </c>
      <c r="BV210" s="529">
        <v>-213.047</v>
      </c>
      <c r="BW210" s="49"/>
      <c r="BY210" s="529"/>
      <c r="BZ210" s="529"/>
      <c r="CA210" s="529"/>
      <c r="CC210" s="529"/>
    </row>
    <row r="211" spans="1:81">
      <c r="A211">
        <f t="shared" si="190"/>
        <v>88500</v>
      </c>
      <c r="B211">
        <f t="shared" si="191"/>
        <v>88.5</v>
      </c>
      <c r="C211">
        <f t="shared" si="159"/>
        <v>1.0944821125847874</v>
      </c>
      <c r="D211">
        <f t="shared" si="160"/>
        <v>0.41856253705565494</v>
      </c>
      <c r="F211">
        <f t="shared" si="161"/>
        <v>1.2228269431448962E-3</v>
      </c>
      <c r="G211">
        <f t="shared" si="162"/>
        <v>1.0549568445001758E-2</v>
      </c>
      <c r="H211">
        <f t="shared" si="163"/>
        <v>-3.1310430815549983</v>
      </c>
      <c r="J211">
        <f t="shared" si="164"/>
        <v>15</v>
      </c>
      <c r="M211">
        <f t="shared" si="165"/>
        <v>1.701668720888096E-2</v>
      </c>
      <c r="N211">
        <f t="shared" si="166"/>
        <v>-1.5707963250000001</v>
      </c>
      <c r="O211">
        <f t="shared" si="167"/>
        <v>43.134193561033399</v>
      </c>
      <c r="P211">
        <f t="shared" si="168"/>
        <v>1.5476107860918522</v>
      </c>
      <c r="Q211">
        <f t="shared" si="169"/>
        <v>33.669499040742629</v>
      </c>
      <c r="R211">
        <f t="shared" si="170"/>
        <v>1.5410914869085299</v>
      </c>
      <c r="S211">
        <f t="shared" si="171"/>
        <v>0.90347628759048582</v>
      </c>
      <c r="T211">
        <f t="shared" si="172"/>
        <v>-0.44298480740614327</v>
      </c>
      <c r="U211">
        <f t="shared" si="173"/>
        <v>0.80405303761895819</v>
      </c>
      <c r="V211">
        <f t="shared" si="174"/>
        <v>-0.63671529596442888</v>
      </c>
      <c r="X211">
        <f t="shared" si="192"/>
        <v>-8.8640052883262079</v>
      </c>
      <c r="Y211">
        <f t="shared" si="175"/>
        <v>-130.30634190480296</v>
      </c>
      <c r="Z211">
        <f t="shared" si="193"/>
        <v>49.693658095197037</v>
      </c>
      <c r="AC211">
        <v>1</v>
      </c>
      <c r="AD211">
        <f t="shared" si="176"/>
        <v>43.122600271327507</v>
      </c>
      <c r="AE211">
        <f t="shared" si="177"/>
        <v>-1.9662644699055703E-3</v>
      </c>
      <c r="AF211">
        <f t="shared" si="178"/>
        <v>2.6590880012571003E-3</v>
      </c>
      <c r="AG211">
        <f t="shared" si="194"/>
        <v>10304.570871035199</v>
      </c>
      <c r="AH211">
        <f t="shared" si="195"/>
        <v>-7995.7908769055002</v>
      </c>
      <c r="AJ211">
        <f t="shared" si="179"/>
        <v>22100</v>
      </c>
      <c r="AK211">
        <f t="shared" si="180"/>
        <v>10484.947471155067</v>
      </c>
      <c r="AL211">
        <v>1</v>
      </c>
      <c r="AM211">
        <f t="shared" si="181"/>
        <v>33.654645528582961</v>
      </c>
      <c r="AN211">
        <f t="shared" si="196"/>
        <v>330.76531311643578</v>
      </c>
      <c r="AO211">
        <f t="shared" si="197"/>
        <v>-646.84189492933172</v>
      </c>
      <c r="AQ211">
        <f t="shared" si="182"/>
        <v>0.31918289179699966</v>
      </c>
      <c r="AR211">
        <f t="shared" si="183"/>
        <v>-56.495371848068942</v>
      </c>
      <c r="AT211">
        <f t="shared" si="156"/>
        <v>-448436.13608082931</v>
      </c>
      <c r="AU211">
        <f t="shared" si="157"/>
        <v>-584712.68274820806</v>
      </c>
      <c r="AV211">
        <f t="shared" si="198"/>
        <v>-2.2250475060587851</v>
      </c>
      <c r="AW211">
        <f t="shared" si="199"/>
        <v>-26221.621573790268</v>
      </c>
      <c r="AX211">
        <f t="shared" si="200"/>
        <v>-29747.492215166691</v>
      </c>
      <c r="AY211">
        <f t="shared" si="208"/>
        <v>-2.293280907385717</v>
      </c>
      <c r="BA211">
        <f t="shared" si="184"/>
        <v>18.582321826407004</v>
      </c>
      <c r="BB211">
        <f t="shared" si="201"/>
        <v>25.381999546648423</v>
      </c>
      <c r="BC211">
        <f t="shared" si="202"/>
        <v>6.8233401326931897E-2</v>
      </c>
      <c r="BD211">
        <f t="shared" si="185"/>
        <v>-176.0905140776772</v>
      </c>
      <c r="BF211">
        <f t="shared" si="186"/>
        <v>-8.5647019251772729</v>
      </c>
      <c r="BG211">
        <f t="shared" si="187"/>
        <v>-151.5042014664231</v>
      </c>
      <c r="BH211">
        <f t="shared" si="203"/>
        <v>28.495798533576902</v>
      </c>
      <c r="BI211">
        <f t="shared" si="204"/>
        <v>28.495798533576902</v>
      </c>
      <c r="BJ211">
        <f t="shared" si="188"/>
        <v>0</v>
      </c>
      <c r="BK211">
        <f t="shared" si="205"/>
        <v>0</v>
      </c>
      <c r="BM211">
        <f t="shared" si="206"/>
        <v>-33.946701471825691</v>
      </c>
      <c r="BN211">
        <f t="shared" si="189"/>
        <v>-155.4136873887459</v>
      </c>
      <c r="BQ211" s="47">
        <f t="shared" si="207"/>
        <v>42.283960346933554</v>
      </c>
      <c r="BR211" s="529"/>
      <c r="BS211" s="529"/>
      <c r="BT211" s="529">
        <v>10232.93</v>
      </c>
      <c r="BU211" s="529">
        <v>-2.4867400000000002</v>
      </c>
      <c r="BV211" s="529">
        <v>-211.715</v>
      </c>
      <c r="BW211" s="49"/>
      <c r="BY211" s="529"/>
      <c r="BZ211" s="529"/>
      <c r="CA211" s="529"/>
      <c r="CC211" s="529"/>
    </row>
    <row r="212" spans="1:81">
      <c r="A212">
        <f t="shared" si="190"/>
        <v>89000</v>
      </c>
      <c r="B212">
        <f t="shared" si="191"/>
        <v>89</v>
      </c>
      <c r="C212">
        <f t="shared" si="159"/>
        <v>1.0955060332480429</v>
      </c>
      <c r="D212">
        <f t="shared" si="160"/>
        <v>0.42065865992056672</v>
      </c>
      <c r="F212">
        <f t="shared" si="161"/>
        <v>1.2091097995501549E-3</v>
      </c>
      <c r="G212">
        <f t="shared" si="162"/>
        <v>1.0490159256295019E-2</v>
      </c>
      <c r="H212">
        <f t="shared" si="163"/>
        <v>-3.1311024907437051</v>
      </c>
      <c r="J212">
        <f t="shared" si="164"/>
        <v>15</v>
      </c>
      <c r="M212">
        <f t="shared" si="165"/>
        <v>1.6921087842538936E-2</v>
      </c>
      <c r="N212">
        <f t="shared" si="166"/>
        <v>-1.5707963250000001</v>
      </c>
      <c r="O212">
        <f t="shared" si="167"/>
        <v>43.377758957558051</v>
      </c>
      <c r="P212">
        <f t="shared" si="168"/>
        <v>1.5477409956549211</v>
      </c>
      <c r="Q212">
        <f t="shared" si="169"/>
        <v>33.85955487082316</v>
      </c>
      <c r="R212">
        <f t="shared" si="170"/>
        <v>1.5412582707056968</v>
      </c>
      <c r="S212">
        <f t="shared" si="171"/>
        <v>0.90253727245191206</v>
      </c>
      <c r="T212">
        <f t="shared" si="172"/>
        <v>-0.4451704692447449</v>
      </c>
      <c r="U212">
        <f t="shared" si="173"/>
        <v>0.80244749427753137</v>
      </c>
      <c r="V212">
        <f t="shared" si="174"/>
        <v>-0.63941078644935667</v>
      </c>
      <c r="X212">
        <f t="shared" si="192"/>
        <v>-8.931396383875871</v>
      </c>
      <c r="Y212">
        <f t="shared" si="175"/>
        <v>-130.45229976846042</v>
      </c>
      <c r="Z212">
        <f t="shared" si="193"/>
        <v>49.547700231539579</v>
      </c>
      <c r="AC212">
        <v>1</v>
      </c>
      <c r="AD212">
        <f t="shared" si="176"/>
        <v>43.366230781335005</v>
      </c>
      <c r="AE212">
        <f t="shared" si="177"/>
        <v>-1.9885449093328253E-3</v>
      </c>
      <c r="AF212">
        <f t="shared" si="178"/>
        <v>2.6741110973094004E-3</v>
      </c>
      <c r="AG212">
        <f t="shared" si="194"/>
        <v>10263.459361456586</v>
      </c>
      <c r="AH212">
        <f t="shared" si="195"/>
        <v>-8006.1557228905631</v>
      </c>
      <c r="AJ212">
        <f t="shared" si="179"/>
        <v>22100</v>
      </c>
      <c r="AK212">
        <f t="shared" si="180"/>
        <v>10544.184462517524</v>
      </c>
      <c r="AL212">
        <v>1</v>
      </c>
      <c r="AM212">
        <f t="shared" si="181"/>
        <v>33.844784768857437</v>
      </c>
      <c r="AN212">
        <f t="shared" si="196"/>
        <v>330.55015264219543</v>
      </c>
      <c r="AO212">
        <f t="shared" si="197"/>
        <v>-643.21430897055507</v>
      </c>
      <c r="AQ212">
        <f t="shared" si="182"/>
        <v>0.31560675398453525</v>
      </c>
      <c r="AR212">
        <f t="shared" si="183"/>
        <v>-56.178002209247275</v>
      </c>
      <c r="AT212">
        <f t="shared" si="156"/>
        <v>-446530.61679440225</v>
      </c>
      <c r="AU212">
        <f t="shared" si="157"/>
        <v>-579107.43950202386</v>
      </c>
      <c r="AV212">
        <f t="shared" si="198"/>
        <v>-2.2276445259592732</v>
      </c>
      <c r="AW212">
        <f t="shared" si="199"/>
        <v>-25853.568770531314</v>
      </c>
      <c r="AX212">
        <f t="shared" si="200"/>
        <v>-29618.952576925345</v>
      </c>
      <c r="AY212">
        <f t="shared" si="208"/>
        <v>-2.2884200915721591</v>
      </c>
      <c r="BA212">
        <f t="shared" si="184"/>
        <v>18.600144762097138</v>
      </c>
      <c r="BB212">
        <f t="shared" si="201"/>
        <v>25.390326485579102</v>
      </c>
      <c r="BC212">
        <f t="shared" si="202"/>
        <v>6.0775565612885885E-2</v>
      </c>
      <c r="BD212">
        <f t="shared" si="185"/>
        <v>-176.51781658888225</v>
      </c>
      <c r="BF212">
        <f t="shared" si="186"/>
        <v>-8.6462380389497557</v>
      </c>
      <c r="BG212">
        <f t="shared" si="187"/>
        <v>-151.81480887977168</v>
      </c>
      <c r="BH212">
        <f t="shared" si="203"/>
        <v>28.185191120228325</v>
      </c>
      <c r="BI212">
        <f t="shared" si="204"/>
        <v>28.185191120228325</v>
      </c>
      <c r="BJ212">
        <f t="shared" si="188"/>
        <v>0</v>
      </c>
      <c r="BK212">
        <f t="shared" si="205"/>
        <v>0</v>
      </c>
      <c r="BM212">
        <f t="shared" si="206"/>
        <v>-34.036564524528856</v>
      </c>
      <c r="BN212">
        <f t="shared" si="189"/>
        <v>-155.29699229088942</v>
      </c>
      <c r="BQ212" s="47">
        <f t="shared" si="207"/>
        <v>42.292287285864241</v>
      </c>
      <c r="BR212" s="529"/>
      <c r="BS212" s="529"/>
      <c r="BT212" s="529">
        <v>10471.285</v>
      </c>
      <c r="BU212" s="529">
        <v>-2.3517399999999999</v>
      </c>
      <c r="BV212" s="529">
        <v>-211.89099999999999</v>
      </c>
      <c r="BW212" s="49"/>
      <c r="BY212" s="529"/>
      <c r="BZ212" s="529"/>
      <c r="CA212" s="529"/>
      <c r="CC212" s="529"/>
    </row>
    <row r="213" spans="1:81">
      <c r="A213">
        <f t="shared" si="190"/>
        <v>89500</v>
      </c>
      <c r="B213">
        <f t="shared" si="191"/>
        <v>89.5</v>
      </c>
      <c r="C213">
        <f t="shared" si="159"/>
        <v>1.0965347582686422</v>
      </c>
      <c r="D213">
        <f t="shared" si="160"/>
        <v>0.42275085896655462</v>
      </c>
      <c r="F213">
        <f t="shared" si="161"/>
        <v>1.1956222658225735E-3</v>
      </c>
      <c r="G213">
        <f t="shared" si="162"/>
        <v>1.0431416220165057E-2</v>
      </c>
      <c r="H213">
        <f t="shared" si="163"/>
        <v>-3.1311612337798351</v>
      </c>
      <c r="J213">
        <f t="shared" si="164"/>
        <v>15</v>
      </c>
      <c r="M213">
        <f t="shared" si="165"/>
        <v>1.6826556625541507E-2</v>
      </c>
      <c r="N213">
        <f t="shared" si="166"/>
        <v>-1.5707963250000001</v>
      </c>
      <c r="O213">
        <f t="shared" si="167"/>
        <v>43.62132508131927</v>
      </c>
      <c r="P213">
        <f t="shared" si="168"/>
        <v>1.5478697511314246</v>
      </c>
      <c r="Q213">
        <f t="shared" si="169"/>
        <v>34.049611632254837</v>
      </c>
      <c r="R213">
        <f t="shared" si="170"/>
        <v>1.5414231926131416</v>
      </c>
      <c r="S213">
        <f t="shared" si="171"/>
        <v>0.90159591357891034</v>
      </c>
      <c r="T213">
        <f t="shared" si="172"/>
        <v>-0.44735158213358456</v>
      </c>
      <c r="U213">
        <f t="shared" si="173"/>
        <v>0.80084256620498895</v>
      </c>
      <c r="V213">
        <f t="shared" si="174"/>
        <v>-0.64209551419155875</v>
      </c>
      <c r="X213">
        <f t="shared" si="192"/>
        <v>-8.9985398559285414</v>
      </c>
      <c r="Y213">
        <f t="shared" si="175"/>
        <v>-130.59775697873951</v>
      </c>
      <c r="Z213">
        <f t="shared" si="193"/>
        <v>49.402243021260489</v>
      </c>
      <c r="AC213">
        <v>1</v>
      </c>
      <c r="AD213">
        <f t="shared" si="176"/>
        <v>43.609861291342504</v>
      </c>
      <c r="AE213">
        <f t="shared" si="177"/>
        <v>-2.0109508723624879E-3</v>
      </c>
      <c r="AF213">
        <f t="shared" si="178"/>
        <v>2.6891341933617005E-3</v>
      </c>
      <c r="AG213">
        <f t="shared" si="194"/>
        <v>10222.44573323957</v>
      </c>
      <c r="AH213">
        <f t="shared" si="195"/>
        <v>-8016.2738691697632</v>
      </c>
      <c r="AJ213">
        <f t="shared" si="179"/>
        <v>22100</v>
      </c>
      <c r="AK213">
        <f t="shared" si="180"/>
        <v>10603.421453879982</v>
      </c>
      <c r="AL213">
        <v>1</v>
      </c>
      <c r="AM213">
        <f t="shared" si="181"/>
        <v>34.03492400913192</v>
      </c>
      <c r="AN213">
        <f t="shared" si="196"/>
        <v>330.33858398005219</v>
      </c>
      <c r="AO213">
        <f t="shared" si="197"/>
        <v>-639.62714916533741</v>
      </c>
      <c r="AQ213">
        <f t="shared" si="182"/>
        <v>0.31209038137444606</v>
      </c>
      <c r="AR213">
        <f t="shared" si="183"/>
        <v>-55.864178266025839</v>
      </c>
      <c r="AT213">
        <f t="shared" si="156"/>
        <v>-444632.22546911804</v>
      </c>
      <c r="AU213">
        <f t="shared" si="157"/>
        <v>-573570.33272550185</v>
      </c>
      <c r="AV213">
        <f t="shared" si="198"/>
        <v>-2.2302318825892713</v>
      </c>
      <c r="AW213">
        <f t="shared" si="199"/>
        <v>-25492.221847820292</v>
      </c>
      <c r="AX213">
        <f t="shared" si="200"/>
        <v>-29491.962264496455</v>
      </c>
      <c r="AY213">
        <f t="shared" si="208"/>
        <v>-2.2835789231763606</v>
      </c>
      <c r="BA213">
        <f t="shared" si="184"/>
        <v>18.616794408458773</v>
      </c>
      <c r="BB213">
        <f t="shared" si="201"/>
        <v>25.398098054315316</v>
      </c>
      <c r="BC213">
        <f t="shared" si="202"/>
        <v>5.3347040587089278E-2</v>
      </c>
      <c r="BD213">
        <f t="shared" si="185"/>
        <v>-176.94343972135405</v>
      </c>
      <c r="BF213">
        <f t="shared" si="186"/>
        <v>-8.7277488278009088</v>
      </c>
      <c r="BG213">
        <f t="shared" si="187"/>
        <v>-152.12392356491998</v>
      </c>
      <c r="BH213">
        <f t="shared" si="203"/>
        <v>27.876076435080023</v>
      </c>
      <c r="BI213">
        <f t="shared" si="204"/>
        <v>27.876076435080023</v>
      </c>
      <c r="BJ213">
        <f t="shared" si="188"/>
        <v>0</v>
      </c>
      <c r="BK213">
        <f t="shared" si="205"/>
        <v>0</v>
      </c>
      <c r="BM213">
        <f t="shared" si="206"/>
        <v>-34.125846882116228</v>
      </c>
      <c r="BN213">
        <f t="shared" si="189"/>
        <v>-155.18048384356595</v>
      </c>
      <c r="BQ213" s="47">
        <f t="shared" si="207"/>
        <v>42.300058854600458</v>
      </c>
      <c r="BR213" s="529"/>
      <c r="BS213" s="529"/>
      <c r="BT213" s="529">
        <v>10715.192999999999</v>
      </c>
      <c r="BU213" s="529">
        <v>-2.5136799999999999</v>
      </c>
      <c r="BV213" s="529">
        <v>-209.68</v>
      </c>
      <c r="BW213" s="49"/>
      <c r="BY213" s="529"/>
      <c r="BZ213" s="529"/>
      <c r="CA213" s="529"/>
      <c r="CC213" s="529"/>
    </row>
    <row r="214" spans="1:81">
      <c r="A214">
        <f t="shared" si="190"/>
        <v>90000</v>
      </c>
      <c r="B214">
        <f t="shared" si="191"/>
        <v>90</v>
      </c>
      <c r="C214">
        <f t="shared" si="159"/>
        <v>1.0975682741375508</v>
      </c>
      <c r="D214">
        <f t="shared" si="160"/>
        <v>0.42483912693617942</v>
      </c>
      <c r="F214">
        <f t="shared" si="161"/>
        <v>1.1823592439179781E-3</v>
      </c>
      <c r="G214">
        <f t="shared" si="162"/>
        <v>1.037332818190145E-2</v>
      </c>
      <c r="H214">
        <f t="shared" si="163"/>
        <v>-3.1312193218180986</v>
      </c>
      <c r="J214">
        <f t="shared" si="164"/>
        <v>15</v>
      </c>
      <c r="M214">
        <f t="shared" si="165"/>
        <v>1.6733075755399611E-2</v>
      </c>
      <c r="N214">
        <f t="shared" si="166"/>
        <v>-1.5707963250000001</v>
      </c>
      <c r="O214">
        <f t="shared" si="167"/>
        <v>43.864891920202787</v>
      </c>
      <c r="P214">
        <f t="shared" si="168"/>
        <v>1.5479970767392035</v>
      </c>
      <c r="Q214">
        <f t="shared" si="169"/>
        <v>34.239669309528509</v>
      </c>
      <c r="R214">
        <f t="shared" si="170"/>
        <v>1.5415862836267695</v>
      </c>
      <c r="S214">
        <f t="shared" si="171"/>
        <v>0.9006522451249076</v>
      </c>
      <c r="T214">
        <f t="shared" si="172"/>
        <v>-0.44952813957189197</v>
      </c>
      <c r="U214">
        <f t="shared" si="173"/>
        <v>0.79923831891641806</v>
      </c>
      <c r="V214">
        <f t="shared" si="174"/>
        <v>-0.64476950505345509</v>
      </c>
      <c r="X214">
        <f t="shared" si="192"/>
        <v>-9.0654381756708364</v>
      </c>
      <c r="Y214">
        <f t="shared" si="175"/>
        <v>-130.74271253640501</v>
      </c>
      <c r="Z214">
        <f t="shared" si="193"/>
        <v>49.257287463594992</v>
      </c>
      <c r="AC214">
        <v>1</v>
      </c>
      <c r="AD214">
        <f t="shared" si="176"/>
        <v>43.853491801350003</v>
      </c>
      <c r="AE214">
        <f t="shared" si="177"/>
        <v>-2.0334823589945573E-3</v>
      </c>
      <c r="AF214">
        <f t="shared" si="178"/>
        <v>2.7041572894140001E-3</v>
      </c>
      <c r="AG214">
        <f t="shared" si="194"/>
        <v>10181.531561148298</v>
      </c>
      <c r="AH214">
        <f t="shared" si="195"/>
        <v>-8026.1473332583782</v>
      </c>
      <c r="AJ214">
        <f t="shared" si="179"/>
        <v>22100</v>
      </c>
      <c r="AK214">
        <f t="shared" si="180"/>
        <v>10662.658445242439</v>
      </c>
      <c r="AL214">
        <v>1</v>
      </c>
      <c r="AM214">
        <f t="shared" si="181"/>
        <v>34.225063249406404</v>
      </c>
      <c r="AN214">
        <f t="shared" si="196"/>
        <v>330.13052764789836</v>
      </c>
      <c r="AO214">
        <f t="shared" si="197"/>
        <v>-636.07974406678932</v>
      </c>
      <c r="AQ214">
        <f t="shared" si="182"/>
        <v>0.30863244961575259</v>
      </c>
      <c r="AR214">
        <f t="shared" si="183"/>
        <v>-55.55384093083547</v>
      </c>
      <c r="AT214">
        <f t="shared" ref="AT214:AT277" si="209">-AR214*AH214+AG214*AQ214</f>
        <v>-442740.961212728</v>
      </c>
      <c r="AU214">
        <f t="shared" ref="AU214:AU277" si="210">AQ214*AH214+AG214*AR214</f>
        <v>-568100.31429275405</v>
      </c>
      <c r="AV214">
        <f t="shared" si="198"/>
        <v>-2.2328095835033523</v>
      </c>
      <c r="AW214">
        <f t="shared" si="199"/>
        <v>-25137.428880330477</v>
      </c>
      <c r="AX214">
        <f t="shared" si="200"/>
        <v>-29366.48820234165</v>
      </c>
      <c r="AY214">
        <f t="shared" si="208"/>
        <v>-2.2787578018659249</v>
      </c>
      <c r="BA214">
        <f t="shared" si="184"/>
        <v>18.632283077592668</v>
      </c>
      <c r="BB214">
        <f t="shared" si="201"/>
        <v>25.405321475004946</v>
      </c>
      <c r="BC214">
        <f t="shared" si="202"/>
        <v>4.5948218362572568E-2</v>
      </c>
      <c r="BD214">
        <f t="shared" si="185"/>
        <v>-177.36736100867085</v>
      </c>
      <c r="BF214">
        <f t="shared" si="186"/>
        <v>-8.8092334214028671</v>
      </c>
      <c r="BG214">
        <f t="shared" si="187"/>
        <v>-152.43152411038469</v>
      </c>
      <c r="BH214">
        <f t="shared" si="203"/>
        <v>27.568475889615314</v>
      </c>
      <c r="BI214">
        <f t="shared" si="204"/>
        <v>27.568475889615314</v>
      </c>
      <c r="BJ214">
        <f t="shared" si="188"/>
        <v>0</v>
      </c>
      <c r="BK214">
        <f t="shared" si="205"/>
        <v>0</v>
      </c>
      <c r="BM214">
        <f t="shared" si="206"/>
        <v>-34.214554896407819</v>
      </c>
      <c r="BN214">
        <f t="shared" si="189"/>
        <v>-155.06416310171386</v>
      </c>
      <c r="BQ214" s="47">
        <f t="shared" si="207"/>
        <v>42.307282275290078</v>
      </c>
      <c r="BR214" s="529"/>
      <c r="BS214" s="529"/>
      <c r="BT214" s="529">
        <v>10964.781999999999</v>
      </c>
      <c r="BU214" s="529">
        <v>-2.5043700000000002</v>
      </c>
      <c r="BV214" s="529">
        <v>-209.52500000000001</v>
      </c>
      <c r="BW214" s="49"/>
      <c r="BY214" s="529"/>
      <c r="BZ214" s="529"/>
      <c r="CA214" s="529"/>
      <c r="CC214" s="529"/>
    </row>
    <row r="215" spans="1:81">
      <c r="A215">
        <f t="shared" si="190"/>
        <v>90500</v>
      </c>
      <c r="B215">
        <f t="shared" si="191"/>
        <v>90.5</v>
      </c>
      <c r="C215">
        <f t="shared" si="159"/>
        <v>1.0986065673337739</v>
      </c>
      <c r="D215">
        <f t="shared" si="160"/>
        <v>0.42692345673639037</v>
      </c>
      <c r="F215">
        <f t="shared" si="161"/>
        <v>1.1693157765538822E-3</v>
      </c>
      <c r="G215">
        <f t="shared" si="162"/>
        <v>1.0315884234739095E-2</v>
      </c>
      <c r="H215">
        <f t="shared" si="163"/>
        <v>-3.1312767657652611</v>
      </c>
      <c r="J215">
        <f t="shared" si="164"/>
        <v>15</v>
      </c>
      <c r="M215">
        <f t="shared" si="165"/>
        <v>1.6640627823049339E-2</v>
      </c>
      <c r="N215">
        <f t="shared" si="166"/>
        <v>-1.5707963250000001</v>
      </c>
      <c r="O215">
        <f t="shared" si="167"/>
        <v>44.108459462361907</v>
      </c>
      <c r="P215">
        <f t="shared" si="168"/>
        <v>1.5481229961613612</v>
      </c>
      <c r="Q215">
        <f t="shared" si="169"/>
        <v>34.429727887477362</v>
      </c>
      <c r="R215">
        <f t="shared" si="170"/>
        <v>1.541747574058467</v>
      </c>
      <c r="S215">
        <f t="shared" si="171"/>
        <v>0.89970630111527117</v>
      </c>
      <c r="T215">
        <f t="shared" si="172"/>
        <v>-0.45170013525867014</v>
      </c>
      <c r="U215">
        <f t="shared" si="173"/>
        <v>0.7976348169463553</v>
      </c>
      <c r="V215">
        <f t="shared" si="174"/>
        <v>-0.64743278530519166</v>
      </c>
      <c r="X215">
        <f t="shared" si="192"/>
        <v>-9.1320937673320195</v>
      </c>
      <c r="Y215">
        <f t="shared" si="175"/>
        <v>-130.88716552323319</v>
      </c>
      <c r="Z215">
        <f t="shared" si="193"/>
        <v>49.112834476766807</v>
      </c>
      <c r="AC215">
        <v>1</v>
      </c>
      <c r="AD215">
        <f t="shared" si="176"/>
        <v>44.097122311357502</v>
      </c>
      <c r="AE215">
        <f t="shared" si="177"/>
        <v>-2.0561393692290334E-3</v>
      </c>
      <c r="AF215">
        <f t="shared" si="178"/>
        <v>2.7191803854663002E-3</v>
      </c>
      <c r="AG215">
        <f t="shared" si="194"/>
        <v>10140.718381654311</v>
      </c>
      <c r="AH215">
        <f t="shared" si="195"/>
        <v>-8035.7781387264877</v>
      </c>
      <c r="AJ215">
        <f t="shared" si="179"/>
        <v>22100</v>
      </c>
      <c r="AK215">
        <f t="shared" si="180"/>
        <v>10721.895436604898</v>
      </c>
      <c r="AL215">
        <v>1</v>
      </c>
      <c r="AM215">
        <f t="shared" si="181"/>
        <v>34.41520248968088</v>
      </c>
      <c r="AN215">
        <f t="shared" si="196"/>
        <v>329.92590634945583</v>
      </c>
      <c r="AO215">
        <f t="shared" si="197"/>
        <v>-632.57143700311303</v>
      </c>
      <c r="AQ215">
        <f t="shared" si="182"/>
        <v>0.30523167083816616</v>
      </c>
      <c r="AR215">
        <f t="shared" si="183"/>
        <v>-55.246932421708074</v>
      </c>
      <c r="AT215">
        <f t="shared" si="209"/>
        <v>-440856.82337092969</v>
      </c>
      <c r="AU215">
        <f t="shared" si="210"/>
        <v>-562696.35712659697</v>
      </c>
      <c r="AV215">
        <f t="shared" si="198"/>
        <v>-2.235377637067951</v>
      </c>
      <c r="AW215">
        <f t="shared" si="199"/>
        <v>-24789.042114386593</v>
      </c>
      <c r="AX215">
        <f t="shared" si="200"/>
        <v>-29242.498237887175</v>
      </c>
      <c r="AY215">
        <f t="shared" si="208"/>
        <v>-2.2739571152893063</v>
      </c>
      <c r="BA215">
        <f t="shared" si="184"/>
        <v>18.646623323268262</v>
      </c>
      <c r="BB215">
        <f t="shared" si="201"/>
        <v>25.412003956305519</v>
      </c>
      <c r="BC215">
        <f t="shared" si="202"/>
        <v>3.8579478221355323E-2</v>
      </c>
      <c r="BD215">
        <f t="shared" si="185"/>
        <v>-177.78955871957368</v>
      </c>
      <c r="BF215">
        <f t="shared" si="186"/>
        <v>-8.8906908600238541</v>
      </c>
      <c r="BG215">
        <f t="shared" si="187"/>
        <v>-152.73758981622035</v>
      </c>
      <c r="BH215">
        <f t="shared" si="203"/>
        <v>27.26241018377965</v>
      </c>
      <c r="BI215">
        <f t="shared" si="204"/>
        <v>27.26241018377965</v>
      </c>
      <c r="BJ215">
        <f t="shared" si="188"/>
        <v>0</v>
      </c>
      <c r="BK215">
        <f t="shared" si="205"/>
        <v>0</v>
      </c>
      <c r="BM215">
        <f t="shared" si="206"/>
        <v>-34.302694816329371</v>
      </c>
      <c r="BN215">
        <f t="shared" si="189"/>
        <v>-154.9480310966467</v>
      </c>
      <c r="BQ215" s="47">
        <f t="shared" si="207"/>
        <v>42.31396475659065</v>
      </c>
      <c r="BR215" s="529"/>
      <c r="BS215" s="529"/>
      <c r="BT215" s="529">
        <v>11220.184999999999</v>
      </c>
      <c r="BU215" s="529">
        <v>-2.7486899999999999</v>
      </c>
      <c r="BV215" s="529">
        <v>-207.815</v>
      </c>
      <c r="BW215" s="49"/>
      <c r="BY215" s="529"/>
      <c r="BZ215" s="529"/>
      <c r="CA215" s="529"/>
      <c r="CC215" s="529"/>
    </row>
    <row r="216" spans="1:81">
      <c r="A216">
        <f t="shared" si="190"/>
        <v>91000</v>
      </c>
      <c r="B216">
        <f t="shared" si="191"/>
        <v>91</v>
      </c>
      <c r="C216">
        <f t="shared" si="159"/>
        <v>1.0996496243250025</v>
      </c>
      <c r="D216">
        <f t="shared" si="160"/>
        <v>0.42900384143773634</v>
      </c>
      <c r="F216">
        <f t="shared" si="161"/>
        <v>1.1564870425695235E-3</v>
      </c>
      <c r="G216">
        <f t="shared" si="162"/>
        <v>1.0259073712999563E-2</v>
      </c>
      <c r="H216">
        <f t="shared" si="163"/>
        <v>-3.1313335762870005</v>
      </c>
      <c r="J216">
        <f t="shared" si="164"/>
        <v>15</v>
      </c>
      <c r="M216">
        <f t="shared" si="165"/>
        <v>1.6549195802043573E-2</v>
      </c>
      <c r="N216">
        <f t="shared" si="166"/>
        <v>-1.5707963250000001</v>
      </c>
      <c r="O216">
        <f t="shared" si="167"/>
        <v>44.352027696210115</v>
      </c>
      <c r="P216">
        <f t="shared" si="168"/>
        <v>1.5482475325609395</v>
      </c>
      <c r="Q216">
        <f t="shared" si="169"/>
        <v>34.619787351267618</v>
      </c>
      <c r="R216">
        <f t="shared" si="170"/>
        <v>1.5419070935548622</v>
      </c>
      <c r="S216">
        <f t="shared" si="171"/>
        <v>0.89875811544534923</v>
      </c>
      <c r="T216">
        <f t="shared" si="172"/>
        <v>-0.45386756309146742</v>
      </c>
      <c r="U216">
        <f t="shared" si="173"/>
        <v>0.79603212385489364</v>
      </c>
      <c r="V216">
        <f t="shared" si="174"/>
        <v>-0.65008538161465923</v>
      </c>
      <c r="X216">
        <f t="shared" si="192"/>
        <v>-9.1985090093605404</v>
      </c>
      <c r="Y216">
        <f t="shared" si="175"/>
        <v>-131.03111509989245</v>
      </c>
      <c r="Z216">
        <f t="shared" si="193"/>
        <v>48.968884900107554</v>
      </c>
      <c r="AC216">
        <v>1</v>
      </c>
      <c r="AD216">
        <f t="shared" si="176"/>
        <v>44.340752821365008</v>
      </c>
      <c r="AE216">
        <f t="shared" si="177"/>
        <v>-2.0789219030659168E-3</v>
      </c>
      <c r="AF216">
        <f t="shared" si="178"/>
        <v>2.7342034815186003E-3</v>
      </c>
      <c r="AG216">
        <f t="shared" si="194"/>
        <v>10100.007693356869</v>
      </c>
      <c r="AH216">
        <f t="shared" si="195"/>
        <v>-8045.1683144798235</v>
      </c>
      <c r="AJ216">
        <f t="shared" si="179"/>
        <v>22100</v>
      </c>
      <c r="AK216">
        <f t="shared" si="180"/>
        <v>10781.132427967357</v>
      </c>
      <c r="AL216">
        <v>1</v>
      </c>
      <c r="AM216">
        <f t="shared" si="181"/>
        <v>34.605341729955356</v>
      </c>
      <c r="AN216">
        <f t="shared" si="196"/>
        <v>329.72464490255572</v>
      </c>
      <c r="AO216">
        <f t="shared" si="197"/>
        <v>-629.10158567376561</v>
      </c>
      <c r="AQ216">
        <f t="shared" si="182"/>
        <v>0.30188679245283018</v>
      </c>
      <c r="AR216">
        <f t="shared" si="183"/>
        <v>-54.943396226415096</v>
      </c>
      <c r="AT216">
        <f t="shared" si="209"/>
        <v>-438979.81148436863</v>
      </c>
      <c r="AU216">
        <f t="shared" si="210"/>
        <v>-557357.4546431487</v>
      </c>
      <c r="AV216">
        <f t="shared" si="198"/>
        <v>-2.237936052440296</v>
      </c>
      <c r="AW216">
        <f t="shared" si="199"/>
        <v>-24446.917831949955</v>
      </c>
      <c r="AX216">
        <f t="shared" si="200"/>
        <v>-29119.961110955595</v>
      </c>
      <c r="AY216">
        <f t="shared" si="208"/>
        <v>-2.2691772390782741</v>
      </c>
      <c r="BA216">
        <f t="shared" si="184"/>
        <v>18.659827928087871</v>
      </c>
      <c r="BB216">
        <f t="shared" si="201"/>
        <v>25.418152691503849</v>
      </c>
      <c r="BC216">
        <f t="shared" si="202"/>
        <v>3.1241186637978036E-2</v>
      </c>
      <c r="BD216">
        <f t="shared" si="185"/>
        <v>-178.210011856618</v>
      </c>
      <c r="BF216">
        <f t="shared" si="186"/>
        <v>-8.9721200986740808</v>
      </c>
      <c r="BG216">
        <f t="shared" si="187"/>
        <v>-153.04210069310909</v>
      </c>
      <c r="BH216">
        <f t="shared" si="203"/>
        <v>26.957899306890909</v>
      </c>
      <c r="BI216">
        <f t="shared" si="204"/>
        <v>26.957899306890909</v>
      </c>
      <c r="BJ216">
        <f t="shared" si="188"/>
        <v>0</v>
      </c>
      <c r="BK216">
        <f t="shared" si="205"/>
        <v>0</v>
      </c>
      <c r="BM216">
        <f t="shared" si="206"/>
        <v>-34.390272790177924</v>
      </c>
      <c r="BN216">
        <f t="shared" si="189"/>
        <v>-154.83208883649112</v>
      </c>
      <c r="BQ216" s="47">
        <f t="shared" si="207"/>
        <v>42.32011349178898</v>
      </c>
      <c r="BR216" s="529"/>
      <c r="BS216" s="529"/>
      <c r="BT216" s="529">
        <v>11481.536</v>
      </c>
      <c r="BU216" s="529">
        <v>-2.86917</v>
      </c>
      <c r="BV216" s="529">
        <v>-207.916</v>
      </c>
      <c r="BW216" s="49"/>
      <c r="BY216" s="529"/>
      <c r="BZ216" s="529"/>
      <c r="CA216" s="529"/>
      <c r="CC216" s="529"/>
    </row>
    <row r="217" spans="1:81">
      <c r="A217">
        <f t="shared" si="190"/>
        <v>91500</v>
      </c>
      <c r="B217">
        <f t="shared" si="191"/>
        <v>91.5</v>
      </c>
      <c r="C217">
        <f t="shared" si="159"/>
        <v>1.100697431568251</v>
      </c>
      <c r="D217">
        <f t="shared" si="160"/>
        <v>0.43108027427356621</v>
      </c>
      <c r="F217">
        <f t="shared" si="161"/>
        <v>1.1438683524634288E-3</v>
      </c>
      <c r="G217">
        <f t="shared" si="162"/>
        <v>1.0202886185459134E-2</v>
      </c>
      <c r="H217">
        <f t="shared" si="163"/>
        <v>-3.1313897638145409</v>
      </c>
      <c r="J217">
        <f t="shared" si="164"/>
        <v>15</v>
      </c>
      <c r="M217">
        <f t="shared" si="165"/>
        <v>1.6458763038097981E-2</v>
      </c>
      <c r="N217">
        <f t="shared" si="166"/>
        <v>-1.5707963250000001</v>
      </c>
      <c r="O217">
        <f t="shared" si="167"/>
        <v>44.595596610413978</v>
      </c>
      <c r="P217">
        <f t="shared" si="168"/>
        <v>1.5483707085951133</v>
      </c>
      <c r="Q217">
        <f t="shared" si="169"/>
        <v>34.809847686389354</v>
      </c>
      <c r="R217">
        <f t="shared" si="170"/>
        <v>1.5420648711154714</v>
      </c>
      <c r="S217">
        <f t="shared" si="171"/>
        <v>0.89780772187855262</v>
      </c>
      <c r="T217">
        <f t="shared" si="172"/>
        <v>-0.45603041716514048</v>
      </c>
      <c r="U217">
        <f t="shared" si="173"/>
        <v>0.79443030223392175</v>
      </c>
      <c r="V217">
        <f t="shared" si="174"/>
        <v>-0.65272732103762166</v>
      </c>
      <c r="X217">
        <f t="shared" si="192"/>
        <v>-9.2646862355665291</v>
      </c>
      <c r="Y217">
        <f t="shared" si="175"/>
        <v>-131.17456050387923</v>
      </c>
      <c r="Z217">
        <f t="shared" si="193"/>
        <v>48.825439496120765</v>
      </c>
      <c r="AC217">
        <v>1</v>
      </c>
      <c r="AD217">
        <f t="shared" si="176"/>
        <v>44.584383331372507</v>
      </c>
      <c r="AE217">
        <f t="shared" si="177"/>
        <v>-2.1018299605052079E-3</v>
      </c>
      <c r="AF217">
        <f t="shared" si="178"/>
        <v>2.7492265775709004E-3</v>
      </c>
      <c r="AG217">
        <f t="shared" si="194"/>
        <v>10059.400957405793</v>
      </c>
      <c r="AH217">
        <f t="shared" si="195"/>
        <v>-8054.3198940609009</v>
      </c>
      <c r="AJ217">
        <f t="shared" si="179"/>
        <v>22100</v>
      </c>
      <c r="AK217">
        <f t="shared" si="180"/>
        <v>10840.369419329814</v>
      </c>
      <c r="AL217">
        <v>1</v>
      </c>
      <c r="AM217">
        <f t="shared" si="181"/>
        <v>34.795480970229839</v>
      </c>
      <c r="AN217">
        <f t="shared" si="196"/>
        <v>329.52667017014829</v>
      </c>
      <c r="AO217">
        <f t="shared" si="197"/>
        <v>-625.66956175878511</v>
      </c>
      <c r="AQ217">
        <f t="shared" si="182"/>
        <v>0.29859659599880561</v>
      </c>
      <c r="AR217">
        <f t="shared" si="183"/>
        <v>-54.64317706778143</v>
      </c>
      <c r="AT217">
        <f t="shared" si="209"/>
        <v>-437109.92524805589</v>
      </c>
      <c r="AU217">
        <f t="shared" si="210"/>
        <v>-552082.62021478673</v>
      </c>
      <c r="AV217">
        <f t="shared" si="198"/>
        <v>-2.2404848395478139</v>
      </c>
      <c r="AW217">
        <f t="shared" si="199"/>
        <v>-24110.916219760176</v>
      </c>
      <c r="AX217">
        <f t="shared" si="200"/>
        <v>-28998.846424373842</v>
      </c>
      <c r="AY217">
        <f t="shared" si="208"/>
        <v>-2.2644185368608647</v>
      </c>
      <c r="BA217">
        <f t="shared" si="184"/>
        <v>18.671909890680546</v>
      </c>
      <c r="BB217">
        <f t="shared" si="201"/>
        <v>25.423774856636612</v>
      </c>
      <c r="BC217">
        <f t="shared" si="202"/>
        <v>2.3933697313050839E-2</v>
      </c>
      <c r="BD217">
        <f t="shared" si="185"/>
        <v>-178.62870015425165</v>
      </c>
      <c r="BF217">
        <f t="shared" si="186"/>
        <v>-9.0535200111880165</v>
      </c>
      <c r="BG217">
        <f t="shared" si="187"/>
        <v>-153.3450374608644</v>
      </c>
      <c r="BH217">
        <f t="shared" si="203"/>
        <v>26.654962539135596</v>
      </c>
      <c r="BI217">
        <f t="shared" si="204"/>
        <v>26.654962539135596</v>
      </c>
      <c r="BJ217">
        <f t="shared" si="188"/>
        <v>0</v>
      </c>
      <c r="BK217">
        <f t="shared" si="205"/>
        <v>0</v>
      </c>
      <c r="BM217">
        <f t="shared" si="206"/>
        <v>-34.477294867824632</v>
      </c>
      <c r="BN217">
        <f t="shared" si="189"/>
        <v>-154.71633730661276</v>
      </c>
      <c r="BQ217" s="47">
        <f t="shared" si="207"/>
        <v>42.325735656921751</v>
      </c>
      <c r="BR217" s="529"/>
      <c r="BS217" s="529"/>
      <c r="BT217" s="529">
        <v>11748.976000000001</v>
      </c>
      <c r="BU217" s="529">
        <v>-3.0396299999999998</v>
      </c>
      <c r="BV217" s="529">
        <v>-206.25700000000001</v>
      </c>
      <c r="BW217" s="49"/>
      <c r="BY217" s="529"/>
      <c r="BZ217" s="529"/>
      <c r="CA217" s="529"/>
      <c r="CC217" s="529"/>
    </row>
    <row r="218" spans="1:81">
      <c r="A218">
        <f t="shared" si="190"/>
        <v>92000</v>
      </c>
      <c r="B218">
        <f t="shared" si="191"/>
        <v>92</v>
      </c>
      <c r="C218">
        <f t="shared" si="159"/>
        <v>1.1017499755104943</v>
      </c>
      <c r="D218">
        <f t="shared" si="160"/>
        <v>0.43315274863922099</v>
      </c>
      <c r="F218">
        <f t="shared" si="161"/>
        <v>1.1314551441007857E-3</v>
      </c>
      <c r="G218">
        <f t="shared" si="162"/>
        <v>1.0147311448934769E-2</v>
      </c>
      <c r="H218">
        <f t="shared" si="163"/>
        <v>-3.1314453385510657</v>
      </c>
      <c r="J218">
        <f t="shared" si="164"/>
        <v>15</v>
      </c>
      <c r="M218">
        <f t="shared" si="165"/>
        <v>1.6369313238977883E-2</v>
      </c>
      <c r="N218">
        <f t="shared" si="166"/>
        <v>-1.5707963250000001</v>
      </c>
      <c r="O218">
        <f t="shared" si="167"/>
        <v>44.839166193886314</v>
      </c>
      <c r="P218">
        <f t="shared" si="168"/>
        <v>1.5484925464289228</v>
      </c>
      <c r="Q218">
        <f t="shared" si="169"/>
        <v>34.99990887864778</v>
      </c>
      <c r="R218">
        <f t="shared" si="170"/>
        <v>1.5422209351102532</v>
      </c>
      <c r="S218">
        <f t="shared" si="171"/>
        <v>0.89685515404447713</v>
      </c>
      <c r="T218">
        <f t="shared" si="172"/>
        <v>-0.45818869177060662</v>
      </c>
      <c r="U218">
        <f t="shared" si="173"/>
        <v>0.79282941371349636</v>
      </c>
      <c r="V218">
        <f t="shared" si="174"/>
        <v>-0.65535863100795655</v>
      </c>
      <c r="X218">
        <f t="shared" si="192"/>
        <v>-9.3306277362311274</v>
      </c>
      <c r="Y218">
        <f t="shared" si="175"/>
        <v>-131.31750104750904</v>
      </c>
      <c r="Z218">
        <f t="shared" si="193"/>
        <v>48.68249895249096</v>
      </c>
      <c r="AC218">
        <v>1</v>
      </c>
      <c r="AD218">
        <f t="shared" si="176"/>
        <v>44.828013841379999</v>
      </c>
      <c r="AE218">
        <f t="shared" si="177"/>
        <v>-2.1248635415469052E-3</v>
      </c>
      <c r="AF218">
        <f t="shared" si="178"/>
        <v>2.7642496736232001E-3</v>
      </c>
      <c r="AG218">
        <f t="shared" si="194"/>
        <v>10018.899597926564</v>
      </c>
      <c r="AH218">
        <f t="shared" si="195"/>
        <v>-8063.2349149700322</v>
      </c>
      <c r="AJ218">
        <f t="shared" si="179"/>
        <v>22100</v>
      </c>
      <c r="AK218">
        <f t="shared" si="180"/>
        <v>10899.606410692273</v>
      </c>
      <c r="AL218">
        <v>1</v>
      </c>
      <c r="AM218">
        <f t="shared" si="181"/>
        <v>34.985620210504322</v>
      </c>
      <c r="AN218">
        <f t="shared" si="196"/>
        <v>329.33191099392445</v>
      </c>
      <c r="AO218">
        <f t="shared" si="197"/>
        <v>-622.2747505407807</v>
      </c>
      <c r="AQ218">
        <f t="shared" si="182"/>
        <v>0.29535989603331658</v>
      </c>
      <c r="AR218">
        <f t="shared" si="183"/>
        <v>-54.346220870130253</v>
      </c>
      <c r="AT218">
        <f t="shared" si="209"/>
        <v>-435247.16447309544</v>
      </c>
      <c r="AU218">
        <f t="shared" si="210"/>
        <v>-546870.88665075391</v>
      </c>
      <c r="AV218">
        <f t="shared" si="198"/>
        <v>-2.2430240090679909</v>
      </c>
      <c r="AW218">
        <f t="shared" si="199"/>
        <v>-23780.901243410524</v>
      </c>
      <c r="AX218">
        <f t="shared" si="200"/>
        <v>-28879.124615705612</v>
      </c>
      <c r="AY218">
        <f t="shared" si="208"/>
        <v>-2.2596813602845711</v>
      </c>
      <c r="BA218">
        <f t="shared" si="184"/>
        <v>18.682882412945428</v>
      </c>
      <c r="BB218">
        <f t="shared" si="201"/>
        <v>25.428877608616087</v>
      </c>
      <c r="BC218">
        <f t="shared" si="202"/>
        <v>1.6657351216580185E-2</v>
      </c>
      <c r="BD218">
        <f t="shared" si="185"/>
        <v>-179.0456040763323</v>
      </c>
      <c r="BF218">
        <f t="shared" si="186"/>
        <v>-9.13488939424089</v>
      </c>
      <c r="BG218">
        <f t="shared" si="187"/>
        <v>-153.64638154636233</v>
      </c>
      <c r="BH218">
        <f t="shared" si="203"/>
        <v>26.353618453637665</v>
      </c>
      <c r="BI218">
        <f t="shared" si="204"/>
        <v>26.353618453637665</v>
      </c>
      <c r="BJ218">
        <f t="shared" si="188"/>
        <v>0</v>
      </c>
      <c r="BK218">
        <f t="shared" si="205"/>
        <v>0</v>
      </c>
      <c r="BM218">
        <f t="shared" si="206"/>
        <v>-34.563767002856977</v>
      </c>
      <c r="BN218">
        <f t="shared" si="189"/>
        <v>-154.60077747003004</v>
      </c>
      <c r="BQ218" s="47">
        <f t="shared" si="207"/>
        <v>42.330838408901229</v>
      </c>
      <c r="BR218" s="529"/>
      <c r="BS218" s="529"/>
      <c r="BT218" s="529">
        <v>12022.644</v>
      </c>
      <c r="BU218" s="529">
        <v>-3.2097500000000001</v>
      </c>
      <c r="BV218" s="529">
        <v>-205.79599999999999</v>
      </c>
      <c r="BW218" s="49"/>
      <c r="BY218" s="529"/>
      <c r="BZ218" s="529"/>
      <c r="CA218" s="529"/>
      <c r="CC218" s="529"/>
    </row>
    <row r="219" spans="1:81">
      <c r="A219">
        <f t="shared" si="190"/>
        <v>92500</v>
      </c>
      <c r="B219">
        <f t="shared" si="191"/>
        <v>92.5</v>
      </c>
      <c r="C219">
        <f t="shared" si="159"/>
        <v>1.1028072425892974</v>
      </c>
      <c r="D219">
        <f t="shared" si="160"/>
        <v>0.43522125809121653</v>
      </c>
      <c r="F219">
        <f t="shared" si="161"/>
        <v>1.1192429785832718E-3</v>
      </c>
      <c r="G219">
        <f t="shared" si="162"/>
        <v>1.0092339522079731E-2</v>
      </c>
      <c r="H219">
        <f t="shared" si="163"/>
        <v>-3.1315003104779207</v>
      </c>
      <c r="J219">
        <f t="shared" si="164"/>
        <v>15</v>
      </c>
      <c r="M219">
        <f t="shared" si="165"/>
        <v>1.6280830464713136E-2</v>
      </c>
      <c r="N219">
        <f t="shared" si="166"/>
        <v>-1.5707963250000001</v>
      </c>
      <c r="O219">
        <f t="shared" si="167"/>
        <v>45.082736435779509</v>
      </c>
      <c r="P219">
        <f t="shared" si="168"/>
        <v>1.5486130677485614</v>
      </c>
      <c r="Q219">
        <f t="shared" si="169"/>
        <v>35.189970914154692</v>
      </c>
      <c r="R219">
        <f t="shared" si="170"/>
        <v>1.5423753132965967</v>
      </c>
      <c r="S219">
        <f t="shared" si="171"/>
        <v>0.89590044543706693</v>
      </c>
      <c r="T219">
        <f t="shared" si="172"/>
        <v>-0.4603423813935868</v>
      </c>
      <c r="U219">
        <f t="shared" si="173"/>
        <v>0.79122951896833382</v>
      </c>
      <c r="V219">
        <f t="shared" si="174"/>
        <v>-0.65797933932800601</v>
      </c>
      <c r="X219">
        <f t="shared" si="192"/>
        <v>-9.3963357591839998</v>
      </c>
      <c r="Y219">
        <f t="shared" si="175"/>
        <v>-131.45993611595856</v>
      </c>
      <c r="Z219">
        <f t="shared" si="193"/>
        <v>48.540063884041444</v>
      </c>
      <c r="AC219">
        <v>1</v>
      </c>
      <c r="AD219">
        <f t="shared" si="176"/>
        <v>45.071644351387505</v>
      </c>
      <c r="AE219">
        <f t="shared" si="177"/>
        <v>-2.1480226461910099E-3</v>
      </c>
      <c r="AF219">
        <f t="shared" si="178"/>
        <v>2.7792727696755001E-3</v>
      </c>
      <c r="AG219">
        <f t="shared" si="194"/>
        <v>9978.5050024473785</v>
      </c>
      <c r="AH219">
        <f t="shared" si="195"/>
        <v>-8071.9154180057621</v>
      </c>
      <c r="AJ219">
        <f t="shared" si="179"/>
        <v>22100</v>
      </c>
      <c r="AK219">
        <f t="shared" si="180"/>
        <v>10958.84340205473</v>
      </c>
      <c r="AL219">
        <v>1</v>
      </c>
      <c r="AM219">
        <f t="shared" si="181"/>
        <v>35.175759450778799</v>
      </c>
      <c r="AN219">
        <f t="shared" si="196"/>
        <v>329.14029813043618</v>
      </c>
      <c r="AO219">
        <f t="shared" si="197"/>
        <v>-618.91655053911143</v>
      </c>
      <c r="AQ219">
        <f t="shared" si="182"/>
        <v>0.29217553906386956</v>
      </c>
      <c r="AR219">
        <f t="shared" si="183"/>
        <v>-54.052474726815873</v>
      </c>
      <c r="AT219">
        <f t="shared" si="209"/>
        <v>-433391.52905061026</v>
      </c>
      <c r="AU219">
        <f t="shared" si="210"/>
        <v>-541721.30569472653</v>
      </c>
      <c r="AV219">
        <f t="shared" si="198"/>
        <v>-2.245553572408689</v>
      </c>
      <c r="AW219">
        <f t="shared" si="199"/>
        <v>-23456.74052614508</v>
      </c>
      <c r="AX219">
        <f t="shared" si="200"/>
        <v>-28760.766930058489</v>
      </c>
      <c r="AY219">
        <f t="shared" si="208"/>
        <v>-2.2549660490494912</v>
      </c>
      <c r="BA219">
        <f t="shared" si="184"/>
        <v>18.692758887363798</v>
      </c>
      <c r="BB219">
        <f t="shared" si="201"/>
        <v>25.433468083365057</v>
      </c>
      <c r="BC219">
        <f t="shared" si="202"/>
        <v>9.4124766408021365E-3</v>
      </c>
      <c r="BD219">
        <f t="shared" si="185"/>
        <v>-179.46070481310034</v>
      </c>
      <c r="BF219">
        <f t="shared" si="186"/>
        <v>-9.2162269712973792</v>
      </c>
      <c r="BG219">
        <f t="shared" si="187"/>
        <v>-153.94611508091677</v>
      </c>
      <c r="BH219">
        <f t="shared" si="203"/>
        <v>26.053884919083231</v>
      </c>
      <c r="BI219">
        <f t="shared" si="204"/>
        <v>26.053884919083231</v>
      </c>
      <c r="BJ219">
        <f t="shared" si="188"/>
        <v>0</v>
      </c>
      <c r="BK219">
        <f t="shared" si="205"/>
        <v>0</v>
      </c>
      <c r="BM219">
        <f t="shared" si="206"/>
        <v>-34.649695054662438</v>
      </c>
      <c r="BN219">
        <f t="shared" si="189"/>
        <v>-154.48541026781646</v>
      </c>
      <c r="BQ219" s="47">
        <f t="shared" si="207"/>
        <v>42.335428883650195</v>
      </c>
      <c r="BR219" s="529"/>
      <c r="BS219" s="529"/>
      <c r="BT219" s="529">
        <v>12302.688</v>
      </c>
      <c r="BU219" s="529">
        <v>-3.2360000000000002</v>
      </c>
      <c r="BV219" s="529">
        <v>-205.58</v>
      </c>
      <c r="BW219" s="49"/>
      <c r="BY219" s="529"/>
      <c r="BZ219" s="529"/>
      <c r="CA219" s="529"/>
      <c r="CC219" s="529"/>
    </row>
    <row r="220" spans="1:81">
      <c r="A220">
        <f t="shared" si="190"/>
        <v>93000</v>
      </c>
      <c r="B220">
        <f t="shared" si="191"/>
        <v>93</v>
      </c>
      <c r="C220">
        <f t="shared" si="159"/>
        <v>1.1038692192334418</v>
      </c>
      <c r="D220">
        <f t="shared" si="160"/>
        <v>0.4372857963464164</v>
      </c>
      <c r="F220">
        <f t="shared" si="161"/>
        <v>1.1072275362743506E-3</v>
      </c>
      <c r="G220">
        <f t="shared" si="162"/>
        <v>1.0037960639380889E-2</v>
      </c>
      <c r="H220">
        <f t="shared" si="163"/>
        <v>-3.1315546893606192</v>
      </c>
      <c r="J220">
        <f t="shared" si="164"/>
        <v>15</v>
      </c>
      <c r="M220">
        <f t="shared" si="165"/>
        <v>1.6193299118128657E-2</v>
      </c>
      <c r="N220">
        <f t="shared" si="166"/>
        <v>-1.5707963250000001</v>
      </c>
      <c r="O220">
        <f t="shared" si="167"/>
        <v>45.326307325479078</v>
      </c>
      <c r="P220">
        <f t="shared" si="168"/>
        <v>1.5487322937742356</v>
      </c>
      <c r="Q220">
        <f t="shared" si="169"/>
        <v>35.380033779320279</v>
      </c>
      <c r="R220">
        <f t="shared" si="170"/>
        <v>1.5425280328357616</v>
      </c>
      <c r="S220">
        <f t="shared" si="171"/>
        <v>0.8949436294128198</v>
      </c>
      <c r="T220">
        <f t="shared" si="172"/>
        <v>-0.46249148071333956</v>
      </c>
      <c r="U220">
        <f t="shared" si="173"/>
        <v>0.78963067772442352</v>
      </c>
      <c r="V220">
        <f t="shared" si="174"/>
        <v>-0.66058947415904146</v>
      </c>
      <c r="X220">
        <f t="shared" si="192"/>
        <v>-9.4618125108498781</v>
      </c>
      <c r="Y220">
        <f t="shared" si="175"/>
        <v>-131.60186516535987</v>
      </c>
      <c r="Z220">
        <f t="shared" si="193"/>
        <v>48.398134834640132</v>
      </c>
      <c r="AC220">
        <v>1</v>
      </c>
      <c r="AD220">
        <f t="shared" si="176"/>
        <v>45.315274861395004</v>
      </c>
      <c r="AE220">
        <f t="shared" si="177"/>
        <v>-2.1713072744375217E-3</v>
      </c>
      <c r="AF220">
        <f t="shared" si="178"/>
        <v>2.7942958657278002E-3</v>
      </c>
      <c r="AG220">
        <f t="shared" si="194"/>
        <v>9938.2185223279757</v>
      </c>
      <c r="AH220">
        <f t="shared" si="195"/>
        <v>-8080.3634466243475</v>
      </c>
      <c r="AJ220">
        <f t="shared" si="179"/>
        <v>22100</v>
      </c>
      <c r="AK220">
        <f t="shared" si="180"/>
        <v>11018.080393417189</v>
      </c>
      <c r="AL220">
        <v>1</v>
      </c>
      <c r="AM220">
        <f t="shared" si="181"/>
        <v>35.365898691053282</v>
      </c>
      <c r="AN220">
        <f t="shared" si="196"/>
        <v>328.95176418960972</v>
      </c>
      <c r="AO220">
        <f t="shared" si="197"/>
        <v>-615.5943731557976</v>
      </c>
      <c r="AQ220">
        <f t="shared" si="182"/>
        <v>0.28904240252044977</v>
      </c>
      <c r="AR220">
        <f t="shared" si="183"/>
        <v>-53.76188686880365</v>
      </c>
      <c r="AT220">
        <f t="shared" si="209"/>
        <v>-431543.01891776756</v>
      </c>
      <c r="AU220">
        <f t="shared" si="210"/>
        <v>-536632.94753869635</v>
      </c>
      <c r="AV220">
        <f t="shared" si="198"/>
        <v>-2.24807354168889</v>
      </c>
      <c r="AW220">
        <f t="shared" si="199"/>
        <v>-23138.305232175826</v>
      </c>
      <c r="AX220">
        <f t="shared" si="200"/>
        <v>-28643.745393919042</v>
      </c>
      <c r="AY220">
        <f t="shared" si="208"/>
        <v>-2.2502729309511627</v>
      </c>
      <c r="BA220">
        <f t="shared" si="184"/>
        <v>18.701552884398037</v>
      </c>
      <c r="BB220">
        <f t="shared" si="201"/>
        <v>25.437553393964766</v>
      </c>
      <c r="BC220">
        <f t="shared" si="202"/>
        <v>2.1993892622726996E-3</v>
      </c>
      <c r="BD220">
        <f t="shared" si="185"/>
        <v>-179.87398427762139</v>
      </c>
      <c r="BF220">
        <f t="shared" si="186"/>
        <v>-9.2975313964906476</v>
      </c>
      <c r="BG220">
        <f t="shared" si="187"/>
        <v>-154.24422089711322</v>
      </c>
      <c r="BH220">
        <f t="shared" si="203"/>
        <v>25.755779102886777</v>
      </c>
      <c r="BI220">
        <f t="shared" si="204"/>
        <v>25.755779102886777</v>
      </c>
      <c r="BJ220">
        <f t="shared" si="188"/>
        <v>0</v>
      </c>
      <c r="BK220">
        <f t="shared" si="205"/>
        <v>0</v>
      </c>
      <c r="BM220">
        <f t="shared" si="206"/>
        <v>-34.73508479045541</v>
      </c>
      <c r="BN220">
        <f t="shared" si="189"/>
        <v>-154.37023661949183</v>
      </c>
      <c r="BQ220" s="47">
        <f t="shared" si="207"/>
        <v>42.339514194249901</v>
      </c>
      <c r="BR220" s="529"/>
      <c r="BS220" s="529"/>
      <c r="BT220" s="529">
        <v>12589.254000000001</v>
      </c>
      <c r="BU220" s="529">
        <v>-3.6465100000000001</v>
      </c>
      <c r="BV220" s="529">
        <v>-203.78</v>
      </c>
      <c r="BW220" s="49"/>
      <c r="BY220" s="529"/>
      <c r="BZ220" s="529"/>
      <c r="CA220" s="529"/>
      <c r="CC220" s="529"/>
    </row>
    <row r="221" spans="1:81">
      <c r="A221">
        <f t="shared" si="190"/>
        <v>93500</v>
      </c>
      <c r="B221">
        <f t="shared" si="191"/>
        <v>93.5</v>
      </c>
      <c r="C221">
        <f t="shared" si="159"/>
        <v>1.104935891863547</v>
      </c>
      <c r="D221">
        <f t="shared" si="160"/>
        <v>0.43934635728119725</v>
      </c>
      <c r="F221">
        <f t="shared" si="161"/>
        <v>1.0954046129733816E-3</v>
      </c>
      <c r="G221">
        <f t="shared" si="162"/>
        <v>9.9841652453500802E-3</v>
      </c>
      <c r="H221">
        <f t="shared" si="163"/>
        <v>-3.1316084847546501</v>
      </c>
      <c r="J221">
        <f t="shared" si="164"/>
        <v>15</v>
      </c>
      <c r="M221">
        <f t="shared" si="165"/>
        <v>1.6106703935678771E-2</v>
      </c>
      <c r="N221">
        <f t="shared" si="166"/>
        <v>-1.5707963250000001</v>
      </c>
      <c r="O221">
        <f t="shared" si="167"/>
        <v>45.569878852597441</v>
      </c>
      <c r="P221">
        <f t="shared" si="168"/>
        <v>1.5488502452726118</v>
      </c>
      <c r="Q221">
        <f t="shared" si="169"/>
        <v>35.570097460845091</v>
      </c>
      <c r="R221">
        <f t="shared" si="170"/>
        <v>1.5426791203087915</v>
      </c>
      <c r="S221">
        <f t="shared" si="171"/>
        <v>0.89398473918903099</v>
      </c>
      <c r="T221">
        <f t="shared" si="172"/>
        <v>-0.46463598460138616</v>
      </c>
      <c r="U221">
        <f t="shared" si="173"/>
        <v>0.78803294876575125</v>
      </c>
      <c r="V221">
        <f t="shared" si="174"/>
        <v>-0.6631890640118393</v>
      </c>
      <c r="X221">
        <f t="shared" si="192"/>
        <v>-9.5270601572652502</v>
      </c>
      <c r="Y221">
        <f t="shared" si="175"/>
        <v>-131.74328772094293</v>
      </c>
      <c r="Z221">
        <f t="shared" si="193"/>
        <v>48.256712279057069</v>
      </c>
      <c r="AC221">
        <v>1</v>
      </c>
      <c r="AD221">
        <f t="shared" si="176"/>
        <v>45.558905371402503</v>
      </c>
      <c r="AE221">
        <f t="shared" si="177"/>
        <v>-2.1947174262864407E-3</v>
      </c>
      <c r="AF221">
        <f t="shared" si="178"/>
        <v>2.8093189617801003E-3</v>
      </c>
      <c r="AG221">
        <f t="shared" si="194"/>
        <v>9898.0414731899746</v>
      </c>
      <c r="AH221">
        <f t="shared" si="195"/>
        <v>-8088.5810463178823</v>
      </c>
      <c r="AJ221">
        <f t="shared" si="179"/>
        <v>22100</v>
      </c>
      <c r="AK221">
        <f t="shared" si="180"/>
        <v>11077.317384779646</v>
      </c>
      <c r="AL221">
        <v>1</v>
      </c>
      <c r="AM221">
        <f t="shared" si="181"/>
        <v>35.556037931327758</v>
      </c>
      <c r="AN221">
        <f t="shared" si="196"/>
        <v>328.76624357554948</v>
      </c>
      <c r="AO221">
        <f t="shared" si="197"/>
        <v>-612.30764233273078</v>
      </c>
      <c r="AQ221">
        <f t="shared" si="182"/>
        <v>0.2859593937660852</v>
      </c>
      <c r="AR221">
        <f t="shared" si="183"/>
        <v>-53.474406634257939</v>
      </c>
      <c r="AT221">
        <f t="shared" si="209"/>
        <v>-429701.63402580901</v>
      </c>
      <c r="AU221">
        <f t="shared" si="210"/>
        <v>-531604.9003525431</v>
      </c>
      <c r="AV221">
        <f t="shared" si="198"/>
        <v>-2.2505839297198702</v>
      </c>
      <c r="AW221">
        <f t="shared" si="199"/>
        <v>-22825.469954327669</v>
      </c>
      <c r="AX221">
        <f t="shared" si="200"/>
        <v>-28528.032789971105</v>
      </c>
      <c r="AY221">
        <f t="shared" si="208"/>
        <v>-2.2456023219327839</v>
      </c>
      <c r="BA221">
        <f t="shared" si="184"/>
        <v>18.709278139995298</v>
      </c>
      <c r="BB221">
        <f t="shared" si="201"/>
        <v>25.44114062881949</v>
      </c>
      <c r="BC221">
        <f t="shared" si="202"/>
        <v>-4.9816077870863396E-3</v>
      </c>
      <c r="BD221">
        <f t="shared" si="185"/>
        <v>-180.2854251017157</v>
      </c>
      <c r="BF221">
        <f t="shared" si="186"/>
        <v>-9.3788012584297942</v>
      </c>
      <c r="BG221">
        <f t="shared" si="187"/>
        <v>-154.54068252511891</v>
      </c>
      <c r="BH221">
        <f t="shared" si="203"/>
        <v>25.45931747488109</v>
      </c>
      <c r="BI221">
        <f t="shared" si="204"/>
        <v>25.45931747488109</v>
      </c>
      <c r="BJ221">
        <f t="shared" si="188"/>
        <v>0</v>
      </c>
      <c r="BK221">
        <f t="shared" si="205"/>
        <v>0</v>
      </c>
      <c r="BM221">
        <f t="shared" si="206"/>
        <v>-34.819941887249286</v>
      </c>
      <c r="BN221">
        <f t="shared" si="189"/>
        <v>-154.25525742340324</v>
      </c>
      <c r="BQ221" s="47">
        <f t="shared" si="207"/>
        <v>42.343101429104628</v>
      </c>
      <c r="BR221" s="529"/>
      <c r="BS221" s="529"/>
      <c r="BT221" s="529">
        <v>12882.495999999999</v>
      </c>
      <c r="BU221" s="529">
        <v>-3.6234700000000002</v>
      </c>
      <c r="BV221" s="529">
        <v>-201.71899999999999</v>
      </c>
      <c r="BW221" s="49"/>
      <c r="BY221" s="529"/>
      <c r="BZ221" s="529"/>
      <c r="CA221" s="529"/>
      <c r="CC221" s="529"/>
    </row>
    <row r="222" spans="1:81">
      <c r="A222">
        <f t="shared" si="190"/>
        <v>94000</v>
      </c>
      <c r="B222">
        <f t="shared" si="191"/>
        <v>94</v>
      </c>
      <c r="C222">
        <f t="shared" si="159"/>
        <v>1.1060072468926865</v>
      </c>
      <c r="D222">
        <f t="shared" si="160"/>
        <v>0.4414029349306049</v>
      </c>
      <c r="F222">
        <f t="shared" si="161"/>
        <v>1.0837701162322072E-3</v>
      </c>
      <c r="G222">
        <f t="shared" si="162"/>
        <v>9.9309439889022459E-3</v>
      </c>
      <c r="H222">
        <f t="shared" si="163"/>
        <v>-3.1316617060110978</v>
      </c>
      <c r="J222">
        <f t="shared" si="164"/>
        <v>15</v>
      </c>
      <c r="M222">
        <f t="shared" si="165"/>
        <v>1.6021029978574096E-2</v>
      </c>
      <c r="N222">
        <f t="shared" si="166"/>
        <v>-1.5707963250000001</v>
      </c>
      <c r="O222">
        <f t="shared" si="167"/>
        <v>45.813451006967931</v>
      </c>
      <c r="P222">
        <f t="shared" si="168"/>
        <v>1.548966942568867</v>
      </c>
      <c r="Q222">
        <f t="shared" si="169"/>
        <v>35.76016194571239</v>
      </c>
      <c r="R222">
        <f t="shared" si="170"/>
        <v>1.5428286017319215</v>
      </c>
      <c r="S222">
        <f t="shared" si="171"/>
        <v>0.89302380784207946</v>
      </c>
      <c r="T222">
        <f t="shared" si="172"/>
        <v>-0.46677588812022686</v>
      </c>
      <c r="U222">
        <f t="shared" si="173"/>
        <v>0.78643638994112863</v>
      </c>
      <c r="V222">
        <f t="shared" si="174"/>
        <v>-0.6657781377373706</v>
      </c>
      <c r="X222">
        <f t="shared" si="192"/>
        <v>-9.5920808250661356</v>
      </c>
      <c r="Y222">
        <f t="shared" si="175"/>
        <v>-131.8842033752257</v>
      </c>
      <c r="Z222">
        <f t="shared" si="193"/>
        <v>48.115796624774305</v>
      </c>
      <c r="AC222">
        <v>1</v>
      </c>
      <c r="AD222">
        <f t="shared" si="176"/>
        <v>45.802535881410002</v>
      </c>
      <c r="AE222">
        <f t="shared" si="177"/>
        <v>-2.2182531017377665E-3</v>
      </c>
      <c r="AF222">
        <f t="shared" si="178"/>
        <v>2.8243420578324004E-3</v>
      </c>
      <c r="AG222">
        <f t="shared" si="194"/>
        <v>9857.9751353484316</v>
      </c>
      <c r="AH222">
        <f t="shared" si="195"/>
        <v>-8096.570264010641</v>
      </c>
      <c r="AJ222">
        <f t="shared" si="179"/>
        <v>22100</v>
      </c>
      <c r="AK222">
        <f t="shared" si="180"/>
        <v>11136.554376142105</v>
      </c>
      <c r="AL222">
        <v>1</v>
      </c>
      <c r="AM222">
        <f t="shared" si="181"/>
        <v>35.746177171602241</v>
      </c>
      <c r="AN222">
        <f t="shared" si="196"/>
        <v>328.58367242953483</v>
      </c>
      <c r="AO222">
        <f t="shared" si="197"/>
        <v>-609.05579421976029</v>
      </c>
      <c r="AQ222">
        <f t="shared" si="182"/>
        <v>0.28292544914415052</v>
      </c>
      <c r="AR222">
        <f t="shared" si="183"/>
        <v>-53.1899844391003</v>
      </c>
      <c r="AT222">
        <f t="shared" si="209"/>
        <v>-427867.37430998788</v>
      </c>
      <c r="AU222">
        <f t="shared" si="210"/>
        <v>-526636.26982869313</v>
      </c>
      <c r="AV222">
        <f t="shared" si="198"/>
        <v>-2.253084749986781</v>
      </c>
      <c r="AW222">
        <f t="shared" si="199"/>
        <v>-22518.112605828326</v>
      </c>
      <c r="AX222">
        <f t="shared" si="200"/>
        <v>-28413.602632854803</v>
      </c>
      <c r="AY222">
        <f t="shared" si="208"/>
        <v>-2.2409545261465245</v>
      </c>
      <c r="BA222">
        <f t="shared" si="184"/>
        <v>18.715948543212445</v>
      </c>
      <c r="BB222">
        <f t="shared" si="201"/>
        <v>25.444236849841179</v>
      </c>
      <c r="BC222">
        <f t="shared" si="202"/>
        <v>-1.2130223840256527E-2</v>
      </c>
      <c r="BD222">
        <f t="shared" si="185"/>
        <v>-180.69501063138983</v>
      </c>
      <c r="BF222">
        <f t="shared" si="186"/>
        <v>-9.4600350839342049</v>
      </c>
      <c r="BG222">
        <f t="shared" si="187"/>
        <v>-154.83548418848471</v>
      </c>
      <c r="BH222">
        <f t="shared" si="203"/>
        <v>25.164515811515287</v>
      </c>
      <c r="BI222">
        <f t="shared" si="204"/>
        <v>25.164515811515287</v>
      </c>
      <c r="BJ222">
        <f t="shared" si="188"/>
        <v>0</v>
      </c>
      <c r="BK222">
        <f t="shared" si="205"/>
        <v>0</v>
      </c>
      <c r="BM222">
        <f t="shared" si="206"/>
        <v>-34.904271933775384</v>
      </c>
      <c r="BN222">
        <f t="shared" si="189"/>
        <v>-154.14047355709488</v>
      </c>
      <c r="BQ222" s="47">
        <f t="shared" si="207"/>
        <v>42.346197650126314</v>
      </c>
      <c r="BR222" s="529"/>
      <c r="BS222" s="529"/>
      <c r="BT222" s="529">
        <v>13182.566999999999</v>
      </c>
      <c r="BU222" s="529">
        <v>-4.1132799999999996</v>
      </c>
      <c r="BV222" s="529">
        <v>-198.27600000000001</v>
      </c>
      <c r="BW222" s="49"/>
      <c r="BY222" s="529"/>
      <c r="BZ222" s="529"/>
      <c r="CA222" s="529"/>
      <c r="CC222" s="529"/>
    </row>
    <row r="223" spans="1:81">
      <c r="A223">
        <f t="shared" si="190"/>
        <v>94500</v>
      </c>
      <c r="B223">
        <f t="shared" si="191"/>
        <v>94.5</v>
      </c>
      <c r="C223">
        <f t="shared" si="159"/>
        <v>1.1070832707270004</v>
      </c>
      <c r="D223">
        <f t="shared" si="160"/>
        <v>0.44345552348750228</v>
      </c>
      <c r="F223">
        <f t="shared" si="161"/>
        <v>1.0723200618081798E-3</v>
      </c>
      <c r="G223">
        <f t="shared" si="162"/>
        <v>9.8782877179134036E-3</v>
      </c>
      <c r="H223">
        <f t="shared" si="163"/>
        <v>-3.1317143622820867</v>
      </c>
      <c r="J223">
        <f t="shared" si="164"/>
        <v>15</v>
      </c>
      <c r="M223">
        <f t="shared" si="165"/>
        <v>1.5936262624190106E-2</v>
      </c>
      <c r="N223">
        <f t="shared" si="166"/>
        <v>-1.5707963250000001</v>
      </c>
      <c r="O223">
        <f t="shared" si="167"/>
        <v>46.057023778638879</v>
      </c>
      <c r="P223">
        <f t="shared" si="168"/>
        <v>1.5490824055583579</v>
      </c>
      <c r="Q223">
        <f t="shared" si="169"/>
        <v>35.950227221180675</v>
      </c>
      <c r="R223">
        <f t="shared" si="170"/>
        <v>1.5429765025714959</v>
      </c>
      <c r="S223">
        <f t="shared" si="171"/>
        <v>0.89206086830575393</v>
      </c>
      <c r="T223">
        <f t="shared" si="172"/>
        <v>-0.46891118652204899</v>
      </c>
      <c r="U223">
        <f t="shared" si="173"/>
        <v>0.78484105817112582</v>
      </c>
      <c r="V223">
        <f t="shared" si="174"/>
        <v>-0.66835672451760386</v>
      </c>
      <c r="X223">
        <f t="shared" si="192"/>
        <v>-9.6568766024478609</v>
      </c>
      <c r="Y223">
        <f t="shared" si="175"/>
        <v>-132.02461178625083</v>
      </c>
      <c r="Z223">
        <f t="shared" si="193"/>
        <v>47.97538821374917</v>
      </c>
      <c r="AC223">
        <v>1</v>
      </c>
      <c r="AD223">
        <f t="shared" si="176"/>
        <v>46.046166391417501</v>
      </c>
      <c r="AE223">
        <f t="shared" si="177"/>
        <v>-2.2419143007914996E-3</v>
      </c>
      <c r="AF223">
        <f t="shared" si="178"/>
        <v>2.8393651538847005E-3</v>
      </c>
      <c r="AG223">
        <f t="shared" si="194"/>
        <v>9818.0207542444641</v>
      </c>
      <c r="AH223">
        <f t="shared" si="195"/>
        <v>-8104.3331474733013</v>
      </c>
      <c r="AJ223">
        <f t="shared" si="179"/>
        <v>22100</v>
      </c>
      <c r="AK223">
        <f t="shared" si="180"/>
        <v>11195.791367504562</v>
      </c>
      <c r="AL223">
        <v>1</v>
      </c>
      <c r="AM223">
        <f t="shared" si="181"/>
        <v>35.936316411876717</v>
      </c>
      <c r="AN223">
        <f t="shared" si="196"/>
        <v>328.40398857511894</v>
      </c>
      <c r="AO223">
        <f t="shared" si="197"/>
        <v>-605.83827685325889</v>
      </c>
      <c r="AQ223">
        <f t="shared" si="182"/>
        <v>0.27993953306085884</v>
      </c>
      <c r="AR223">
        <f t="shared" si="183"/>
        <v>-52.908571748502325</v>
      </c>
      <c r="AT223">
        <f t="shared" si="209"/>
        <v>-426040.23966133181</v>
      </c>
      <c r="AU223">
        <f t="shared" si="210"/>
        <v>-521726.17874130147</v>
      </c>
      <c r="AV223">
        <f t="shared" si="198"/>
        <v>-2.2555760166306387</v>
      </c>
      <c r="AW223">
        <f t="shared" si="199"/>
        <v>-22216.114316068815</v>
      </c>
      <c r="AX223">
        <f t="shared" si="200"/>
        <v>-28300.42914582607</v>
      </c>
      <c r="AY223">
        <f t="shared" si="208"/>
        <v>-2.2363298360236104</v>
      </c>
      <c r="BA223">
        <f t="shared" si="184"/>
        <v>18.721578123978354</v>
      </c>
      <c r="BB223">
        <f t="shared" si="201"/>
        <v>25.446849090657437</v>
      </c>
      <c r="BC223">
        <f t="shared" si="202"/>
        <v>-1.9246180607028318E-2</v>
      </c>
      <c r="BD223">
        <f t="shared" si="185"/>
        <v>-181.1027249217893</v>
      </c>
      <c r="BF223">
        <f t="shared" si="186"/>
        <v>-9.5412313416932104</v>
      </c>
      <c r="BG223">
        <f t="shared" si="187"/>
        <v>-155.12861079945876</v>
      </c>
      <c r="BH223">
        <f t="shared" si="203"/>
        <v>24.871389200541245</v>
      </c>
      <c r="BI223">
        <f t="shared" si="204"/>
        <v>24.871389200541245</v>
      </c>
      <c r="BJ223">
        <f t="shared" si="188"/>
        <v>0</v>
      </c>
      <c r="BK223">
        <f t="shared" si="205"/>
        <v>0</v>
      </c>
      <c r="BM223">
        <f t="shared" si="206"/>
        <v>-34.988080432350642</v>
      </c>
      <c r="BN223">
        <f t="shared" si="189"/>
        <v>-154.02588587766945</v>
      </c>
      <c r="BQ223" s="47">
        <f t="shared" si="207"/>
        <v>42.348809890942569</v>
      </c>
      <c r="BR223" s="529"/>
      <c r="BS223" s="529"/>
      <c r="BT223" s="529">
        <v>13489.629000000001</v>
      </c>
      <c r="BU223" s="529">
        <v>-3.8779599999999999</v>
      </c>
      <c r="BV223" s="529">
        <v>-197.578</v>
      </c>
      <c r="BW223" s="49"/>
      <c r="BY223" s="529"/>
      <c r="BZ223" s="529"/>
      <c r="CA223" s="529"/>
      <c r="CC223" s="529"/>
    </row>
    <row r="224" spans="1:81">
      <c r="A224">
        <f t="shared" si="190"/>
        <v>95000</v>
      </c>
      <c r="B224">
        <f t="shared" si="191"/>
        <v>95</v>
      </c>
      <c r="C224">
        <f t="shared" si="159"/>
        <v>1.1081639497663016</v>
      </c>
      <c r="D224">
        <f t="shared" si="160"/>
        <v>0.44550411730170947</v>
      </c>
      <c r="F224">
        <f t="shared" si="161"/>
        <v>1.0610505702478876E-3</v>
      </c>
      <c r="G224">
        <f t="shared" si="162"/>
        <v>9.826187473951687E-3</v>
      </c>
      <c r="H224">
        <f t="shared" si="163"/>
        <v>-3.1317664625260484</v>
      </c>
      <c r="J224">
        <f t="shared" si="164"/>
        <v>15</v>
      </c>
      <c r="M224">
        <f t="shared" si="165"/>
        <v>1.5852387557747E-2</v>
      </c>
      <c r="N224">
        <f t="shared" si="166"/>
        <v>-1.5707963250000001</v>
      </c>
      <c r="O224">
        <f t="shared" si="167"/>
        <v>46.300597157868019</v>
      </c>
      <c r="P224">
        <f t="shared" si="168"/>
        <v>1.5491966537179196</v>
      </c>
      <c r="Q224">
        <f t="shared" si="169"/>
        <v>36.140293274776383</v>
      </c>
      <c r="R224">
        <f t="shared" si="170"/>
        <v>1.5431228477584171</v>
      </c>
      <c r="S224">
        <f t="shared" si="171"/>
        <v>0.89109595336961722</v>
      </c>
      <c r="T224">
        <f t="shared" si="172"/>
        <v>-0.47104187524742797</v>
      </c>
      <c r="U224">
        <f t="shared" si="173"/>
        <v>0.78324700945509818</v>
      </c>
      <c r="V224">
        <f t="shared" si="174"/>
        <v>-0.67092485385642087</v>
      </c>
      <c r="X224">
        <f t="shared" si="192"/>
        <v>-9.7214495400978453</v>
      </c>
      <c r="Y224">
        <f t="shared" si="175"/>
        <v>-132.16451267586621</v>
      </c>
      <c r="Z224">
        <f t="shared" si="193"/>
        <v>47.835487324133794</v>
      </c>
      <c r="AC224">
        <v>1</v>
      </c>
      <c r="AD224">
        <f t="shared" si="176"/>
        <v>46.289796901425007</v>
      </c>
      <c r="AE224">
        <f t="shared" si="177"/>
        <v>-2.2657010234476394E-3</v>
      </c>
      <c r="AF224">
        <f t="shared" si="178"/>
        <v>2.8543882499370006E-3</v>
      </c>
      <c r="AG224">
        <f t="shared" si="194"/>
        <v>9778.1795408786729</v>
      </c>
      <c r="AH224">
        <f t="shared" si="195"/>
        <v>-8111.8717447546305</v>
      </c>
      <c r="AJ224">
        <f t="shared" si="179"/>
        <v>22100</v>
      </c>
      <c r="AK224">
        <f t="shared" si="180"/>
        <v>11255.028358867021</v>
      </c>
      <c r="AL224">
        <v>1</v>
      </c>
      <c r="AM224">
        <f t="shared" si="181"/>
        <v>36.126455652151201</v>
      </c>
      <c r="AN224">
        <f t="shared" si="196"/>
        <v>328.22713146524029</v>
      </c>
      <c r="AO224">
        <f t="shared" si="197"/>
        <v>-602.6545498447847</v>
      </c>
      <c r="AQ224">
        <f t="shared" si="182"/>
        <v>0.27700063710146533</v>
      </c>
      <c r="AR224">
        <f t="shared" si="183"/>
        <v>-52.630121049278415</v>
      </c>
      <c r="AT224">
        <f t="shared" si="209"/>
        <v>-424220.2299001416</v>
      </c>
      <c r="AU224">
        <f t="shared" si="210"/>
        <v>-516873.7665194046</v>
      </c>
      <c r="AV224">
        <f t="shared" si="198"/>
        <v>-2.2580577444306988</v>
      </c>
      <c r="AW224">
        <f t="shared" si="199"/>
        <v>-21919.359330168532</v>
      </c>
      <c r="AX224">
        <f t="shared" si="200"/>
        <v>-28188.48723827807</v>
      </c>
      <c r="AY224">
        <f t="shared" si="208"/>
        <v>-2.2317285323528675</v>
      </c>
      <c r="BA224">
        <f t="shared" si="184"/>
        <v>18.726181041008612</v>
      </c>
      <c r="BB224">
        <f t="shared" si="201"/>
        <v>25.448984354845777</v>
      </c>
      <c r="BC224">
        <f t="shared" si="202"/>
        <v>-2.6329212077831343E-2</v>
      </c>
      <c r="BD224">
        <f t="shared" si="185"/>
        <v>-181.50855273168838</v>
      </c>
      <c r="BF224">
        <f t="shared" si="186"/>
        <v>-9.6223884458496585</v>
      </c>
      <c r="BG224">
        <f t="shared" si="187"/>
        <v>-155.42004795382707</v>
      </c>
      <c r="BH224">
        <f t="shared" si="203"/>
        <v>24.579952046172934</v>
      </c>
      <c r="BI224">
        <f t="shared" si="204"/>
        <v>24.579952046172934</v>
      </c>
      <c r="BJ224">
        <f t="shared" si="188"/>
        <v>0</v>
      </c>
      <c r="BK224">
        <f t="shared" si="205"/>
        <v>0</v>
      </c>
      <c r="BM224">
        <f t="shared" si="206"/>
        <v>-35.071372800695436</v>
      </c>
      <c r="BN224">
        <f t="shared" si="189"/>
        <v>-153.91149522213868</v>
      </c>
      <c r="BQ224" s="47">
        <f t="shared" si="207"/>
        <v>42.350945155130916</v>
      </c>
      <c r="BR224" s="529"/>
      <c r="BS224" s="529"/>
      <c r="BT224" s="529">
        <v>13803.843000000001</v>
      </c>
      <c r="BU224" s="529">
        <v>-4.0306600000000001</v>
      </c>
      <c r="BV224" s="529">
        <v>-195.64599999999999</v>
      </c>
      <c r="BW224" s="49"/>
      <c r="BY224" s="529"/>
      <c r="BZ224" s="529"/>
      <c r="CA224" s="529"/>
      <c r="CC224" s="529"/>
    </row>
    <row r="225" spans="1:81">
      <c r="A225">
        <f t="shared" si="190"/>
        <v>95500</v>
      </c>
      <c r="B225">
        <f t="shared" si="191"/>
        <v>95.5</v>
      </c>
      <c r="C225">
        <f t="shared" si="159"/>
        <v>1.1092492704046786</v>
      </c>
      <c r="D225">
        <f t="shared" si="160"/>
        <v>0.447548710879136</v>
      </c>
      <c r="F225">
        <f t="shared" si="161"/>
        <v>1.0499578635960968E-3</v>
      </c>
      <c r="G225">
        <f t="shared" si="162"/>
        <v>9.7746344871751448E-3</v>
      </c>
      <c r="H225">
        <f t="shared" si="163"/>
        <v>-3.1318180155128252</v>
      </c>
      <c r="J225">
        <f t="shared" si="164"/>
        <v>15</v>
      </c>
      <c r="M225">
        <f t="shared" si="165"/>
        <v>1.5769390764250945E-2</v>
      </c>
      <c r="N225">
        <f t="shared" si="166"/>
        <v>-1.5707963250000001</v>
      </c>
      <c r="O225">
        <f t="shared" si="167"/>
        <v>46.54417113511699</v>
      </c>
      <c r="P225">
        <f t="shared" si="168"/>
        <v>1.549309706116814</v>
      </c>
      <c r="Q225">
        <f t="shared" si="169"/>
        <v>36.330360094286966</v>
      </c>
      <c r="R225">
        <f t="shared" si="170"/>
        <v>1.5432676617021408</v>
      </c>
      <c r="S225">
        <f t="shared" si="171"/>
        <v>0.89012909567741305</v>
      </c>
      <c r="T225">
        <f t="shared" si="172"/>
        <v>-0.47316794992401962</v>
      </c>
      <c r="U225">
        <f t="shared" si="173"/>
        <v>0.78165429887830529</v>
      </c>
      <c r="V225">
        <f t="shared" si="174"/>
        <v>-0.67348255557064685</v>
      </c>
      <c r="X225">
        <f t="shared" si="192"/>
        <v>-9.7858016521020428</v>
      </c>
      <c r="Y225">
        <f t="shared" si="175"/>
        <v>-132.30390582804938</v>
      </c>
      <c r="Z225">
        <f t="shared" si="193"/>
        <v>47.69609417195062</v>
      </c>
      <c r="AC225">
        <v>1</v>
      </c>
      <c r="AD225">
        <f t="shared" si="176"/>
        <v>46.533427411432505</v>
      </c>
      <c r="AE225">
        <f t="shared" si="177"/>
        <v>-2.2896132697061869E-3</v>
      </c>
      <c r="AF225">
        <f t="shared" si="178"/>
        <v>2.8694113459893002E-3</v>
      </c>
      <c r="AG225">
        <f t="shared" si="194"/>
        <v>9738.4526722451228</v>
      </c>
      <c r="AH225">
        <f t="shared" si="195"/>
        <v>-8119.1881036302912</v>
      </c>
      <c r="AJ225">
        <f t="shared" si="179"/>
        <v>22100</v>
      </c>
      <c r="AK225">
        <f t="shared" si="180"/>
        <v>11314.26535022948</v>
      </c>
      <c r="AL225">
        <v>1</v>
      </c>
      <c r="AM225">
        <f t="shared" si="181"/>
        <v>36.316594892425684</v>
      </c>
      <c r="AN225">
        <f t="shared" si="196"/>
        <v>328.0530421312634</v>
      </c>
      <c r="AO225">
        <f t="shared" si="197"/>
        <v>-599.50408407946782</v>
      </c>
      <c r="AQ225">
        <f t="shared" si="182"/>
        <v>0.2741077791787731</v>
      </c>
      <c r="AR225">
        <f t="shared" si="183"/>
        <v>-52.354585823145662</v>
      </c>
      <c r="AT225">
        <f t="shared" si="209"/>
        <v>-422407.3447511486</v>
      </c>
      <c r="AU225">
        <f t="shared" si="210"/>
        <v>-512078.18883352028</v>
      </c>
      <c r="AV225">
        <f t="shared" si="198"/>
        <v>-2.2605299487872186</v>
      </c>
      <c r="AW225">
        <f t="shared" si="199"/>
        <v>-21627.734912186454</v>
      </c>
      <c r="AX225">
        <f t="shared" si="200"/>
        <v>-28077.75248408808</v>
      </c>
      <c r="AY225">
        <f t="shared" si="208"/>
        <v>-2.2271508843673975</v>
      </c>
      <c r="BA225">
        <f t="shared" si="184"/>
        <v>18.729771569886939</v>
      </c>
      <c r="BB225">
        <f t="shared" si="201"/>
        <v>25.450649614197154</v>
      </c>
      <c r="BC225">
        <f t="shared" si="202"/>
        <v>-3.3379064419821081E-2</v>
      </c>
      <c r="BD225">
        <f t="shared" si="185"/>
        <v>-181.91247951753635</v>
      </c>
      <c r="BF225">
        <f t="shared" si="186"/>
        <v>-9.703504759506167</v>
      </c>
      <c r="BG225">
        <f t="shared" si="187"/>
        <v>-155.70978192530208</v>
      </c>
      <c r="BH225">
        <f t="shared" si="203"/>
        <v>24.290218074697918</v>
      </c>
      <c r="BI225">
        <f t="shared" si="204"/>
        <v>24.290218074697918</v>
      </c>
      <c r="BJ225">
        <f t="shared" si="188"/>
        <v>0</v>
      </c>
      <c r="BK225">
        <f t="shared" si="205"/>
        <v>0</v>
      </c>
      <c r="BM225">
        <f t="shared" si="206"/>
        <v>-35.154154373703321</v>
      </c>
      <c r="BN225">
        <f t="shared" si="189"/>
        <v>-153.79730240776573</v>
      </c>
      <c r="BQ225" s="47">
        <f t="shared" si="207"/>
        <v>42.352610414482292</v>
      </c>
      <c r="BR225" s="529"/>
      <c r="BS225" s="529"/>
      <c r="BT225" s="529">
        <v>14125.375</v>
      </c>
      <c r="BU225" s="529">
        <v>-4.0179099999999996</v>
      </c>
      <c r="BV225" s="529">
        <v>-192.58199999999999</v>
      </c>
      <c r="BW225" s="49"/>
      <c r="BY225" s="529"/>
      <c r="BZ225" s="529"/>
      <c r="CA225" s="529"/>
      <c r="CC225" s="529"/>
    </row>
    <row r="226" spans="1:81">
      <c r="A226">
        <f t="shared" si="190"/>
        <v>96000</v>
      </c>
      <c r="B226">
        <f t="shared" si="191"/>
        <v>96</v>
      </c>
      <c r="C226">
        <f t="shared" si="159"/>
        <v>1.1103392190310932</v>
      </c>
      <c r="D226">
        <f t="shared" si="160"/>
        <v>0.44958929888090515</v>
      </c>
      <c r="F226">
        <f t="shared" si="161"/>
        <v>1.0390382622246929E-3</v>
      </c>
      <c r="G226">
        <f t="shared" si="162"/>
        <v>9.7236201713901231E-3</v>
      </c>
      <c r="H226">
        <f t="shared" si="163"/>
        <v>-3.1318690298286103</v>
      </c>
      <c r="J226">
        <f t="shared" si="164"/>
        <v>15</v>
      </c>
      <c r="M226">
        <f t="shared" si="165"/>
        <v>1.5687258520687135E-2</v>
      </c>
      <c r="N226">
        <f t="shared" si="166"/>
        <v>-1.5707963250000001</v>
      </c>
      <c r="O226">
        <f t="shared" si="167"/>
        <v>46.787745701046049</v>
      </c>
      <c r="P226">
        <f t="shared" si="168"/>
        <v>1.5494215814273311</v>
      </c>
      <c r="Q226">
        <f t="shared" si="169"/>
        <v>36.520427667754035</v>
      </c>
      <c r="R226">
        <f t="shared" si="170"/>
        <v>1.5434109683042343</v>
      </c>
      <c r="S226">
        <f t="shared" si="171"/>
        <v>0.88916032772551057</v>
      </c>
      <c r="T226">
        <f t="shared" si="172"/>
        <v>-0.47528940636524586</v>
      </c>
      <c r="U226">
        <f t="shared" si="173"/>
        <v>0.78006298061911417</v>
      </c>
      <c r="V226">
        <f t="shared" si="174"/>
        <v>-0.67602985978119401</v>
      </c>
      <c r="X226">
        <f t="shared" si="192"/>
        <v>-9.849934916826129</v>
      </c>
      <c r="Y226">
        <f t="shared" si="175"/>
        <v>-132.44279108727363</v>
      </c>
      <c r="Z226">
        <f t="shared" si="193"/>
        <v>47.557208912726367</v>
      </c>
      <c r="AC226">
        <v>1</v>
      </c>
      <c r="AD226">
        <f t="shared" si="176"/>
        <v>46.777057921440004</v>
      </c>
      <c r="AE226">
        <f t="shared" si="177"/>
        <v>-2.3136510395671411E-3</v>
      </c>
      <c r="AF226">
        <f t="shared" si="178"/>
        <v>2.8844344420416003E-3</v>
      </c>
      <c r="AG226">
        <f t="shared" si="194"/>
        <v>9698.8412917657879</v>
      </c>
      <c r="AH226">
        <f t="shared" si="195"/>
        <v>-8126.2842710684054</v>
      </c>
      <c r="AJ226">
        <f t="shared" si="179"/>
        <v>22100</v>
      </c>
      <c r="AK226">
        <f t="shared" si="180"/>
        <v>11373.502341591937</v>
      </c>
      <c r="AL226">
        <v>1</v>
      </c>
      <c r="AM226">
        <f t="shared" si="181"/>
        <v>36.50673413270016</v>
      </c>
      <c r="AN226">
        <f t="shared" si="196"/>
        <v>327.88166313386893</v>
      </c>
      <c r="AO226">
        <f t="shared" si="197"/>
        <v>-596.38636142377356</v>
      </c>
      <c r="AQ226">
        <f t="shared" si="182"/>
        <v>0.27126000271260003</v>
      </c>
      <c r="AR226">
        <f t="shared" si="183"/>
        <v>-52.081920520819203</v>
      </c>
      <c r="AT226">
        <f t="shared" si="209"/>
        <v>-420601.58382025443</v>
      </c>
      <c r="AU226">
        <f t="shared" si="210"/>
        <v>-507338.6171951986</v>
      </c>
      <c r="AV226">
        <f t="shared" si="198"/>
        <v>-2.2629926457045841</v>
      </c>
      <c r="AW226">
        <f t="shared" si="199"/>
        <v>-21341.131251827661</v>
      </c>
      <c r="AX226">
        <f t="shared" si="200"/>
        <v>-27968.201100755075</v>
      </c>
      <c r="AY226">
        <f t="shared" si="208"/>
        <v>-2.2225971498390571</v>
      </c>
      <c r="BA226">
        <f t="shared" si="184"/>
        <v>18.732364091326811</v>
      </c>
      <c r="BB226">
        <f t="shared" si="201"/>
        <v>25.451851807011284</v>
      </c>
      <c r="BC226">
        <f t="shared" si="202"/>
        <v>-4.0395495865527042E-2</v>
      </c>
      <c r="BD226">
        <f t="shared" si="185"/>
        <v>-182.31449142707757</v>
      </c>
      <c r="BF226">
        <f t="shared" si="186"/>
        <v>-9.7845785981528302</v>
      </c>
      <c r="BG226">
        <f t="shared" si="187"/>
        <v>-155.99779965947582</v>
      </c>
      <c r="BH226">
        <f t="shared" si="203"/>
        <v>24.002200340524183</v>
      </c>
      <c r="BI226">
        <f t="shared" si="204"/>
        <v>24.002200340524183</v>
      </c>
      <c r="BJ226">
        <f t="shared" si="188"/>
        <v>0</v>
      </c>
      <c r="BK226">
        <f t="shared" si="205"/>
        <v>0</v>
      </c>
      <c r="BM226">
        <f t="shared" si="206"/>
        <v>-35.236430405164114</v>
      </c>
      <c r="BN226">
        <f t="shared" si="189"/>
        <v>-153.68330823239828</v>
      </c>
      <c r="BQ226" s="47">
        <f t="shared" si="207"/>
        <v>42.353812607296426</v>
      </c>
      <c r="BR226" s="529"/>
      <c r="BS226" s="529"/>
      <c r="BT226" s="529">
        <v>14454.397999999999</v>
      </c>
      <c r="BU226" s="529">
        <v>-3.9652699999999999</v>
      </c>
      <c r="BV226" s="529">
        <v>-192.25399999999999</v>
      </c>
      <c r="BW226" s="49"/>
      <c r="BY226" s="529"/>
      <c r="BZ226" s="529"/>
      <c r="CA226" s="529"/>
      <c r="CC226" s="529"/>
    </row>
    <row r="227" spans="1:81">
      <c r="A227">
        <f t="shared" si="190"/>
        <v>96500</v>
      </c>
      <c r="B227">
        <f t="shared" si="191"/>
        <v>96.5</v>
      </c>
      <c r="C227">
        <f t="shared" si="159"/>
        <v>1.1114337820299727</v>
      </c>
      <c r="D227">
        <f t="shared" si="160"/>
        <v>0.45162587612247113</v>
      </c>
      <c r="F227">
        <f t="shared" si="161"/>
        <v>1.0282881817766461E-3</v>
      </c>
      <c r="G227">
        <f t="shared" si="162"/>
        <v>9.6731361192643923E-3</v>
      </c>
      <c r="H227">
        <f t="shared" si="163"/>
        <v>-3.1319195138807356</v>
      </c>
      <c r="J227">
        <f t="shared" si="164"/>
        <v>15</v>
      </c>
      <c r="M227">
        <f t="shared" si="165"/>
        <v>1.5605977388455598E-2</v>
      </c>
      <c r="N227">
        <f t="shared" si="166"/>
        <v>-1.5707963250000001</v>
      </c>
      <c r="O227">
        <f t="shared" si="167"/>
        <v>47.031320846508883</v>
      </c>
      <c r="P227">
        <f t="shared" si="168"/>
        <v>1.5495322979350659</v>
      </c>
      <c r="Q227">
        <f t="shared" si="169"/>
        <v>36.710495983466835</v>
      </c>
      <c r="R227">
        <f t="shared" si="170"/>
        <v>1.5435527909715152</v>
      </c>
      <c r="S227">
        <f t="shared" si="171"/>
        <v>0.88818968186138847</v>
      </c>
      <c r="T227">
        <f t="shared" si="172"/>
        <v>-0.47740624056897379</v>
      </c>
      <c r="U227">
        <f t="shared" si="173"/>
        <v>0.77847310795628322</v>
      </c>
      <c r="V227">
        <f t="shared" si="174"/>
        <v>-0.67856679690431876</v>
      </c>
      <c r="X227">
        <f t="shared" si="192"/>
        <v>-9.9138512777720607</v>
      </c>
      <c r="Y227">
        <f t="shared" si="175"/>
        <v>-132.58116835691465</v>
      </c>
      <c r="Z227">
        <f t="shared" si="193"/>
        <v>47.418831643085355</v>
      </c>
      <c r="AC227">
        <v>1</v>
      </c>
      <c r="AD227">
        <f t="shared" si="176"/>
        <v>47.020688431447503</v>
      </c>
      <c r="AE227">
        <f t="shared" si="177"/>
        <v>-2.3378143330305013E-3</v>
      </c>
      <c r="AF227">
        <f t="shared" si="178"/>
        <v>2.8994575380939004E-3</v>
      </c>
      <c r="AG227">
        <f t="shared" si="194"/>
        <v>9659.3465097250682</v>
      </c>
      <c r="AH227">
        <f t="shared" si="195"/>
        <v>-8133.162292711494</v>
      </c>
      <c r="AJ227">
        <f t="shared" si="179"/>
        <v>22100</v>
      </c>
      <c r="AK227">
        <f t="shared" si="180"/>
        <v>11432.739332954396</v>
      </c>
      <c r="AL227">
        <v>1</v>
      </c>
      <c r="AM227">
        <f t="shared" si="181"/>
        <v>36.696873372974636</v>
      </c>
      <c r="AN227">
        <f t="shared" si="196"/>
        <v>327.71293851571721</v>
      </c>
      <c r="AO227">
        <f t="shared" si="197"/>
        <v>-593.30087444230207</v>
      </c>
      <c r="AQ227">
        <f t="shared" si="182"/>
        <v>0.26845637583892618</v>
      </c>
      <c r="AR227">
        <f t="shared" si="183"/>
        <v>-51.812080536912752</v>
      </c>
      <c r="AT227">
        <f t="shared" si="209"/>
        <v>-418802.94657277677</v>
      </c>
      <c r="AU227">
        <f t="shared" si="210"/>
        <v>-502654.23856903345</v>
      </c>
      <c r="AV227">
        <f t="shared" si="198"/>
        <v>-2.2654458517748073</v>
      </c>
      <c r="AW227">
        <f t="shared" si="199"/>
        <v>-21059.441374501304</v>
      </c>
      <c r="AX227">
        <f t="shared" si="200"/>
        <v>-27859.809929294795</v>
      </c>
      <c r="AY227">
        <f t="shared" si="208"/>
        <v>-2.218067575180406</v>
      </c>
      <c r="BA227">
        <f t="shared" si="184"/>
        <v>18.73397307962556</v>
      </c>
      <c r="BB227">
        <f t="shared" si="201"/>
        <v>25.452597836426261</v>
      </c>
      <c r="BC227">
        <f t="shared" si="202"/>
        <v>-4.7378276594401303E-2</v>
      </c>
      <c r="BD227">
        <f t="shared" si="185"/>
        <v>-182.71457529256449</v>
      </c>
      <c r="BF227">
        <f t="shared" si="186"/>
        <v>-9.8656082330155854</v>
      </c>
      <c r="BG227">
        <f t="shared" si="187"/>
        <v>-156.28408876735813</v>
      </c>
      <c r="BH227">
        <f t="shared" si="203"/>
        <v>23.715911232641872</v>
      </c>
      <c r="BI227">
        <f t="shared" si="204"/>
        <v>23.715911232641872</v>
      </c>
      <c r="BJ227">
        <f t="shared" si="188"/>
        <v>0</v>
      </c>
      <c r="BK227">
        <f t="shared" si="205"/>
        <v>0</v>
      </c>
      <c r="BM227">
        <f t="shared" si="206"/>
        <v>-35.31820606944185</v>
      </c>
      <c r="BN227">
        <f t="shared" si="189"/>
        <v>-153.56951347479364</v>
      </c>
      <c r="BQ227" s="47">
        <f t="shared" si="207"/>
        <v>42.354558636711403</v>
      </c>
      <c r="BR227" s="529"/>
      <c r="BS227" s="529"/>
      <c r="BT227" s="529">
        <v>14791.084000000001</v>
      </c>
      <c r="BU227" s="529">
        <v>-3.9583900000000001</v>
      </c>
      <c r="BV227" s="529">
        <v>-191.02600000000001</v>
      </c>
      <c r="BW227" s="49"/>
      <c r="BY227" s="529"/>
      <c r="BZ227" s="529"/>
      <c r="CA227" s="529"/>
      <c r="CC227" s="529"/>
    </row>
    <row r="228" spans="1:81">
      <c r="A228">
        <f t="shared" si="190"/>
        <v>97000</v>
      </c>
      <c r="B228">
        <f t="shared" si="191"/>
        <v>97</v>
      </c>
      <c r="C228">
        <f t="shared" si="159"/>
        <v>1.1125329457817976</v>
      </c>
      <c r="D228">
        <f t="shared" si="160"/>
        <v>0.45365843757272944</v>
      </c>
      <c r="F228">
        <f t="shared" si="161"/>
        <v>1.0177041302202518E-3</v>
      </c>
      <c r="G228">
        <f t="shared" si="162"/>
        <v>9.6231740976893149E-3</v>
      </c>
      <c r="H228">
        <f t="shared" si="163"/>
        <v>-3.1319694759023107</v>
      </c>
      <c r="J228">
        <f t="shared" si="164"/>
        <v>15</v>
      </c>
      <c r="M228">
        <f t="shared" si="165"/>
        <v>1.5525534206040879E-2</v>
      </c>
      <c r="N228">
        <f t="shared" si="166"/>
        <v>-1.5707963250000001</v>
      </c>
      <c r="O228">
        <f t="shared" si="167"/>
        <v>47.274896562547688</v>
      </c>
      <c r="P228">
        <f t="shared" si="168"/>
        <v>1.5496418735488748</v>
      </c>
      <c r="Q228">
        <f t="shared" si="169"/>
        <v>36.900565029955828</v>
      </c>
      <c r="R228">
        <f t="shared" si="170"/>
        <v>1.5436931526287831</v>
      </c>
      <c r="S228">
        <f t="shared" si="171"/>
        <v>0.88721719028215873</v>
      </c>
      <c r="T228">
        <f t="shared" si="172"/>
        <v>-0.47951844871618737</v>
      </c>
      <c r="U228">
        <f t="shared" si="173"/>
        <v>0.77688473327632368</v>
      </c>
      <c r="V228">
        <f t="shared" si="174"/>
        <v>-0.68109339764299348</v>
      </c>
      <c r="X228">
        <f t="shared" si="192"/>
        <v>-9.9775526444108742</v>
      </c>
      <c r="Y228">
        <f t="shared" si="175"/>
        <v>-132.71903759769702</v>
      </c>
      <c r="Z228">
        <f t="shared" si="193"/>
        <v>47.280962402302976</v>
      </c>
      <c r="AC228">
        <v>1</v>
      </c>
      <c r="AD228">
        <f t="shared" si="176"/>
        <v>47.264318941455002</v>
      </c>
      <c r="AE228">
        <f t="shared" si="177"/>
        <v>-2.36210315009627E-3</v>
      </c>
      <c r="AF228">
        <f t="shared" si="178"/>
        <v>2.9144806341462005E-3</v>
      </c>
      <c r="AG228">
        <f t="shared" si="194"/>
        <v>9619.969403704361</v>
      </c>
      <c r="AH228">
        <f t="shared" si="195"/>
        <v>-8139.8242123744922</v>
      </c>
      <c r="AJ228">
        <f t="shared" si="179"/>
        <v>22100</v>
      </c>
      <c r="AK228">
        <f t="shared" si="180"/>
        <v>11491.976324316851</v>
      </c>
      <c r="AL228">
        <v>1</v>
      </c>
      <c r="AM228">
        <f t="shared" si="181"/>
        <v>36.887012613249119</v>
      </c>
      <c r="AN228">
        <f t="shared" si="196"/>
        <v>327.54681375581072</v>
      </c>
      <c r="AO228">
        <f t="shared" si="197"/>
        <v>-590.24712612329938</v>
      </c>
      <c r="AQ228">
        <f t="shared" si="182"/>
        <v>0.26569599064750116</v>
      </c>
      <c r="AR228">
        <f t="shared" si="183"/>
        <v>-51.545022185615217</v>
      </c>
      <c r="AT228">
        <f t="shared" si="209"/>
        <v>-417011.43231313524</v>
      </c>
      <c r="AU228">
        <f t="shared" si="210"/>
        <v>-498024.25499668426</v>
      </c>
      <c r="AV228">
        <f t="shared" si="198"/>
        <v>-2.2678895841613711</v>
      </c>
      <c r="AW228">
        <f t="shared" si="199"/>
        <v>-20782.561054592494</v>
      </c>
      <c r="AX228">
        <f t="shared" si="200"/>
        <v>-27752.556414860745</v>
      </c>
      <c r="AY228">
        <f t="shared" si="208"/>
        <v>-2.213562395553788</v>
      </c>
      <c r="BA228">
        <f t="shared" si="184"/>
        <v>18.734613091323148</v>
      </c>
      <c r="BB228">
        <f t="shared" si="201"/>
        <v>25.452894568784803</v>
      </c>
      <c r="BC228">
        <f t="shared" si="202"/>
        <v>-5.4327188607583121E-2</v>
      </c>
      <c r="BD228">
        <f t="shared" si="185"/>
        <v>-183.11271862358251</v>
      </c>
      <c r="BF228">
        <f t="shared" si="186"/>
        <v>-9.9465918943241167</v>
      </c>
      <c r="BG228">
        <f t="shared" si="187"/>
        <v>-156.56863751851773</v>
      </c>
      <c r="BH228">
        <f t="shared" si="203"/>
        <v>23.431362481482267</v>
      </c>
      <c r="BI228">
        <f t="shared" si="204"/>
        <v>23.431362481482267</v>
      </c>
      <c r="BJ228">
        <f t="shared" si="188"/>
        <v>0</v>
      </c>
      <c r="BK228">
        <f t="shared" si="205"/>
        <v>0</v>
      </c>
      <c r="BM228">
        <f t="shared" si="206"/>
        <v>-35.399486463108914</v>
      </c>
      <c r="BN228">
        <f t="shared" si="189"/>
        <v>-153.45591889493519</v>
      </c>
      <c r="BQ228" s="47">
        <f t="shared" si="207"/>
        <v>42.354855369069938</v>
      </c>
      <c r="BR228" s="529"/>
      <c r="BS228" s="529"/>
      <c r="BT228" s="529">
        <v>15135.611999999999</v>
      </c>
      <c r="BU228" s="529">
        <v>-3.8792200000000001</v>
      </c>
      <c r="BV228" s="529">
        <v>-189.453</v>
      </c>
      <c r="BW228" s="49"/>
      <c r="BY228" s="529"/>
      <c r="BZ228" s="529"/>
      <c r="CA228" s="529"/>
      <c r="CC228" s="529"/>
    </row>
    <row r="229" spans="1:81">
      <c r="A229">
        <f t="shared" si="190"/>
        <v>97500</v>
      </c>
      <c r="B229">
        <f t="shared" si="191"/>
        <v>97.5</v>
      </c>
      <c r="C229">
        <f t="shared" si="159"/>
        <v>1.1136366966636848</v>
      </c>
      <c r="D229">
        <f t="shared" si="160"/>
        <v>0.45568697835311939</v>
      </c>
      <c r="F229">
        <f t="shared" si="161"/>
        <v>1.0072827050091244E-3</v>
      </c>
      <c r="G229">
        <f t="shared" si="162"/>
        <v>9.5737260432857824E-3</v>
      </c>
      <c r="H229">
        <f t="shared" si="163"/>
        <v>-3.1320189239567142</v>
      </c>
      <c r="J229">
        <f t="shared" si="164"/>
        <v>15</v>
      </c>
      <c r="M229">
        <f t="shared" si="165"/>
        <v>1.5445916081907332E-2</v>
      </c>
      <c r="N229">
        <f t="shared" si="166"/>
        <v>-1.5707963250000001</v>
      </c>
      <c r="O229">
        <f t="shared" si="167"/>
        <v>47.518472840388263</v>
      </c>
      <c r="P229">
        <f t="shared" si="168"/>
        <v>1.5497503258105267</v>
      </c>
      <c r="Q229">
        <f t="shared" si="169"/>
        <v>37.090634795986553</v>
      </c>
      <c r="R229">
        <f t="shared" si="170"/>
        <v>1.5438320757311608</v>
      </c>
      <c r="S229">
        <f t="shared" si="171"/>
        <v>0.88624288503312876</v>
      </c>
      <c r="T229">
        <f t="shared" si="172"/>
        <v>-0.48162602716965341</v>
      </c>
      <c r="U229">
        <f t="shared" si="173"/>
        <v>0.77529790808093024</v>
      </c>
      <c r="V229">
        <f t="shared" si="174"/>
        <v>-0.68360969297839203</v>
      </c>
      <c r="X229">
        <f t="shared" si="192"/>
        <v>-10.041040892992426</v>
      </c>
      <c r="Y229">
        <f t="shared" si="175"/>
        <v>-132.85639882617863</v>
      </c>
      <c r="Z229">
        <f t="shared" si="193"/>
        <v>47.143601173821367</v>
      </c>
      <c r="AC229">
        <v>1</v>
      </c>
      <c r="AD229">
        <f t="shared" si="176"/>
        <v>47.507949451462508</v>
      </c>
      <c r="AE229">
        <f t="shared" si="177"/>
        <v>-2.3865174907644455E-3</v>
      </c>
      <c r="AF229">
        <f t="shared" si="178"/>
        <v>2.9295037301985002E-3</v>
      </c>
      <c r="AG229">
        <f t="shared" si="194"/>
        <v>9580.7110190163985</v>
      </c>
      <c r="AH229">
        <f t="shared" si="195"/>
        <v>-8146.272071558431</v>
      </c>
      <c r="AJ229">
        <f t="shared" si="179"/>
        <v>22100</v>
      </c>
      <c r="AK229">
        <f t="shared" si="180"/>
        <v>11551.21331567931</v>
      </c>
      <c r="AL229">
        <v>1</v>
      </c>
      <c r="AM229">
        <f t="shared" si="181"/>
        <v>37.077151853523603</v>
      </c>
      <c r="AN229">
        <f t="shared" si="196"/>
        <v>327.38323572548939</v>
      </c>
      <c r="AO229">
        <f t="shared" si="197"/>
        <v>-587.22462961257281</v>
      </c>
      <c r="AQ229">
        <f t="shared" si="182"/>
        <v>0.26297796244674698</v>
      </c>
      <c r="AR229">
        <f t="shared" si="183"/>
        <v>-51.280702677115656</v>
      </c>
      <c r="AT229">
        <f t="shared" si="209"/>
        <v>-415227.04016590695</v>
      </c>
      <c r="AU229">
        <f t="shared" si="210"/>
        <v>-493447.883232461</v>
      </c>
      <c r="AV229">
        <f t="shared" si="198"/>
        <v>-2.2703238605834239</v>
      </c>
      <c r="AW229">
        <f t="shared" si="199"/>
        <v>-20510.388731817544</v>
      </c>
      <c r="AX229">
        <f t="shared" si="200"/>
        <v>-27646.418588061177</v>
      </c>
      <c r="AY229">
        <f t="shared" si="208"/>
        <v>-2.2090818349872006</v>
      </c>
      <c r="BA229">
        <f t="shared" si="184"/>
        <v>18.734298754075958</v>
      </c>
      <c r="BB229">
        <f t="shared" si="201"/>
        <v>25.452748832039124</v>
      </c>
      <c r="BC229">
        <f t="shared" si="202"/>
        <v>-6.1242025596223382E-2</v>
      </c>
      <c r="BD229">
        <f t="shared" si="185"/>
        <v>-183.50890959950527</v>
      </c>
      <c r="BF229">
        <f t="shared" si="186"/>
        <v>-10.027527774498804</v>
      </c>
      <c r="BG229">
        <f t="shared" si="187"/>
        <v>-156.85143483384684</v>
      </c>
      <c r="BH229">
        <f t="shared" si="203"/>
        <v>23.148565166153162</v>
      </c>
      <c r="BI229">
        <f t="shared" si="204"/>
        <v>23.148565166153162</v>
      </c>
      <c r="BJ229">
        <f t="shared" si="188"/>
        <v>0</v>
      </c>
      <c r="BK229">
        <f t="shared" si="205"/>
        <v>0</v>
      </c>
      <c r="BM229">
        <f t="shared" si="206"/>
        <v>-35.480276606537927</v>
      </c>
      <c r="BN229">
        <f t="shared" si="189"/>
        <v>-153.34252523434159</v>
      </c>
      <c r="BQ229" s="47">
        <f t="shared" si="207"/>
        <v>42.354709632324258</v>
      </c>
      <c r="BR229" s="529"/>
      <c r="BS229" s="529"/>
      <c r="BT229" s="529">
        <v>15488.165999999999</v>
      </c>
      <c r="BU229" s="529">
        <v>-3.9822899999999999</v>
      </c>
      <c r="BV229" s="529">
        <v>-188.48099999999999</v>
      </c>
      <c r="BW229" s="49"/>
      <c r="BY229" s="529"/>
      <c r="BZ229" s="529"/>
      <c r="CA229" s="529"/>
      <c r="CC229" s="529"/>
    </row>
    <row r="230" spans="1:81">
      <c r="A230">
        <f t="shared" si="190"/>
        <v>98000</v>
      </c>
      <c r="B230">
        <f t="shared" si="191"/>
        <v>98</v>
      </c>
      <c r="C230">
        <f t="shared" si="159"/>
        <v>1.1147450210499656</v>
      </c>
      <c r="D230">
        <f t="shared" si="160"/>
        <v>0.45771149373672115</v>
      </c>
      <c r="F230">
        <f t="shared" si="161"/>
        <v>9.9702059034362353E-4</v>
      </c>
      <c r="G230">
        <f t="shared" si="162"/>
        <v>9.5247840580486316E-3</v>
      </c>
      <c r="H230">
        <f t="shared" si="163"/>
        <v>-3.1320678659419516</v>
      </c>
      <c r="J230">
        <f t="shared" si="164"/>
        <v>15</v>
      </c>
      <c r="M230">
        <f t="shared" si="165"/>
        <v>1.5367110387611887E-2</v>
      </c>
      <c r="N230">
        <f t="shared" si="166"/>
        <v>-1.5707963250000001</v>
      </c>
      <c r="O230">
        <f t="shared" si="167"/>
        <v>47.76204967143542</v>
      </c>
      <c r="P230">
        <f t="shared" si="168"/>
        <v>1.5498576719040598</v>
      </c>
      <c r="Q230">
        <f t="shared" si="169"/>
        <v>37.280705270553575</v>
      </c>
      <c r="R230">
        <f t="shared" si="170"/>
        <v>1.5439695822760591</v>
      </c>
      <c r="S230">
        <f t="shared" si="171"/>
        <v>0.88526679800640262</v>
      </c>
      <c r="T230">
        <f t="shared" si="172"/>
        <v>-0.48372897247258145</v>
      </c>
      <c r="U230">
        <f t="shared" si="173"/>
        <v>0.77371268299447826</v>
      </c>
      <c r="V230">
        <f t="shared" si="174"/>
        <v>-0.68611571416148798</v>
      </c>
      <c r="X230">
        <f t="shared" si="192"/>
        <v>-10.104317867332785</v>
      </c>
      <c r="Y230">
        <f t="shared" si="175"/>
        <v>-132.99325211327209</v>
      </c>
      <c r="Z230">
        <f t="shared" si="193"/>
        <v>47.006747886727908</v>
      </c>
      <c r="AC230">
        <v>1</v>
      </c>
      <c r="AD230">
        <f t="shared" si="176"/>
        <v>47.75157996147</v>
      </c>
      <c r="AE230">
        <f t="shared" si="177"/>
        <v>-2.4110573550350277E-3</v>
      </c>
      <c r="AF230">
        <f t="shared" si="178"/>
        <v>2.9445268262508002E-3</v>
      </c>
      <c r="AG230">
        <f t="shared" si="194"/>
        <v>9541.572369139174</v>
      </c>
      <c r="AH230">
        <f t="shared" si="195"/>
        <v>-8152.5079089795154</v>
      </c>
      <c r="AJ230">
        <f t="shared" si="179"/>
        <v>22100</v>
      </c>
      <c r="AK230">
        <f t="shared" si="180"/>
        <v>11610.450307041769</v>
      </c>
      <c r="AL230">
        <v>1</v>
      </c>
      <c r="AM230">
        <f t="shared" si="181"/>
        <v>37.267291093798079</v>
      </c>
      <c r="AN230">
        <f t="shared" si="196"/>
        <v>327.22215264598833</v>
      </c>
      <c r="AO230">
        <f t="shared" si="197"/>
        <v>-584.23290795550679</v>
      </c>
      <c r="AQ230">
        <f t="shared" si="182"/>
        <v>0.26030142905484549</v>
      </c>
      <c r="AR230">
        <f t="shared" si="183"/>
        <v>-51.019080094749718</v>
      </c>
      <c r="AT230">
        <f t="shared" si="209"/>
        <v>-413449.7690581893</v>
      </c>
      <c r="AU230">
        <f t="shared" si="210"/>
        <v>-488924.35439005063</v>
      </c>
      <c r="AV230">
        <f t="shared" si="198"/>
        <v>-2.2727486993003065</v>
      </c>
      <c r="AW230">
        <f t="shared" si="199"/>
        <v>-20242.825430537065</v>
      </c>
      <c r="AX230">
        <f t="shared" si="200"/>
        <v>-27541.37504694322</v>
      </c>
      <c r="AY230">
        <f t="shared" si="208"/>
        <v>-2.2046261064966211</v>
      </c>
      <c r="BA230">
        <f t="shared" si="184"/>
        <v>18.733044755755976</v>
      </c>
      <c r="BB230">
        <f t="shared" si="201"/>
        <v>25.45216741419641</v>
      </c>
      <c r="BC230">
        <f t="shared" si="202"/>
        <v>-6.8122592803685489E-2</v>
      </c>
      <c r="BD230">
        <f t="shared" si="185"/>
        <v>-183.90313706159944</v>
      </c>
      <c r="BF230">
        <f t="shared" si="186"/>
        <v>-10.108414031255951</v>
      </c>
      <c r="BG230">
        <f t="shared" si="187"/>
        <v>-157.13247027796709</v>
      </c>
      <c r="BH230">
        <f t="shared" si="203"/>
        <v>22.867529722032913</v>
      </c>
      <c r="BI230">
        <f t="shared" si="204"/>
        <v>22.867529722032913</v>
      </c>
      <c r="BJ230">
        <f t="shared" si="188"/>
        <v>0</v>
      </c>
      <c r="BK230">
        <f t="shared" si="205"/>
        <v>0</v>
      </c>
      <c r="BM230">
        <f t="shared" si="206"/>
        <v>-35.560581445452357</v>
      </c>
      <c r="BN230">
        <f t="shared" si="189"/>
        <v>-153.22933321636765</v>
      </c>
      <c r="BQ230" s="47">
        <f t="shared" si="207"/>
        <v>42.354128214481548</v>
      </c>
      <c r="BR230" s="529"/>
      <c r="BS230" s="529"/>
      <c r="BT230" s="529">
        <v>15848.932000000001</v>
      </c>
      <c r="BU230" s="529">
        <v>-3.9450400000000001</v>
      </c>
      <c r="BV230" s="529">
        <v>-186.14400000000001</v>
      </c>
      <c r="BW230" s="49"/>
      <c r="BY230" s="529"/>
      <c r="BZ230" s="529"/>
      <c r="CA230" s="529"/>
      <c r="CC230" s="529"/>
    </row>
    <row r="231" spans="1:81">
      <c r="A231">
        <f t="shared" si="190"/>
        <v>98500</v>
      </c>
      <c r="B231">
        <f t="shared" si="191"/>
        <v>98.5</v>
      </c>
      <c r="C231">
        <f t="shared" si="159"/>
        <v>1.1158579053127586</v>
      </c>
      <c r="D231">
        <f t="shared" si="160"/>
        <v>0.45973197914734493</v>
      </c>
      <c r="F231">
        <f t="shared" si="161"/>
        <v>9.8691455452959453E-4</v>
      </c>
      <c r="G231">
        <f t="shared" si="162"/>
        <v>9.4763404051246385E-3</v>
      </c>
      <c r="H231">
        <f t="shared" si="163"/>
        <v>-3.1321163095948754</v>
      </c>
      <c r="J231">
        <f t="shared" si="164"/>
        <v>15</v>
      </c>
      <c r="M231">
        <f t="shared" si="165"/>
        <v>1.5289104751126548E-2</v>
      </c>
      <c r="N231">
        <f t="shared" si="166"/>
        <v>-1.5707963250000001</v>
      </c>
      <c r="O231">
        <f t="shared" si="167"/>
        <v>48.005627047268369</v>
      </c>
      <c r="P231">
        <f t="shared" si="168"/>
        <v>1.5499639286648528</v>
      </c>
      <c r="Q231">
        <f t="shared" si="169"/>
        <v>37.470776442874772</v>
      </c>
      <c r="R231">
        <f t="shared" si="170"/>
        <v>1.5441056938147757</v>
      </c>
      <c r="S231">
        <f t="shared" si="171"/>
        <v>0.88428896093951947</v>
      </c>
      <c r="T231">
        <f t="shared" si="172"/>
        <v>-0.48582728134727804</v>
      </c>
      <c r="U231">
        <f t="shared" si="173"/>
        <v>0.77212910777158339</v>
      </c>
      <c r="V231">
        <f t="shared" si="174"/>
        <v>-0.68861149270476851</v>
      </c>
      <c r="X231">
        <f t="shared" si="192"/>
        <v>-10.167385379580065</v>
      </c>
      <c r="Y231">
        <f t="shared" si="175"/>
        <v>-133.12959758280272</v>
      </c>
      <c r="Z231">
        <f t="shared" si="193"/>
        <v>46.870402417197283</v>
      </c>
      <c r="AC231">
        <v>1</v>
      </c>
      <c r="AD231">
        <f t="shared" si="176"/>
        <v>47.995210471477506</v>
      </c>
      <c r="AE231">
        <f t="shared" si="177"/>
        <v>-2.4357227429080176E-3</v>
      </c>
      <c r="AF231">
        <f t="shared" si="178"/>
        <v>2.9595499223031003E-3</v>
      </c>
      <c r="AG231">
        <f t="shared" si="194"/>
        <v>9502.5544361493412</v>
      </c>
      <c r="AH231">
        <f t="shared" si="195"/>
        <v>-8158.5337601132633</v>
      </c>
      <c r="AJ231">
        <f t="shared" si="179"/>
        <v>22100</v>
      </c>
      <c r="AK231">
        <f t="shared" si="180"/>
        <v>11669.687298404226</v>
      </c>
      <c r="AL231">
        <v>1</v>
      </c>
      <c r="AM231">
        <f t="shared" si="181"/>
        <v>37.457430334072555</v>
      </c>
      <c r="AN231">
        <f t="shared" si="196"/>
        <v>327.06351404749824</v>
      </c>
      <c r="AO231">
        <f t="shared" si="197"/>
        <v>-581.27149384689892</v>
      </c>
      <c r="AQ231">
        <f t="shared" si="182"/>
        <v>0.25766555011594949</v>
      </c>
      <c r="AR231">
        <f t="shared" si="183"/>
        <v>-50.760113372842049</v>
      </c>
      <c r="AT231">
        <f t="shared" si="209"/>
        <v>-411679.61770321138</v>
      </c>
      <c r="AU231">
        <f t="shared" si="210"/>
        <v>-484452.9135999828</v>
      </c>
      <c r="AV231">
        <f t="shared" si="198"/>
        <v>-2.2751641190964103</v>
      </c>
      <c r="AW231">
        <f t="shared" si="199"/>
        <v>-19979.7746819081</v>
      </c>
      <c r="AX231">
        <f t="shared" si="200"/>
        <v>-27437.404939617038</v>
      </c>
      <c r="AY231">
        <f t="shared" si="208"/>
        <v>-2.200195412214438</v>
      </c>
      <c r="BA231">
        <f t="shared" si="184"/>
        <v>18.730865833784446</v>
      </c>
      <c r="BB231">
        <f t="shared" si="201"/>
        <v>25.451157061806704</v>
      </c>
      <c r="BC231">
        <f t="shared" si="202"/>
        <v>-7.4968706881972214E-2</v>
      </c>
      <c r="BD231">
        <f t="shared" si="185"/>
        <v>-184.29539050479858</v>
      </c>
      <c r="BF231">
        <f t="shared" si="186"/>
        <v>-10.189248790630849</v>
      </c>
      <c r="BG231">
        <f t="shared" si="187"/>
        <v>-157.41173405129732</v>
      </c>
      <c r="BH231">
        <f t="shared" si="203"/>
        <v>22.588265948702684</v>
      </c>
      <c r="BI231">
        <f t="shared" si="204"/>
        <v>22.588265948702684</v>
      </c>
      <c r="BJ231">
        <f t="shared" si="188"/>
        <v>0</v>
      </c>
      <c r="BK231">
        <f t="shared" si="205"/>
        <v>0</v>
      </c>
      <c r="BM231">
        <f t="shared" si="206"/>
        <v>-35.640405852437553</v>
      </c>
      <c r="BN231">
        <f t="shared" si="189"/>
        <v>-153.11634354649877</v>
      </c>
      <c r="BQ231" s="47">
        <f t="shared" si="207"/>
        <v>42.353117862091842</v>
      </c>
      <c r="BR231" s="529"/>
      <c r="BS231" s="529"/>
      <c r="BT231" s="529">
        <v>16218.101000000001</v>
      </c>
      <c r="BU231" s="529">
        <v>-3.9639700000000002</v>
      </c>
      <c r="BV231" s="529">
        <v>-185.626</v>
      </c>
      <c r="BW231" s="49"/>
      <c r="BY231" s="529"/>
      <c r="BZ231" s="529"/>
      <c r="CA231" s="529"/>
      <c r="CC231" s="529"/>
    </row>
    <row r="232" spans="1:81">
      <c r="A232">
        <f t="shared" si="190"/>
        <v>99000</v>
      </c>
      <c r="B232">
        <f t="shared" si="191"/>
        <v>99</v>
      </c>
      <c r="C232">
        <f t="shared" si="159"/>
        <v>1.1169753358225376</v>
      </c>
      <c r="D232">
        <f t="shared" si="160"/>
        <v>0.461748430158615</v>
      </c>
      <c r="F232">
        <f t="shared" si="161"/>
        <v>9.7696144743048647E-4</v>
      </c>
      <c r="G232">
        <f t="shared" si="162"/>
        <v>9.4283875047193304E-3</v>
      </c>
      <c r="H232">
        <f t="shared" si="163"/>
        <v>-3.132164262495281</v>
      </c>
      <c r="J232">
        <f t="shared" si="164"/>
        <v>15</v>
      </c>
      <c r="M232">
        <f t="shared" si="165"/>
        <v>1.5211887050363283E-2</v>
      </c>
      <c r="N232">
        <f t="shared" si="166"/>
        <v>-1.5707963250000001</v>
      </c>
      <c r="O232">
        <f t="shared" si="167"/>
        <v>48.249204959636351</v>
      </c>
      <c r="P232">
        <f t="shared" si="168"/>
        <v>1.5500691125884214</v>
      </c>
      <c r="Q232">
        <f t="shared" si="169"/>
        <v>37.660848302385595</v>
      </c>
      <c r="R232">
        <f t="shared" si="170"/>
        <v>1.5442404314637463</v>
      </c>
      <c r="S232">
        <f t="shared" si="171"/>
        <v>0.88330940541413105</v>
      </c>
      <c r="T232">
        <f t="shared" si="172"/>
        <v>-0.48792095069379543</v>
      </c>
      <c r="U232">
        <f t="shared" si="173"/>
        <v>0.77054723130471892</v>
      </c>
      <c r="V232">
        <f t="shared" si="174"/>
        <v>-0.69109706037405971</v>
      </c>
      <c r="X232">
        <f t="shared" si="192"/>
        <v>-10.230245210959241</v>
      </c>
      <c r="Y232">
        <f t="shared" si="175"/>
        <v>-133.26543541010119</v>
      </c>
      <c r="Z232">
        <f t="shared" si="193"/>
        <v>46.73456458989881</v>
      </c>
      <c r="AC232">
        <v>1</v>
      </c>
      <c r="AD232">
        <f t="shared" si="176"/>
        <v>48.238840981485005</v>
      </c>
      <c r="AE232">
        <f t="shared" si="177"/>
        <v>-2.4605136543834139E-3</v>
      </c>
      <c r="AF232">
        <f t="shared" si="178"/>
        <v>2.9745730183554004E-3</v>
      </c>
      <c r="AG232">
        <f t="shared" si="194"/>
        <v>9463.6581711548006</v>
      </c>
      <c r="AH232">
        <f t="shared" si="195"/>
        <v>-8164.3516567532915</v>
      </c>
      <c r="AJ232">
        <f t="shared" si="179"/>
        <v>22100</v>
      </c>
      <c r="AK232">
        <f t="shared" si="180"/>
        <v>11728.924289766685</v>
      </c>
      <c r="AL232">
        <v>1</v>
      </c>
      <c r="AM232">
        <f t="shared" si="181"/>
        <v>37.647569574347038</v>
      </c>
      <c r="AN232">
        <f t="shared" si="196"/>
        <v>326.90727072966644</v>
      </c>
      <c r="AO232">
        <f t="shared" si="197"/>
        <v>-578.33992938833603</v>
      </c>
      <c r="AQ232">
        <f t="shared" si="182"/>
        <v>0.25506950644050502</v>
      </c>
      <c r="AR232">
        <f t="shared" si="183"/>
        <v>-50.503762275219998</v>
      </c>
      <c r="AT232">
        <f t="shared" si="209"/>
        <v>-409916.5845851287</v>
      </c>
      <c r="AU232">
        <f t="shared" si="210"/>
        <v>-480032.8196774401</v>
      </c>
      <c r="AV232">
        <f t="shared" si="198"/>
        <v>-2.2775701392663588</v>
      </c>
      <c r="AW232">
        <f t="shared" si="199"/>
        <v>-19721.142448760991</v>
      </c>
      <c r="AX232">
        <f t="shared" si="200"/>
        <v>-27334.48794749377</v>
      </c>
      <c r="AY232">
        <f t="shared" si="208"/>
        <v>-2.1957899435236583</v>
      </c>
      <c r="BA232">
        <f t="shared" si="184"/>
        <v>18.727776764708171</v>
      </c>
      <c r="BB232">
        <f t="shared" si="201"/>
        <v>25.449724478494527</v>
      </c>
      <c r="BC232">
        <f t="shared" si="202"/>
        <v>-8.1780195742700457E-2</v>
      </c>
      <c r="BD232">
        <f t="shared" si="185"/>
        <v>-184.68566006916461</v>
      </c>
      <c r="BF232">
        <f t="shared" si="186"/>
        <v>-10.270030149918487</v>
      </c>
      <c r="BG232">
        <f t="shared" si="187"/>
        <v>-157.6892169818025</v>
      </c>
      <c r="BH232">
        <f t="shared" si="203"/>
        <v>22.310783018197498</v>
      </c>
      <c r="BI232">
        <f t="shared" si="204"/>
        <v>22.310783018197498</v>
      </c>
      <c r="BJ232">
        <f t="shared" si="188"/>
        <v>0</v>
      </c>
      <c r="BK232">
        <f t="shared" si="205"/>
        <v>0</v>
      </c>
      <c r="BM232">
        <f t="shared" si="206"/>
        <v>-35.719754628413014</v>
      </c>
      <c r="BN232">
        <f t="shared" si="189"/>
        <v>-153.00355691263789</v>
      </c>
      <c r="BQ232" s="47">
        <f t="shared" si="207"/>
        <v>42.351685278779662</v>
      </c>
      <c r="BR232" s="529"/>
      <c r="BS232" s="529"/>
      <c r="BT232" s="529">
        <v>16595.868999999999</v>
      </c>
      <c r="BU232" s="529">
        <v>-3.91065</v>
      </c>
      <c r="BV232" s="529">
        <v>-184.43100000000001</v>
      </c>
      <c r="BW232" s="49"/>
      <c r="BY232" s="529"/>
      <c r="BZ232" s="529"/>
      <c r="CA232" s="529"/>
      <c r="CC232" s="529"/>
    </row>
    <row r="233" spans="1:81">
      <c r="A233">
        <f t="shared" si="190"/>
        <v>99500</v>
      </c>
      <c r="B233">
        <f t="shared" si="191"/>
        <v>99.5</v>
      </c>
      <c r="C233">
        <f t="shared" si="159"/>
        <v>1.1180972989486955</v>
      </c>
      <c r="D233">
        <f t="shared" si="160"/>
        <v>0.46376084249304728</v>
      </c>
      <c r="F233">
        <f t="shared" si="161"/>
        <v>9.6715819800909694E-4</v>
      </c>
      <c r="G233">
        <f t="shared" si="162"/>
        <v>9.3809179301280396E-3</v>
      </c>
      <c r="H233">
        <f t="shared" si="163"/>
        <v>-3.1322117320698721</v>
      </c>
      <c r="J233">
        <f t="shared" si="164"/>
        <v>15</v>
      </c>
      <c r="M233">
        <f t="shared" si="165"/>
        <v>1.5135445406894122E-2</v>
      </c>
      <c r="N233">
        <f t="shared" si="166"/>
        <v>-1.5707963250000001</v>
      </c>
      <c r="O233">
        <f t="shared" si="167"/>
        <v>48.492783400454378</v>
      </c>
      <c r="P233">
        <f t="shared" si="168"/>
        <v>1.5501732398389512</v>
      </c>
      <c r="Q233">
        <f t="shared" si="169"/>
        <v>37.850920838733721</v>
      </c>
      <c r="R233">
        <f t="shared" si="170"/>
        <v>1.5443738159154543</v>
      </c>
      <c r="S233">
        <f t="shared" si="171"/>
        <v>0.88232816285471749</v>
      </c>
      <c r="T233">
        <f t="shared" si="172"/>
        <v>-0.49000997758857506</v>
      </c>
      <c r="U233">
        <f t="shared" si="173"/>
        <v>0.76896710163188409</v>
      </c>
      <c r="V233">
        <f t="shared" si="174"/>
        <v>-0.69357244918046668</v>
      </c>
      <c r="X233">
        <f t="shared" si="192"/>
        <v>-10.292899112496659</v>
      </c>
      <c r="Y233">
        <f t="shared" si="175"/>
        <v>-133.40076582063011</v>
      </c>
      <c r="Z233">
        <f t="shared" si="193"/>
        <v>46.599234179369887</v>
      </c>
      <c r="AC233">
        <v>1</v>
      </c>
      <c r="AD233">
        <f t="shared" si="176"/>
        <v>48.482471491492504</v>
      </c>
      <c r="AE233">
        <f t="shared" si="177"/>
        <v>-2.4854300894612178E-3</v>
      </c>
      <c r="AF233">
        <f t="shared" si="178"/>
        <v>2.9895961144077001E-3</v>
      </c>
      <c r="AG233">
        <f t="shared" si="194"/>
        <v>9424.884494726417</v>
      </c>
      <c r="AH233">
        <f t="shared" si="195"/>
        <v>-8169.9636265845875</v>
      </c>
      <c r="AJ233">
        <f t="shared" si="179"/>
        <v>22100</v>
      </c>
      <c r="AK233">
        <f t="shared" si="180"/>
        <v>11788.161281129142</v>
      </c>
      <c r="AL233">
        <v>1</v>
      </c>
      <c r="AM233">
        <f t="shared" si="181"/>
        <v>37.837708814621521</v>
      </c>
      <c r="AN233">
        <f t="shared" si="196"/>
        <v>326.75337472348116</v>
      </c>
      <c r="AO233">
        <f t="shared" si="197"/>
        <v>-575.43776585285059</v>
      </c>
      <c r="AQ233">
        <f t="shared" si="182"/>
        <v>0.25251249936871878</v>
      </c>
      <c r="AR233">
        <f t="shared" si="183"/>
        <v>-50.249987374375031</v>
      </c>
      <c r="AT233">
        <f t="shared" si="209"/>
        <v>-408160.66794495395</v>
      </c>
      <c r="AU233">
        <f t="shared" si="210"/>
        <v>-475663.34480004589</v>
      </c>
      <c r="AV233">
        <f t="shared" si="198"/>
        <v>-2.2799667796004961</v>
      </c>
      <c r="AW233">
        <f t="shared" si="199"/>
        <v>-19466.837053092415</v>
      </c>
      <c r="AX233">
        <f t="shared" si="200"/>
        <v>-27232.604269112595</v>
      </c>
      <c r="AY233">
        <f t="shared" si="208"/>
        <v>-2.1914098811975418</v>
      </c>
      <c r="BA233">
        <f t="shared" si="184"/>
        <v>18.723792354026248</v>
      </c>
      <c r="BB233">
        <f t="shared" si="201"/>
        <v>25.447876323535958</v>
      </c>
      <c r="BC233">
        <f t="shared" si="202"/>
        <v>-8.8556898402954332E-2</v>
      </c>
      <c r="BD233">
        <f t="shared" si="185"/>
        <v>-185.07393653105592</v>
      </c>
      <c r="BF233">
        <f t="shared" si="186"/>
        <v>-10.350756180531391</v>
      </c>
      <c r="BG233">
        <f t="shared" si="187"/>
        <v>-157.96491051644145</v>
      </c>
      <c r="BH233">
        <f t="shared" si="203"/>
        <v>22.035089483558551</v>
      </c>
      <c r="BI233">
        <f t="shared" si="204"/>
        <v>22.035089483558551</v>
      </c>
      <c r="BJ233">
        <f t="shared" si="188"/>
        <v>0</v>
      </c>
      <c r="BK233">
        <f t="shared" si="205"/>
        <v>0</v>
      </c>
      <c r="BM233">
        <f t="shared" si="206"/>
        <v>-35.798632504067349</v>
      </c>
      <c r="BN233">
        <f t="shared" si="189"/>
        <v>-152.89097398538556</v>
      </c>
      <c r="BQ233" s="47">
        <f t="shared" si="207"/>
        <v>42.349837123821096</v>
      </c>
      <c r="BR233" s="529"/>
      <c r="BS233" s="529"/>
      <c r="BT233" s="529">
        <v>16982.437000000002</v>
      </c>
      <c r="BU233" s="529">
        <v>-3.9488799999999999</v>
      </c>
      <c r="BV233" s="529">
        <v>-182.72200000000001</v>
      </c>
      <c r="BW233" s="49"/>
      <c r="BY233" s="529"/>
      <c r="BZ233" s="529"/>
      <c r="CA233" s="529"/>
      <c r="CC233" s="529"/>
    </row>
    <row r="234" spans="1:81">
      <c r="A234">
        <f t="shared" si="190"/>
        <v>100000</v>
      </c>
      <c r="B234">
        <f t="shared" si="191"/>
        <v>100</v>
      </c>
      <c r="C234">
        <f t="shared" si="159"/>
        <v>1.119223781060102</v>
      </c>
      <c r="D234">
        <f t="shared" si="160"/>
        <v>0.46576921202112059</v>
      </c>
      <c r="F234">
        <f t="shared" si="161"/>
        <v>9.5750181195535433E-4</v>
      </c>
      <c r="G234">
        <f t="shared" si="162"/>
        <v>9.3339244038867994E-3</v>
      </c>
      <c r="H234">
        <f t="shared" si="163"/>
        <v>-3.1322587255961136</v>
      </c>
      <c r="J234">
        <f t="shared" si="164"/>
        <v>15</v>
      </c>
      <c r="M234">
        <f t="shared" si="165"/>
        <v>1.5059768179859651E-2</v>
      </c>
      <c r="N234">
        <f t="shared" si="166"/>
        <v>-1.5707963250000001</v>
      </c>
      <c r="O234">
        <f t="shared" si="167"/>
        <v>48.736362361799046</v>
      </c>
      <c r="P234">
        <f t="shared" si="168"/>
        <v>1.5502763262575725</v>
      </c>
      <c r="Q234">
        <f t="shared" si="169"/>
        <v>38.040994041773629</v>
      </c>
      <c r="R234">
        <f t="shared" si="170"/>
        <v>1.5445058674490146</v>
      </c>
      <c r="S234">
        <f t="shared" si="171"/>
        <v>0.88134526452733819</v>
      </c>
      <c r="T234">
        <f t="shared" si="172"/>
        <v>-0.49209435928308692</v>
      </c>
      <c r="U234">
        <f t="shared" si="173"/>
        <v>0.76738876594432415</v>
      </c>
      <c r="V234">
        <f t="shared" si="174"/>
        <v>-0.69603769137242599</v>
      </c>
      <c r="X234">
        <f t="shared" si="192"/>
        <v>-10.355348805724917</v>
      </c>
      <c r="Y234">
        <f t="shared" si="175"/>
        <v>-133.5355890886444</v>
      </c>
      <c r="Z234">
        <f t="shared" si="193"/>
        <v>46.4644109113556</v>
      </c>
      <c r="AC234">
        <v>1</v>
      </c>
      <c r="AD234">
        <f t="shared" si="176"/>
        <v>48.726102001500003</v>
      </c>
      <c r="AE234">
        <f t="shared" si="177"/>
        <v>-2.5104720481414285E-3</v>
      </c>
      <c r="AF234">
        <f t="shared" si="178"/>
        <v>3.0046192104600002E-3</v>
      </c>
      <c r="AG234">
        <f t="shared" si="194"/>
        <v>9386.2342973286704</v>
      </c>
      <c r="AH234">
        <f t="shared" si="195"/>
        <v>-8175.3716927707983</v>
      </c>
      <c r="AJ234">
        <f t="shared" si="179"/>
        <v>22100</v>
      </c>
      <c r="AK234">
        <f t="shared" si="180"/>
        <v>11847.3982724916</v>
      </c>
      <c r="AL234">
        <v>1</v>
      </c>
      <c r="AM234">
        <f t="shared" si="181"/>
        <v>38.027848054896005</v>
      </c>
      <c r="AN234">
        <f t="shared" si="196"/>
        <v>326.60177925448397</v>
      </c>
      <c r="AO234">
        <f t="shared" si="197"/>
        <v>-572.56456345660183</v>
      </c>
      <c r="AQ234">
        <f t="shared" si="182"/>
        <v>0.24999375015624609</v>
      </c>
      <c r="AR234">
        <f t="shared" si="183"/>
        <v>-49.998750031249216</v>
      </c>
      <c r="AT234">
        <f t="shared" si="209"/>
        <v>-406411.86576756352</v>
      </c>
      <c r="AU234">
        <f t="shared" si="210"/>
        <v>-471343.77419527131</v>
      </c>
      <c r="AV234">
        <f t="shared" si="198"/>
        <v>-2.2823540603706882</v>
      </c>
      <c r="AW234">
        <f t="shared" si="199"/>
        <v>-19216.769106070587</v>
      </c>
      <c r="AX234">
        <f t="shared" si="200"/>
        <v>-27131.734604533085</v>
      </c>
      <c r="AY234">
        <f t="shared" si="208"/>
        <v>-2.1870553955443288</v>
      </c>
      <c r="BA234">
        <f t="shared" si="184"/>
        <v>18.718927426273858</v>
      </c>
      <c r="BB234">
        <f t="shared" si="201"/>
        <v>25.445619210482199</v>
      </c>
      <c r="BC234">
        <f t="shared" si="202"/>
        <v>-9.5298664826359403E-2</v>
      </c>
      <c r="BD234">
        <f t="shared" si="185"/>
        <v>-185.46021129402143</v>
      </c>
      <c r="BF234">
        <f t="shared" si="186"/>
        <v>-10.431424930774739</v>
      </c>
      <c r="BG234">
        <f t="shared" si="187"/>
        <v>-158.23880671233533</v>
      </c>
      <c r="BH234">
        <f t="shared" si="203"/>
        <v>21.761193287664668</v>
      </c>
      <c r="BI234">
        <f t="shared" si="204"/>
        <v>21.761193287664668</v>
      </c>
      <c r="BJ234">
        <f t="shared" si="188"/>
        <v>0</v>
      </c>
      <c r="BK234">
        <f t="shared" si="205"/>
        <v>0</v>
      </c>
      <c r="BM234">
        <f t="shared" si="206"/>
        <v>-35.877044141256938</v>
      </c>
      <c r="BN234">
        <f t="shared" si="189"/>
        <v>-152.77859541831393</v>
      </c>
      <c r="BQ234" s="47">
        <f t="shared" si="207"/>
        <v>42.347580010767338</v>
      </c>
      <c r="BR234" s="529"/>
      <c r="BS234" s="529"/>
      <c r="BT234" s="529">
        <v>17378.008000000002</v>
      </c>
      <c r="BU234" s="529">
        <v>-3.8028900000000001</v>
      </c>
      <c r="BV234" s="529">
        <v>-181.726</v>
      </c>
      <c r="BW234" s="49"/>
      <c r="BY234" s="529"/>
      <c r="BZ234" s="529"/>
      <c r="CA234" s="529"/>
      <c r="CC234" s="529"/>
    </row>
    <row r="235" spans="1:81">
      <c r="A235">
        <f>A234+5000</f>
        <v>105000</v>
      </c>
      <c r="B235">
        <f t="shared" si="191"/>
        <v>105</v>
      </c>
      <c r="C235">
        <f t="shared" si="159"/>
        <v>1.1307341482327948</v>
      </c>
      <c r="D235">
        <f t="shared" si="160"/>
        <v>0.48562974836563533</v>
      </c>
      <c r="F235">
        <f t="shared" si="161"/>
        <v>8.6840719245878943E-4</v>
      </c>
      <c r="G235">
        <f t="shared" si="162"/>
        <v>8.8886703137501591E-3</v>
      </c>
      <c r="H235">
        <f t="shared" si="163"/>
        <v>-3.1327039796862501</v>
      </c>
      <c r="J235">
        <f t="shared" si="164"/>
        <v>15</v>
      </c>
      <c r="M235">
        <f t="shared" si="165"/>
        <v>1.4342636361771095E-2</v>
      </c>
      <c r="N235">
        <f t="shared" si="166"/>
        <v>-1.5707963250000001</v>
      </c>
      <c r="O235">
        <f t="shared" si="167"/>
        <v>51.172178968921116</v>
      </c>
      <c r="P235">
        <f t="shared" si="168"/>
        <v>1.5512532141401483</v>
      </c>
      <c r="Q235">
        <f t="shared" si="169"/>
        <v>39.941760646272193</v>
      </c>
      <c r="R235">
        <f t="shared" si="170"/>
        <v>1.5457572578115204</v>
      </c>
      <c r="S235">
        <f t="shared" si="171"/>
        <v>0.87143197696508456</v>
      </c>
      <c r="T235">
        <f t="shared" si="172"/>
        <v>-0.51268220793667663</v>
      </c>
      <c r="U235">
        <f t="shared" si="173"/>
        <v>0.75171387055388283</v>
      </c>
      <c r="V235">
        <f t="shared" si="174"/>
        <v>-0.72013929849626124</v>
      </c>
      <c r="X235">
        <f t="shared" si="192"/>
        <v>-10.968973249325682</v>
      </c>
      <c r="Y235">
        <f t="shared" si="175"/>
        <v>-134.85602162468106</v>
      </c>
      <c r="Z235">
        <f t="shared" si="193"/>
        <v>45.143978375318937</v>
      </c>
      <c r="AC235">
        <v>1</v>
      </c>
      <c r="AD235">
        <f t="shared" si="176"/>
        <v>51.162407101574999</v>
      </c>
      <c r="AE235">
        <f t="shared" si="177"/>
        <v>-2.7677954330759254E-3</v>
      </c>
      <c r="AF235">
        <f t="shared" si="178"/>
        <v>3.1548501709830006E-3</v>
      </c>
      <c r="AG235">
        <f t="shared" si="194"/>
        <v>9006.6989012055692</v>
      </c>
      <c r="AH235">
        <f t="shared" si="195"/>
        <v>-8218.6787582903708</v>
      </c>
      <c r="AJ235">
        <f t="shared" si="179"/>
        <v>22100</v>
      </c>
      <c r="AK235">
        <f t="shared" si="180"/>
        <v>12439.76818611618</v>
      </c>
      <c r="AL235">
        <v>1</v>
      </c>
      <c r="AM235">
        <f t="shared" si="181"/>
        <v>39.929240457640802</v>
      </c>
      <c r="AN235">
        <f t="shared" si="196"/>
        <v>325.20285026051556</v>
      </c>
      <c r="AO235">
        <f t="shared" si="197"/>
        <v>-545.33461944610292</v>
      </c>
      <c r="AQ235">
        <f t="shared" si="182"/>
        <v>0.22675222784063853</v>
      </c>
      <c r="AR235">
        <f t="shared" si="183"/>
        <v>-47.617967846534093</v>
      </c>
      <c r="AT235">
        <f t="shared" si="209"/>
        <v>-389314.49181192543</v>
      </c>
      <c r="AU235">
        <f t="shared" si="210"/>
        <v>-430744.30239936966</v>
      </c>
      <c r="AV235">
        <f t="shared" si="198"/>
        <v>-2.3057168691767451</v>
      </c>
      <c r="AW235">
        <f t="shared" si="199"/>
        <v>-16930.99188828572</v>
      </c>
      <c r="AX235">
        <f t="shared" si="200"/>
        <v>-26174.892654851399</v>
      </c>
      <c r="AY235">
        <f t="shared" si="208"/>
        <v>-2.1449475528217965</v>
      </c>
      <c r="BA235">
        <f t="shared" si="184"/>
        <v>18.625106211224733</v>
      </c>
      <c r="BB235">
        <f t="shared" si="201"/>
        <v>25.40197516055941</v>
      </c>
      <c r="BC235">
        <f t="shared" si="202"/>
        <v>-0.16076931635494862</v>
      </c>
      <c r="BD235">
        <f t="shared" si="185"/>
        <v>-189.21140331286767</v>
      </c>
      <c r="BF235">
        <f t="shared" si="186"/>
        <v>-11.234521261052544</v>
      </c>
      <c r="BG235">
        <f t="shared" si="187"/>
        <v>-160.87758499867937</v>
      </c>
      <c r="BH235">
        <f t="shared" si="203"/>
        <v>19.122415001320633</v>
      </c>
      <c r="BI235">
        <f t="shared" si="204"/>
        <v>19.122415001320633</v>
      </c>
      <c r="BJ235">
        <f t="shared" si="188"/>
        <v>0</v>
      </c>
      <c r="BK235">
        <f t="shared" si="205"/>
        <v>0</v>
      </c>
      <c r="BM235">
        <f t="shared" si="206"/>
        <v>-36.636496421611952</v>
      </c>
      <c r="BN235">
        <f t="shared" si="189"/>
        <v>-151.66618168581169</v>
      </c>
      <c r="BQ235" s="47">
        <f t="shared" si="207"/>
        <v>42.303935960844548</v>
      </c>
      <c r="BR235" s="529"/>
      <c r="BS235" s="529"/>
      <c r="BT235" s="529">
        <v>17782.794000000002</v>
      </c>
      <c r="BU235" s="529">
        <v>-3.8474200000000001</v>
      </c>
      <c r="BV235" s="529">
        <v>-180.351</v>
      </c>
      <c r="BW235" s="49"/>
      <c r="BY235" s="529"/>
      <c r="BZ235" s="529"/>
      <c r="CA235" s="529"/>
      <c r="CC235" s="529"/>
    </row>
    <row r="236" spans="1:81">
      <c r="A236">
        <f t="shared" ref="A236:A299" si="211">A235+5000</f>
        <v>110000</v>
      </c>
      <c r="B236">
        <f t="shared" si="191"/>
        <v>110</v>
      </c>
      <c r="C236">
        <f t="shared" si="159"/>
        <v>1.1426814364596416</v>
      </c>
      <c r="D236">
        <f t="shared" si="160"/>
        <v>0.50508252363811323</v>
      </c>
      <c r="F236">
        <f t="shared" si="161"/>
        <v>7.9119595176899008E-4</v>
      </c>
      <c r="G236">
        <f t="shared" si="162"/>
        <v>8.4839933643932816E-3</v>
      </c>
      <c r="H236">
        <f t="shared" si="163"/>
        <v>-3.1331086566356068</v>
      </c>
      <c r="J236">
        <f t="shared" si="164"/>
        <v>15</v>
      </c>
      <c r="M236">
        <f t="shared" si="165"/>
        <v>1.3690698345326954E-2</v>
      </c>
      <c r="N236">
        <f t="shared" si="166"/>
        <v>-1.5707963250000001</v>
      </c>
      <c r="O236">
        <f t="shared" si="167"/>
        <v>53.608039972333493</v>
      </c>
      <c r="P236">
        <f t="shared" si="168"/>
        <v>1.5521413264558168</v>
      </c>
      <c r="Q236">
        <f t="shared" si="169"/>
        <v>41.842584115950238</v>
      </c>
      <c r="R236">
        <f t="shared" si="170"/>
        <v>1.5468949535866432</v>
      </c>
      <c r="S236">
        <f t="shared" si="171"/>
        <v>0.8613862870489849</v>
      </c>
      <c r="T236">
        <f t="shared" si="172"/>
        <v>-0.53280375974574556</v>
      </c>
      <c r="U236">
        <f t="shared" si="173"/>
        <v>0.73626429975396956</v>
      </c>
      <c r="V236">
        <f t="shared" si="174"/>
        <v>-0.74326319229963034</v>
      </c>
      <c r="X236">
        <f t="shared" si="192"/>
        <v>-11.563875756493399</v>
      </c>
      <c r="Y236">
        <f t="shared" si="175"/>
        <v>-136.12635724751703</v>
      </c>
      <c r="Z236">
        <f t="shared" si="193"/>
        <v>43.873642752482965</v>
      </c>
      <c r="AC236">
        <v>1</v>
      </c>
      <c r="AD236">
        <f t="shared" si="176"/>
        <v>53.598712201650002</v>
      </c>
      <c r="AE236">
        <f t="shared" si="177"/>
        <v>-3.0376711782511287E-3</v>
      </c>
      <c r="AF236">
        <f t="shared" si="178"/>
        <v>3.3050811315060002E-3</v>
      </c>
      <c r="AG236">
        <f t="shared" si="194"/>
        <v>8640.2836893194744</v>
      </c>
      <c r="AH236">
        <f t="shared" si="195"/>
        <v>-8243.7736475606489</v>
      </c>
      <c r="AJ236">
        <f t="shared" si="179"/>
        <v>22100</v>
      </c>
      <c r="AK236">
        <f t="shared" si="180"/>
        <v>13032.13809974076</v>
      </c>
      <c r="AL236">
        <v>1</v>
      </c>
      <c r="AM236">
        <f t="shared" si="181"/>
        <v>41.830632860385599</v>
      </c>
      <c r="AN236">
        <f t="shared" si="196"/>
        <v>323.99016810150977</v>
      </c>
      <c r="AO236">
        <f t="shared" si="197"/>
        <v>-520.57567248811063</v>
      </c>
      <c r="AQ236">
        <f t="shared" si="182"/>
        <v>0.20660730150203507</v>
      </c>
      <c r="AR236">
        <f t="shared" si="183"/>
        <v>-45.45360633044772</v>
      </c>
      <c r="AT236">
        <f t="shared" si="209"/>
        <v>-372924.0963562784</v>
      </c>
      <c r="AU236">
        <f t="shared" si="210"/>
        <v>-394435.27722523193</v>
      </c>
      <c r="AV236">
        <f t="shared" si="198"/>
        <v>-2.3281690961925472</v>
      </c>
      <c r="AW236">
        <f t="shared" si="199"/>
        <v>-14985.296986134428</v>
      </c>
      <c r="AX236">
        <f t="shared" si="200"/>
        <v>-25301.426573916415</v>
      </c>
      <c r="AY236">
        <f t="shared" si="208"/>
        <v>-2.1055132320099252</v>
      </c>
      <c r="BA236">
        <f t="shared" si="184"/>
        <v>18.459345476373912</v>
      </c>
      <c r="BB236">
        <f t="shared" si="201"/>
        <v>25.324325958674851</v>
      </c>
      <c r="BC236">
        <f t="shared" si="202"/>
        <v>-0.22265586418262195</v>
      </c>
      <c r="BD236">
        <f t="shared" si="185"/>
        <v>-192.75724131607959</v>
      </c>
      <c r="BF236">
        <f t="shared" si="186"/>
        <v>-12.029664289205108</v>
      </c>
      <c r="BG236">
        <f t="shared" si="187"/>
        <v>-163.33204735897914</v>
      </c>
      <c r="BH236">
        <f t="shared" si="203"/>
        <v>16.667952641020861</v>
      </c>
      <c r="BI236">
        <f t="shared" si="204"/>
        <v>16.667952641020861</v>
      </c>
      <c r="BJ236">
        <f t="shared" si="188"/>
        <v>0</v>
      </c>
      <c r="BK236">
        <f t="shared" si="205"/>
        <v>0</v>
      </c>
      <c r="BM236">
        <f t="shared" si="206"/>
        <v>-37.353990247879963</v>
      </c>
      <c r="BN236">
        <f t="shared" si="189"/>
        <v>-150.57480604289955</v>
      </c>
      <c r="BQ236" s="47">
        <f t="shared" si="207"/>
        <v>42.226286758959986</v>
      </c>
      <c r="BR236" s="529"/>
      <c r="BS236" s="529"/>
      <c r="BT236" s="529">
        <v>18197.008999999998</v>
      </c>
      <c r="BU236" s="529">
        <v>-3.8303199999999999</v>
      </c>
      <c r="BV236" s="529">
        <v>-179.43</v>
      </c>
      <c r="BY236" s="529"/>
      <c r="BZ236" s="529"/>
      <c r="CA236" s="529"/>
      <c r="CC236" s="529"/>
    </row>
    <row r="237" spans="1:81">
      <c r="A237">
        <f t="shared" si="211"/>
        <v>115000</v>
      </c>
      <c r="B237">
        <f t="shared" si="191"/>
        <v>115</v>
      </c>
      <c r="C237">
        <f t="shared" si="159"/>
        <v>1.1550520879335477</v>
      </c>
      <c r="D237">
        <f t="shared" si="160"/>
        <v>0.52412569900819306</v>
      </c>
      <c r="F237">
        <f t="shared" si="161"/>
        <v>7.2384457134297539E-4</v>
      </c>
      <c r="G237">
        <f t="shared" si="162"/>
        <v>8.1145846798596315E-3</v>
      </c>
      <c r="H237">
        <f t="shared" si="163"/>
        <v>-3.1334780653201406</v>
      </c>
      <c r="J237">
        <f t="shared" si="164"/>
        <v>15</v>
      </c>
      <c r="M237">
        <f t="shared" si="165"/>
        <v>1.3095450591182306E-2</v>
      </c>
      <c r="N237">
        <f t="shared" si="166"/>
        <v>-1.5707963250000001</v>
      </c>
      <c r="O237">
        <f t="shared" si="167"/>
        <v>56.0439395831933</v>
      </c>
      <c r="P237">
        <f t="shared" si="168"/>
        <v>1.5529522373537012</v>
      </c>
      <c r="Q237">
        <f t="shared" si="169"/>
        <v>43.743457037768231</v>
      </c>
      <c r="R237">
        <f t="shared" si="170"/>
        <v>1.5479337734190382</v>
      </c>
      <c r="S237">
        <f t="shared" si="171"/>
        <v>0.85123669090072673</v>
      </c>
      <c r="T237">
        <f t="shared" si="172"/>
        <v>-0.55245893728349726</v>
      </c>
      <c r="U237">
        <f t="shared" si="173"/>
        <v>0.7210745132901446</v>
      </c>
      <c r="V237">
        <f t="shared" si="174"/>
        <v>-0.76544441368396776</v>
      </c>
      <c r="X237">
        <f t="shared" si="192"/>
        <v>-12.141383294283571</v>
      </c>
      <c r="Y237">
        <f t="shared" si="175"/>
        <v>-137.34749655439924</v>
      </c>
      <c r="Z237">
        <f t="shared" si="193"/>
        <v>42.652503445600757</v>
      </c>
      <c r="AC237">
        <v>1</v>
      </c>
      <c r="AD237">
        <f t="shared" si="176"/>
        <v>56.035017301725006</v>
      </c>
      <c r="AE237">
        <f t="shared" si="177"/>
        <v>-3.3200992836670399E-3</v>
      </c>
      <c r="AF237">
        <f t="shared" si="178"/>
        <v>3.4553120920290002E-3</v>
      </c>
      <c r="AG237">
        <f t="shared" si="194"/>
        <v>8287.4478300712308</v>
      </c>
      <c r="AH237">
        <f t="shared" si="195"/>
        <v>-8252.5539935534525</v>
      </c>
      <c r="AJ237">
        <f t="shared" si="179"/>
        <v>22100</v>
      </c>
      <c r="AK237">
        <f t="shared" si="180"/>
        <v>13624.508013365341</v>
      </c>
      <c r="AL237">
        <v>1</v>
      </c>
      <c r="AM237">
        <f t="shared" si="181"/>
        <v>43.732025263130403</v>
      </c>
      <c r="AN237">
        <f t="shared" si="196"/>
        <v>322.93208628361219</v>
      </c>
      <c r="AO237">
        <f t="shared" si="197"/>
        <v>-497.96614226499588</v>
      </c>
      <c r="AQ237">
        <f t="shared" si="182"/>
        <v>0.18903234343396155</v>
      </c>
      <c r="AR237">
        <f t="shared" si="183"/>
        <v>-43.477438989811155</v>
      </c>
      <c r="AT237">
        <f t="shared" si="209"/>
        <v>-357233.31708043755</v>
      </c>
      <c r="AU237">
        <f t="shared" si="210"/>
        <v>-361877.0070338815</v>
      </c>
      <c r="AV237">
        <f t="shared" si="198"/>
        <v>-2.3497370312293024</v>
      </c>
      <c r="AW237">
        <f t="shared" si="199"/>
        <v>-13319.336401657201</v>
      </c>
      <c r="AX237">
        <f t="shared" si="200"/>
        <v>-24498.368267736543</v>
      </c>
      <c r="AY237">
        <f t="shared" si="208"/>
        <v>-2.0687763869712006</v>
      </c>
      <c r="BA237">
        <f t="shared" si="184"/>
        <v>18.235534634330953</v>
      </c>
      <c r="BB237">
        <f t="shared" si="201"/>
        <v>25.218370011988107</v>
      </c>
      <c r="BC237">
        <f t="shared" si="202"/>
        <v>-0.28096064425810185</v>
      </c>
      <c r="BD237">
        <f t="shared" si="185"/>
        <v>-196.09785914366026</v>
      </c>
      <c r="BF237">
        <f t="shared" si="186"/>
        <v>-12.814866983918026</v>
      </c>
      <c r="BG237">
        <f t="shared" si="187"/>
        <v>-165.60273716664341</v>
      </c>
      <c r="BH237">
        <f t="shared" si="203"/>
        <v>14.397262833356592</v>
      </c>
      <c r="BI237">
        <f t="shared" si="204"/>
        <v>14.397262833356592</v>
      </c>
      <c r="BJ237">
        <f t="shared" si="188"/>
        <v>0</v>
      </c>
      <c r="BK237">
        <f t="shared" si="205"/>
        <v>0</v>
      </c>
      <c r="BM237">
        <f t="shared" si="206"/>
        <v>-38.03323699590613</v>
      </c>
      <c r="BN237">
        <f t="shared" si="189"/>
        <v>-149.50487802298318</v>
      </c>
      <c r="BQ237" s="47">
        <f t="shared" si="207"/>
        <v>42.120330812273245</v>
      </c>
      <c r="BR237" s="529"/>
      <c r="BS237" s="529"/>
      <c r="BT237" s="529">
        <v>18620.870999999999</v>
      </c>
      <c r="BU237" s="529">
        <v>-3.77474</v>
      </c>
      <c r="BV237" s="529">
        <v>-178.09100000000001</v>
      </c>
      <c r="BY237" s="529"/>
      <c r="BZ237" s="529"/>
      <c r="CA237" s="529"/>
      <c r="CC237" s="529"/>
    </row>
    <row r="238" spans="1:81">
      <c r="A238">
        <f t="shared" si="211"/>
        <v>120000</v>
      </c>
      <c r="B238">
        <f t="shared" si="191"/>
        <v>120</v>
      </c>
      <c r="C238">
        <f t="shared" si="159"/>
        <v>1.1678326488886488</v>
      </c>
      <c r="D238">
        <f t="shared" si="160"/>
        <v>0.54275870002899429</v>
      </c>
      <c r="F238">
        <f t="shared" si="161"/>
        <v>6.6474268307256776E-4</v>
      </c>
      <c r="G238">
        <f t="shared" si="162"/>
        <v>7.7760233676493866E-3</v>
      </c>
      <c r="H238">
        <f t="shared" si="163"/>
        <v>-3.1338166266323508</v>
      </c>
      <c r="J238">
        <f t="shared" si="164"/>
        <v>15</v>
      </c>
      <c r="M238">
        <f t="shared" si="165"/>
        <v>1.254980681654971E-2</v>
      </c>
      <c r="N238">
        <f t="shared" si="166"/>
        <v>-1.5707963250000001</v>
      </c>
      <c r="O238">
        <f t="shared" si="167"/>
        <v>58.479872977078529</v>
      </c>
      <c r="P238">
        <f t="shared" si="168"/>
        <v>1.5536955929879392</v>
      </c>
      <c r="Q238">
        <f t="shared" si="169"/>
        <v>45.644373233381245</v>
      </c>
      <c r="R238">
        <f t="shared" si="170"/>
        <v>1.5488860683437151</v>
      </c>
      <c r="S238">
        <f t="shared" si="171"/>
        <v>0.84100991948281101</v>
      </c>
      <c r="T238">
        <f t="shared" si="172"/>
        <v>-0.57164910754812537</v>
      </c>
      <c r="U238">
        <f t="shared" si="173"/>
        <v>0.70617224818336555</v>
      </c>
      <c r="V238">
        <f t="shared" si="174"/>
        <v>-0.78671892082905193</v>
      </c>
      <c r="X238">
        <f t="shared" si="192"/>
        <v>-12.702641780653664</v>
      </c>
      <c r="Y238">
        <f t="shared" si="175"/>
        <v>-138.52060398626102</v>
      </c>
      <c r="Z238">
        <f t="shared" si="193"/>
        <v>41.479396013738977</v>
      </c>
      <c r="AC238">
        <v>1</v>
      </c>
      <c r="AD238">
        <f t="shared" si="176"/>
        <v>58.471322401800009</v>
      </c>
      <c r="AE238">
        <f t="shared" si="177"/>
        <v>-3.6150797493236567E-3</v>
      </c>
      <c r="AF238">
        <f t="shared" si="178"/>
        <v>3.6055430525520006E-3</v>
      </c>
      <c r="AG238">
        <f t="shared" si="194"/>
        <v>7948.4383305937981</v>
      </c>
      <c r="AH238">
        <f t="shared" si="195"/>
        <v>-8246.8127586582832</v>
      </c>
      <c r="AJ238">
        <f t="shared" si="179"/>
        <v>22100</v>
      </c>
      <c r="AK238">
        <f t="shared" si="180"/>
        <v>14216.877926989921</v>
      </c>
      <c r="AL238">
        <v>1</v>
      </c>
      <c r="AM238">
        <f t="shared" si="181"/>
        <v>45.6334176658752</v>
      </c>
      <c r="AN238">
        <f t="shared" si="196"/>
        <v>322.00340413916962</v>
      </c>
      <c r="AO238">
        <f t="shared" si="197"/>
        <v>-477.23790392641314</v>
      </c>
      <c r="AQ238">
        <f t="shared" si="182"/>
        <v>0.1736080970816479</v>
      </c>
      <c r="AR238">
        <f t="shared" si="183"/>
        <v>-41.66594329959549</v>
      </c>
      <c r="AT238">
        <f t="shared" si="209"/>
        <v>-342231.31955129147</v>
      </c>
      <c r="AU238">
        <f t="shared" si="210"/>
        <v>-332610.89427287196</v>
      </c>
      <c r="AV238">
        <f t="shared" si="198"/>
        <v>-2.3704493388766421</v>
      </c>
      <c r="AW238">
        <f t="shared" si="199"/>
        <v>-11885.164671423438</v>
      </c>
      <c r="AX238">
        <f t="shared" si="200"/>
        <v>-23755.432841705668</v>
      </c>
      <c r="AY238">
        <f t="shared" si="208"/>
        <v>-2.0346947353986371</v>
      </c>
      <c r="BA238">
        <f t="shared" si="184"/>
        <v>17.966312011649567</v>
      </c>
      <c r="BB238">
        <f t="shared" si="201"/>
        <v>25.089178751563654</v>
      </c>
      <c r="BC238">
        <f t="shared" si="202"/>
        <v>-0.33575460347800501</v>
      </c>
      <c r="BD238">
        <f t="shared" si="185"/>
        <v>-199.23732175335999</v>
      </c>
      <c r="BF238">
        <f t="shared" si="186"/>
        <v>-13.588312502115951</v>
      </c>
      <c r="BG238">
        <f t="shared" si="187"/>
        <v>-167.69400559128664</v>
      </c>
      <c r="BH238">
        <f t="shared" si="203"/>
        <v>12.30599440871336</v>
      </c>
      <c r="BI238">
        <f t="shared" si="204"/>
        <v>12.30599440871336</v>
      </c>
      <c r="BJ238">
        <f t="shared" si="188"/>
        <v>0</v>
      </c>
      <c r="BK238">
        <f t="shared" si="205"/>
        <v>0</v>
      </c>
      <c r="BM238">
        <f t="shared" si="206"/>
        <v>-38.677491253679605</v>
      </c>
      <c r="BN238">
        <f t="shared" si="189"/>
        <v>-148.45668383792665</v>
      </c>
      <c r="BQ238" s="47">
        <f t="shared" si="207"/>
        <v>41.991139551848789</v>
      </c>
      <c r="BR238" s="529"/>
      <c r="BS238" s="529"/>
      <c r="BT238" s="529">
        <v>19054.607</v>
      </c>
      <c r="BU238" s="529">
        <v>-3.7312500000000002</v>
      </c>
      <c r="BV238" s="529">
        <v>-176.916</v>
      </c>
      <c r="BY238" s="529"/>
      <c r="BZ238" s="529"/>
      <c r="CA238" s="529"/>
      <c r="CC238" s="529"/>
    </row>
    <row r="239" spans="1:81">
      <c r="A239">
        <f t="shared" si="211"/>
        <v>125000</v>
      </c>
      <c r="B239">
        <f t="shared" si="191"/>
        <v>125</v>
      </c>
      <c r="C239">
        <f t="shared" si="159"/>
        <v>1.1810098116194299</v>
      </c>
      <c r="D239">
        <f t="shared" si="160"/>
        <v>0.56098211559387845</v>
      </c>
      <c r="F239">
        <f t="shared" si="161"/>
        <v>6.1259580901540346E-4</v>
      </c>
      <c r="G239">
        <f t="shared" si="162"/>
        <v>7.464598205461386E-3</v>
      </c>
      <c r="H239">
        <f t="shared" si="163"/>
        <v>-3.1341280517945389</v>
      </c>
      <c r="J239">
        <f t="shared" si="164"/>
        <v>15</v>
      </c>
      <c r="M239">
        <f t="shared" si="165"/>
        <v>1.204781454388772E-2</v>
      </c>
      <c r="N239">
        <f t="shared" si="166"/>
        <v>-1.5707963250000001</v>
      </c>
      <c r="O239">
        <f t="shared" si="167"/>
        <v>60.915836101190962</v>
      </c>
      <c r="P239">
        <f t="shared" si="168"/>
        <v>1.5543794968843858</v>
      </c>
      <c r="Q239">
        <f t="shared" si="169"/>
        <v>47.545327512383132</v>
      </c>
      <c r="R239">
        <f t="shared" si="170"/>
        <v>1.5497622148198833</v>
      </c>
      <c r="S239">
        <f t="shared" si="171"/>
        <v>0.83073090353234891</v>
      </c>
      <c r="T239">
        <f t="shared" si="172"/>
        <v>-0.59037694326441426</v>
      </c>
      <c r="U239">
        <f t="shared" si="173"/>
        <v>0.69157929246008443</v>
      </c>
      <c r="V239">
        <f t="shared" si="174"/>
        <v>-0.80712308069486949</v>
      </c>
      <c r="X239">
        <f t="shared" si="192"/>
        <v>-13.24865079520249</v>
      </c>
      <c r="Y239">
        <f t="shared" si="175"/>
        <v>-139.64703642339543</v>
      </c>
      <c r="Z239">
        <f t="shared" si="193"/>
        <v>40.352963576604566</v>
      </c>
      <c r="AC239">
        <v>1</v>
      </c>
      <c r="AD239">
        <f t="shared" si="176"/>
        <v>60.907627501875005</v>
      </c>
      <c r="AE239">
        <f t="shared" si="177"/>
        <v>-3.9226125752209826E-3</v>
      </c>
      <c r="AF239">
        <f t="shared" si="178"/>
        <v>3.7557740130750006E-3</v>
      </c>
      <c r="AG239">
        <f t="shared" si="194"/>
        <v>7623.3257607865398</v>
      </c>
      <c r="AH239">
        <f t="shared" si="195"/>
        <v>-8228.2249641973394</v>
      </c>
      <c r="AJ239">
        <f t="shared" si="179"/>
        <v>22100</v>
      </c>
      <c r="AK239">
        <f t="shared" si="180"/>
        <v>14809.247840614502</v>
      </c>
      <c r="AL239">
        <v>1</v>
      </c>
      <c r="AM239">
        <f t="shared" si="181"/>
        <v>47.534810068619997</v>
      </c>
      <c r="AN239">
        <f t="shared" si="196"/>
        <v>321.18385342044206</v>
      </c>
      <c r="AO239">
        <f t="shared" si="197"/>
        <v>-458.16562883369539</v>
      </c>
      <c r="AQ239">
        <f t="shared" si="182"/>
        <v>0.15999744004095934</v>
      </c>
      <c r="AR239">
        <f t="shared" si="183"/>
        <v>-39.999360010239833</v>
      </c>
      <c r="AT239">
        <f t="shared" si="209"/>
        <v>-327904.01998184796</v>
      </c>
      <c r="AU239">
        <f t="shared" si="210"/>
        <v>-306244.64651138894</v>
      </c>
      <c r="AV239">
        <f t="shared" si="198"/>
        <v>-2.3903362587334054</v>
      </c>
      <c r="AW239">
        <f t="shared" si="199"/>
        <v>-10644.34113463969</v>
      </c>
      <c r="AX239">
        <f t="shared" si="200"/>
        <v>-23064.377259737183</v>
      </c>
      <c r="AY239">
        <f t="shared" si="208"/>
        <v>-2.0031770780917166</v>
      </c>
      <c r="BA239">
        <f t="shared" si="184"/>
        <v>17.662792224013618</v>
      </c>
      <c r="BB239">
        <f t="shared" si="201"/>
        <v>24.941187202979989</v>
      </c>
      <c r="BC239">
        <f t="shared" si="202"/>
        <v>-0.38715918064168875</v>
      </c>
      <c r="BD239">
        <f t="shared" si="185"/>
        <v>-202.18258707585912</v>
      </c>
      <c r="BF239">
        <f t="shared" si="186"/>
        <v>-14.34843707613908</v>
      </c>
      <c r="BG239">
        <f t="shared" si="187"/>
        <v>-169.61298945985973</v>
      </c>
      <c r="BH239">
        <f t="shared" si="203"/>
        <v>10.387010540140267</v>
      </c>
      <c r="BI239">
        <f t="shared" si="204"/>
        <v>10.387010540140267</v>
      </c>
      <c r="BJ239">
        <f t="shared" si="188"/>
        <v>0</v>
      </c>
      <c r="BK239">
        <f t="shared" si="205"/>
        <v>0</v>
      </c>
      <c r="BM239">
        <f t="shared" si="206"/>
        <v>-39.289624279119067</v>
      </c>
      <c r="BN239">
        <f t="shared" si="189"/>
        <v>-147.43040238400062</v>
      </c>
      <c r="BQ239" s="47">
        <f t="shared" si="207"/>
        <v>41.843148003265121</v>
      </c>
      <c r="BR239" s="529"/>
      <c r="BS239" s="529"/>
      <c r="BT239" s="529">
        <v>19498.446</v>
      </c>
      <c r="BU239" s="529">
        <v>-3.7243200000000001</v>
      </c>
      <c r="BV239" s="529">
        <v>-175.511</v>
      </c>
      <c r="BY239" s="529"/>
      <c r="BZ239" s="529"/>
      <c r="CA239" s="529"/>
      <c r="CC239" s="529"/>
    </row>
    <row r="240" spans="1:81">
      <c r="A240">
        <f t="shared" si="211"/>
        <v>130000</v>
      </c>
      <c r="B240">
        <f t="shared" si="191"/>
        <v>130</v>
      </c>
      <c r="C240">
        <f t="shared" si="159"/>
        <v>1.1945704515987727</v>
      </c>
      <c r="D240">
        <f t="shared" si="160"/>
        <v>0.57879759687872823</v>
      </c>
      <c r="F240">
        <f t="shared" si="161"/>
        <v>5.6635380629054639E-4</v>
      </c>
      <c r="G240">
        <f t="shared" si="162"/>
        <v>7.1771706592430855E-3</v>
      </c>
      <c r="H240">
        <f t="shared" si="163"/>
        <v>-3.134415479340757</v>
      </c>
      <c r="J240">
        <f t="shared" si="164"/>
        <v>15</v>
      </c>
      <c r="M240">
        <f t="shared" si="165"/>
        <v>1.1584437061430501E-2</v>
      </c>
      <c r="N240">
        <f t="shared" si="166"/>
        <v>-1.5707963250000001</v>
      </c>
      <c r="O240">
        <f t="shared" si="167"/>
        <v>63.351825526028726</v>
      </c>
      <c r="P240">
        <f t="shared" si="168"/>
        <v>1.5550108064354451</v>
      </c>
      <c r="Q240">
        <f t="shared" si="169"/>
        <v>49.446315482447979</v>
      </c>
      <c r="R240">
        <f t="shared" si="170"/>
        <v>1.5505709941114965</v>
      </c>
      <c r="S240">
        <f t="shared" si="171"/>
        <v>0.82042276471020326</v>
      </c>
      <c r="T240">
        <f t="shared" si="172"/>
        <v>-0.60864628701419821</v>
      </c>
      <c r="U240">
        <f t="shared" si="173"/>
        <v>0.67731222087215293</v>
      </c>
      <c r="V240">
        <f t="shared" si="174"/>
        <v>-0.82669324941570099</v>
      </c>
      <c r="X240">
        <f t="shared" si="192"/>
        <v>-13.780290627849936</v>
      </c>
      <c r="Y240">
        <f t="shared" si="175"/>
        <v>-140.72828627291878</v>
      </c>
      <c r="Z240">
        <f t="shared" si="193"/>
        <v>39.27171372708122</v>
      </c>
      <c r="AC240">
        <v>1</v>
      </c>
      <c r="AD240">
        <f t="shared" si="176"/>
        <v>63.343932601950002</v>
      </c>
      <c r="AE240">
        <f t="shared" si="177"/>
        <v>-4.2426977613590142E-3</v>
      </c>
      <c r="AF240">
        <f t="shared" si="178"/>
        <v>3.9060049735980002E-3</v>
      </c>
      <c r="AG240">
        <f t="shared" si="194"/>
        <v>7312.0363209489069</v>
      </c>
      <c r="AH240">
        <f t="shared" si="195"/>
        <v>-8198.3408485955133</v>
      </c>
      <c r="AJ240">
        <f t="shared" si="179"/>
        <v>22100</v>
      </c>
      <c r="AK240">
        <f t="shared" si="180"/>
        <v>15401.61775423908</v>
      </c>
      <c r="AL240">
        <v>1</v>
      </c>
      <c r="AM240">
        <f t="shared" si="181"/>
        <v>49.436202471364801</v>
      </c>
      <c r="AN240">
        <f t="shared" si="196"/>
        <v>320.45698373535231</v>
      </c>
      <c r="AO240">
        <f t="shared" si="197"/>
        <v>-440.55857706465486</v>
      </c>
      <c r="AQ240">
        <f t="shared" si="182"/>
        <v>0.14792680581648202</v>
      </c>
      <c r="AR240">
        <f t="shared" si="183"/>
        <v>-38.460969512285324</v>
      </c>
      <c r="AT240">
        <f t="shared" si="209"/>
        <v>-314234.49125218333</v>
      </c>
      <c r="AU240">
        <f t="shared" si="210"/>
        <v>-282440.76038746641</v>
      </c>
      <c r="AV240">
        <f t="shared" si="198"/>
        <v>-2.4094289616889824</v>
      </c>
      <c r="AW240">
        <f t="shared" si="199"/>
        <v>-9565.7901398625145</v>
      </c>
      <c r="AX240">
        <f t="shared" si="200"/>
        <v>-22418.528458652218</v>
      </c>
      <c r="AY240">
        <f t="shared" si="208"/>
        <v>-1.9740986135041851</v>
      </c>
      <c r="BA240">
        <f t="shared" si="184"/>
        <v>17.334480583698436</v>
      </c>
      <c r="BB240">
        <f t="shared" si="201"/>
        <v>24.778216656781428</v>
      </c>
      <c r="BC240">
        <f t="shared" si="202"/>
        <v>-0.43533034818479721</v>
      </c>
      <c r="BD240">
        <f t="shared" si="185"/>
        <v>-204.94259167345055</v>
      </c>
      <c r="BF240">
        <f t="shared" si="186"/>
        <v>-15.093966329471362</v>
      </c>
      <c r="BG240">
        <f t="shared" si="187"/>
        <v>-171.3687105540015</v>
      </c>
      <c r="BH240">
        <f t="shared" si="203"/>
        <v>8.6312894459985046</v>
      </c>
      <c r="BI240">
        <f t="shared" si="204"/>
        <v>8.6312894459985046</v>
      </c>
      <c r="BJ240">
        <f t="shared" si="188"/>
        <v>0</v>
      </c>
      <c r="BK240">
        <f t="shared" si="205"/>
        <v>0</v>
      </c>
      <c r="BM240">
        <f t="shared" si="206"/>
        <v>-39.872182986252788</v>
      </c>
      <c r="BN240">
        <f t="shared" si="189"/>
        <v>-146.42611888055094</v>
      </c>
      <c r="BQ240" s="47">
        <f t="shared" si="207"/>
        <v>41.680177457066563</v>
      </c>
      <c r="BR240" s="529"/>
      <c r="BS240" s="529"/>
      <c r="BT240" s="529">
        <v>19952.623</v>
      </c>
      <c r="BU240" s="529">
        <v>-3.67421</v>
      </c>
      <c r="BV240" s="529">
        <v>-174.244</v>
      </c>
      <c r="BY240" s="529"/>
      <c r="BZ240" s="529"/>
      <c r="CA240" s="529"/>
      <c r="CC240" s="529"/>
    </row>
    <row r="241" spans="1:81">
      <c r="A241">
        <f t="shared" si="211"/>
        <v>135000</v>
      </c>
      <c r="B241">
        <f t="shared" si="191"/>
        <v>135</v>
      </c>
      <c r="C241">
        <f t="shared" si="159"/>
        <v>1.2085016598602103</v>
      </c>
      <c r="D241">
        <f t="shared" si="160"/>
        <v>0.5962077575978445</v>
      </c>
      <c r="F241">
        <f t="shared" si="161"/>
        <v>5.2515753501552673E-4</v>
      </c>
      <c r="G241">
        <f t="shared" si="162"/>
        <v>6.9110684659855551E-3</v>
      </c>
      <c r="H241">
        <f t="shared" si="163"/>
        <v>-3.1346815815340148</v>
      </c>
      <c r="J241">
        <f t="shared" si="164"/>
        <v>15</v>
      </c>
      <c r="M241">
        <f t="shared" si="165"/>
        <v>1.1155383836933075E-2</v>
      </c>
      <c r="N241">
        <f t="shared" si="166"/>
        <v>-1.5707963250000001</v>
      </c>
      <c r="O241">
        <f t="shared" si="167"/>
        <v>65.787838330005272</v>
      </c>
      <c r="P241">
        <f t="shared" si="168"/>
        <v>1.5555953635474176</v>
      </c>
      <c r="Q241">
        <f t="shared" si="169"/>
        <v>51.347333401630543</v>
      </c>
      <c r="R241">
        <f t="shared" si="170"/>
        <v>1.5513198874455738</v>
      </c>
      <c r="S241">
        <f t="shared" si="171"/>
        <v>0.81010682931740985</v>
      </c>
      <c r="T241">
        <f t="shared" si="172"/>
        <v>-0.62646201976100835</v>
      </c>
      <c r="U241">
        <f t="shared" si="173"/>
        <v>0.66338308106032862</v>
      </c>
      <c r="V241">
        <f t="shared" si="174"/>
        <v>-0.84546543180944422</v>
      </c>
      <c r="X241">
        <f t="shared" si="192"/>
        <v>-14.298343498901191</v>
      </c>
      <c r="Y241">
        <f t="shared" si="175"/>
        <v>-141.76593611283553</v>
      </c>
      <c r="Z241">
        <f t="shared" si="193"/>
        <v>38.234063887164467</v>
      </c>
      <c r="AC241">
        <v>1</v>
      </c>
      <c r="AD241">
        <f t="shared" si="176"/>
        <v>65.780237702025005</v>
      </c>
      <c r="AE241">
        <f t="shared" si="177"/>
        <v>-4.5753353077377535E-3</v>
      </c>
      <c r="AF241">
        <f t="shared" si="178"/>
        <v>4.0562359341210002E-3</v>
      </c>
      <c r="AG241">
        <f t="shared" si="194"/>
        <v>7014.3801424997891</v>
      </c>
      <c r="AH241">
        <f t="shared" si="195"/>
        <v>-8158.5838854921667</v>
      </c>
      <c r="AJ241">
        <f t="shared" si="179"/>
        <v>22100</v>
      </c>
      <c r="AK241">
        <f t="shared" si="180"/>
        <v>15993.987667863661</v>
      </c>
      <c r="AL241">
        <v>1</v>
      </c>
      <c r="AM241">
        <f t="shared" si="181"/>
        <v>51.337594874109598</v>
      </c>
      <c r="AN241">
        <f t="shared" si="196"/>
        <v>319.80933108409727</v>
      </c>
      <c r="AO241">
        <f t="shared" si="197"/>
        <v>-424.25420829170974</v>
      </c>
      <c r="AQ241">
        <f t="shared" si="182"/>
        <v>0.13717232959767356</v>
      </c>
      <c r="AR241">
        <f t="shared" si="183"/>
        <v>-37.03652899137186</v>
      </c>
      <c r="AT241">
        <f t="shared" si="209"/>
        <v>-301203.44973873958</v>
      </c>
      <c r="AU241">
        <f t="shared" si="210"/>
        <v>-260907.4254619875</v>
      </c>
      <c r="AV241">
        <f t="shared" si="198"/>
        <v>-2.4277590350830645</v>
      </c>
      <c r="AW241">
        <f t="shared" si="199"/>
        <v>-8624.2004296166979</v>
      </c>
      <c r="AX241">
        <f t="shared" si="200"/>
        <v>-21812.43198489002</v>
      </c>
      <c r="AY241">
        <f t="shared" si="208"/>
        <v>-1.9473136538547791</v>
      </c>
      <c r="BA241">
        <f t="shared" si="184"/>
        <v>16.989317666977747</v>
      </c>
      <c r="BB241">
        <f t="shared" si="201"/>
        <v>24.603518737572735</v>
      </c>
      <c r="BC241">
        <f t="shared" si="202"/>
        <v>-0.4804453812282854</v>
      </c>
      <c r="BD241">
        <f t="shared" si="185"/>
        <v>-207.52749266238936</v>
      </c>
      <c r="BF241">
        <f t="shared" si="186"/>
        <v>-15.823919033117424</v>
      </c>
      <c r="BG241">
        <f t="shared" si="187"/>
        <v>-172.97132934456093</v>
      </c>
      <c r="BH241">
        <f t="shared" si="203"/>
        <v>7.0286706554390719</v>
      </c>
      <c r="BI241">
        <f t="shared" si="204"/>
        <v>7.0286706554390719</v>
      </c>
      <c r="BJ241">
        <f t="shared" si="188"/>
        <v>0</v>
      </c>
      <c r="BK241">
        <f t="shared" si="205"/>
        <v>0</v>
      </c>
      <c r="BM241">
        <f t="shared" si="206"/>
        <v>-40.427437770690162</v>
      </c>
      <c r="BN241">
        <f t="shared" si="189"/>
        <v>-145.44383668217156</v>
      </c>
      <c r="BQ241" s="47">
        <f t="shared" si="207"/>
        <v>41.505479537857866</v>
      </c>
      <c r="BR241" s="529"/>
      <c r="BS241" s="529"/>
      <c r="BT241" s="529">
        <v>20417.379000000001</v>
      </c>
      <c r="BU241" s="529">
        <v>-3.6440899999999998</v>
      </c>
      <c r="BV241" s="529">
        <v>-173.369</v>
      </c>
      <c r="BY241" s="529"/>
      <c r="BZ241" s="529"/>
      <c r="CA241" s="529"/>
      <c r="CC241" s="529"/>
    </row>
    <row r="242" spans="1:81">
      <c r="A242">
        <f t="shared" si="211"/>
        <v>140000</v>
      </c>
      <c r="B242">
        <f t="shared" si="191"/>
        <v>140</v>
      </c>
      <c r="C242">
        <f t="shared" si="159"/>
        <v>1.2227907708587449</v>
      </c>
      <c r="D242">
        <f t="shared" si="160"/>
        <v>0.61321607668732636</v>
      </c>
      <c r="F242">
        <f t="shared" si="161"/>
        <v>4.8829863135075842E-4</v>
      </c>
      <c r="G242">
        <f t="shared" si="162"/>
        <v>6.6640021064121044E-3</v>
      </c>
      <c r="H242">
        <f t="shared" si="163"/>
        <v>-3.134928647893588</v>
      </c>
      <c r="J242">
        <f t="shared" si="164"/>
        <v>15</v>
      </c>
      <c r="M242">
        <f t="shared" si="165"/>
        <v>1.0756977271328322E-2</v>
      </c>
      <c r="N242">
        <f t="shared" si="166"/>
        <v>-1.5707963250000001</v>
      </c>
      <c r="O242">
        <f t="shared" si="167"/>
        <v>68.22387200878255</v>
      </c>
      <c r="P242">
        <f t="shared" si="168"/>
        <v>1.5561381758913497</v>
      </c>
      <c r="Q242">
        <f t="shared" si="169"/>
        <v>53.248378062294663</v>
      </c>
      <c r="R242">
        <f t="shared" si="170"/>
        <v>1.5520153079810037</v>
      </c>
      <c r="S242">
        <f t="shared" si="171"/>
        <v>0.79980266102667741</v>
      </c>
      <c r="T242">
        <f t="shared" si="172"/>
        <v>-0.64382993500363084</v>
      </c>
      <c r="U242">
        <f t="shared" si="173"/>
        <v>0.64980002351751742</v>
      </c>
      <c r="V242">
        <f t="shared" si="174"/>
        <v>-0.8634750101953419</v>
      </c>
      <c r="X242">
        <f t="shared" si="192"/>
        <v>-14.803510312135996</v>
      </c>
      <c r="Y242">
        <f t="shared" si="175"/>
        <v>-142.76162262982075</v>
      </c>
      <c r="Z242">
        <f t="shared" si="193"/>
        <v>37.238377370179251</v>
      </c>
      <c r="AC242">
        <v>1</v>
      </c>
      <c r="AD242">
        <f t="shared" si="176"/>
        <v>68.216542802099994</v>
      </c>
      <c r="AE242">
        <f t="shared" si="177"/>
        <v>-4.9205252143571998E-3</v>
      </c>
      <c r="AF242">
        <f t="shared" si="178"/>
        <v>4.2064668946440011E-3</v>
      </c>
      <c r="AG242">
        <f t="shared" si="194"/>
        <v>6730.0758979978964</v>
      </c>
      <c r="AH242">
        <f t="shared" si="195"/>
        <v>-8110.2523816542653</v>
      </c>
      <c r="AJ242">
        <f t="shared" si="179"/>
        <v>22100</v>
      </c>
      <c r="AK242">
        <f t="shared" si="180"/>
        <v>16586.357581488242</v>
      </c>
      <c r="AL242">
        <v>1</v>
      </c>
      <c r="AM242">
        <f t="shared" si="181"/>
        <v>53.238987276854402</v>
      </c>
      <c r="AN242">
        <f t="shared" si="196"/>
        <v>319.22979021064629</v>
      </c>
      <c r="AO242">
        <f t="shared" si="197"/>
        <v>-409.11315792925546</v>
      </c>
      <c r="AQ242">
        <f t="shared" si="182"/>
        <v>0.12754939350263389</v>
      </c>
      <c r="AR242">
        <f t="shared" si="183"/>
        <v>-35.713830180737489</v>
      </c>
      <c r="AT242">
        <f t="shared" si="209"/>
        <v>-288789.75918230589</v>
      </c>
      <c r="AU242">
        <f t="shared" si="210"/>
        <v>-241391.24549700451</v>
      </c>
      <c r="AV242">
        <f t="shared" si="198"/>
        <v>-2.4453580745068857</v>
      </c>
      <c r="AW242">
        <f t="shared" si="199"/>
        <v>-7798.8136783460768</v>
      </c>
      <c r="AX242">
        <f t="shared" si="200"/>
        <v>-21241.587595624875</v>
      </c>
      <c r="AY242">
        <f t="shared" si="208"/>
        <v>-1.9226656465255274</v>
      </c>
      <c r="BA242">
        <f t="shared" si="184"/>
        <v>16.633803806377472</v>
      </c>
      <c r="BB242">
        <f t="shared" si="201"/>
        <v>24.419831494576385</v>
      </c>
      <c r="BC242">
        <f t="shared" si="202"/>
        <v>-0.52269242798135829</v>
      </c>
      <c r="BD242">
        <f t="shared" si="185"/>
        <v>-209.94807014099823</v>
      </c>
      <c r="BF242">
        <f t="shared" si="186"/>
        <v>-16.53759014055246</v>
      </c>
      <c r="BG242">
        <f t="shared" si="187"/>
        <v>-174.43155778129653</v>
      </c>
      <c r="BH242">
        <f t="shared" si="203"/>
        <v>5.568442218703467</v>
      </c>
      <c r="BI242">
        <f t="shared" si="204"/>
        <v>5.568442218703467</v>
      </c>
      <c r="BJ242">
        <f t="shared" si="188"/>
        <v>0</v>
      </c>
      <c r="BK242">
        <f t="shared" si="205"/>
        <v>0</v>
      </c>
      <c r="BM242">
        <f t="shared" si="206"/>
        <v>-40.957421635128846</v>
      </c>
      <c r="BN242">
        <f t="shared" si="189"/>
        <v>-144.48348764029834</v>
      </c>
      <c r="BQ242" s="47">
        <f t="shared" si="207"/>
        <v>41.321792294861524</v>
      </c>
      <c r="BR242" s="529"/>
      <c r="BS242" s="529"/>
      <c r="BT242" s="529">
        <v>20892.960999999999</v>
      </c>
      <c r="BU242" s="529">
        <v>-3.5620099999999999</v>
      </c>
      <c r="BV242" s="529">
        <v>-172.084</v>
      </c>
      <c r="BY242" s="529"/>
      <c r="BZ242" s="529"/>
      <c r="CA242" s="529"/>
      <c r="CC242" s="529"/>
    </row>
    <row r="243" spans="1:81">
      <c r="A243">
        <f t="shared" si="211"/>
        <v>145000</v>
      </c>
      <c r="B243">
        <f t="shared" si="191"/>
        <v>145</v>
      </c>
      <c r="C243">
        <f t="shared" si="159"/>
        <v>1.2374253860618083</v>
      </c>
      <c r="D243">
        <f t="shared" si="160"/>
        <v>0.62982680432457561</v>
      </c>
      <c r="F243">
        <f t="shared" si="161"/>
        <v>4.5518882998682545E-4</v>
      </c>
      <c r="G243">
        <f t="shared" si="162"/>
        <v>6.4339986198312868E-3</v>
      </c>
      <c r="H243">
        <f t="shared" si="163"/>
        <v>-3.135158651380169</v>
      </c>
      <c r="J243">
        <f t="shared" si="164"/>
        <v>15</v>
      </c>
      <c r="M243">
        <f t="shared" si="165"/>
        <v>1.0386047020592863E-2</v>
      </c>
      <c r="N243">
        <f t="shared" si="166"/>
        <v>-1.5707963250000001</v>
      </c>
      <c r="O243">
        <f t="shared" si="167"/>
        <v>70.659924403355234</v>
      </c>
      <c r="P243">
        <f t="shared" si="168"/>
        <v>1.5566435606733768</v>
      </c>
      <c r="Q243">
        <f t="shared" si="169"/>
        <v>55.149446699040922</v>
      </c>
      <c r="R243">
        <f t="shared" si="170"/>
        <v>1.5526627848251278</v>
      </c>
      <c r="S243">
        <f t="shared" si="171"/>
        <v>0.78952810925710248</v>
      </c>
      <c r="T243">
        <f t="shared" si="172"/>
        <v>-0.66075661949008468</v>
      </c>
      <c r="U243">
        <f t="shared" si="173"/>
        <v>0.63656787245552693</v>
      </c>
      <c r="V243">
        <f t="shared" si="174"/>
        <v>-0.88075653308839941</v>
      </c>
      <c r="X243">
        <f t="shared" si="192"/>
        <v>-15.296423961997052</v>
      </c>
      <c r="Y243">
        <f t="shared" si="175"/>
        <v>-143.71700807372437</v>
      </c>
      <c r="Z243">
        <f t="shared" si="193"/>
        <v>36.282991926275628</v>
      </c>
      <c r="AC243">
        <v>1</v>
      </c>
      <c r="AD243">
        <f t="shared" si="176"/>
        <v>70.652847902174997</v>
      </c>
      <c r="AE243">
        <f t="shared" si="177"/>
        <v>-5.2782674812173538E-3</v>
      </c>
      <c r="AF243">
        <f t="shared" si="178"/>
        <v>4.3566978551670002E-3</v>
      </c>
      <c r="AG243">
        <f t="shared" si="194"/>
        <v>6458.771921287499</v>
      </c>
      <c r="AH243">
        <f t="shared" si="195"/>
        <v>-8054.5236248398123</v>
      </c>
      <c r="AJ243">
        <f t="shared" si="179"/>
        <v>22100</v>
      </c>
      <c r="AK243">
        <f t="shared" si="180"/>
        <v>17178.72749511282</v>
      </c>
      <c r="AL243">
        <v>1</v>
      </c>
      <c r="AM243">
        <f t="shared" si="181"/>
        <v>55.140379679599206</v>
      </c>
      <c r="AN243">
        <f t="shared" si="196"/>
        <v>318.70913561405047</v>
      </c>
      <c r="AO243">
        <f t="shared" si="197"/>
        <v>-395.01525000279554</v>
      </c>
      <c r="AQ243">
        <f t="shared" si="182"/>
        <v>0.11890465036087561</v>
      </c>
      <c r="AR243">
        <f t="shared" si="183"/>
        <v>-34.482348604653929</v>
      </c>
      <c r="AT243">
        <f t="shared" si="209"/>
        <v>-276970.91345908592</v>
      </c>
      <c r="AU243">
        <f t="shared" si="210"/>
        <v>-223671.34526322095</v>
      </c>
      <c r="AV243">
        <f t="shared" si="198"/>
        <v>-2.4622573638100134</v>
      </c>
      <c r="AW243">
        <f t="shared" si="199"/>
        <v>-7072.4976645611332</v>
      </c>
      <c r="AX243">
        <f t="shared" si="200"/>
        <v>-20702.24841399079</v>
      </c>
      <c r="AY243">
        <f t="shared" si="208"/>
        <v>-1.8999947084749145</v>
      </c>
      <c r="BA243">
        <f t="shared" si="184"/>
        <v>16.273164425104017</v>
      </c>
      <c r="BB243">
        <f t="shared" si="201"/>
        <v>24.229440252015927</v>
      </c>
      <c r="BC243">
        <f t="shared" si="202"/>
        <v>-0.56226265533509889</v>
      </c>
      <c r="BD243">
        <f t="shared" si="185"/>
        <v>-212.21527716533134</v>
      </c>
      <c r="BF243">
        <f t="shared" si="186"/>
        <v>-17.23452221362793</v>
      </c>
      <c r="BG243">
        <f t="shared" si="187"/>
        <v>-175.76021844535592</v>
      </c>
      <c r="BH243">
        <f t="shared" si="203"/>
        <v>4.2397815546440825</v>
      </c>
      <c r="BI243">
        <f t="shared" si="204"/>
        <v>4.2397815546440825</v>
      </c>
      <c r="BJ243">
        <f t="shared" si="188"/>
        <v>0</v>
      </c>
      <c r="BK243">
        <f t="shared" si="205"/>
        <v>0</v>
      </c>
      <c r="BM243">
        <f t="shared" si="206"/>
        <v>-41.463962465643853</v>
      </c>
      <c r="BN243">
        <f t="shared" si="189"/>
        <v>-143.5449412800246</v>
      </c>
      <c r="BQ243" s="47">
        <f t="shared" si="207"/>
        <v>41.131401052301058</v>
      </c>
      <c r="BR243" s="529"/>
      <c r="BS243" s="529"/>
      <c r="BT243" s="529">
        <v>21379.620999999999</v>
      </c>
      <c r="BU243" s="529">
        <v>-3.5589</v>
      </c>
      <c r="BV243" s="529">
        <v>-170.62899999999999</v>
      </c>
      <c r="BY243" s="529"/>
      <c r="BZ243" s="529"/>
      <c r="CA243" s="529"/>
      <c r="CC243" s="529"/>
    </row>
    <row r="244" spans="1:81">
      <c r="A244">
        <f t="shared" si="211"/>
        <v>150000</v>
      </c>
      <c r="B244">
        <f t="shared" si="191"/>
        <v>150</v>
      </c>
      <c r="C244">
        <f t="shared" si="159"/>
        <v>1.2523933935483529</v>
      </c>
      <c r="D244">
        <f t="shared" si="160"/>
        <v>0.64604487200071159</v>
      </c>
      <c r="F244">
        <f t="shared" si="161"/>
        <v>4.2533633016356853E-4</v>
      </c>
      <c r="G244">
        <f t="shared" si="162"/>
        <v>6.2193486992642823E-3</v>
      </c>
      <c r="H244">
        <f t="shared" si="163"/>
        <v>-3.1353733013007359</v>
      </c>
      <c r="J244">
        <f t="shared" si="164"/>
        <v>15</v>
      </c>
      <c r="M244">
        <f t="shared" si="165"/>
        <v>1.0039845453239767E-2</v>
      </c>
      <c r="N244">
        <f t="shared" si="166"/>
        <v>-1.5707963250000001</v>
      </c>
      <c r="O244">
        <f t="shared" si="167"/>
        <v>73.095993642513079</v>
      </c>
      <c r="P244">
        <f t="shared" si="168"/>
        <v>1.5571152596650302</v>
      </c>
      <c r="Q244">
        <f t="shared" si="169"/>
        <v>57.050536915037689</v>
      </c>
      <c r="R244">
        <f t="shared" si="170"/>
        <v>1.5532671102764983</v>
      </c>
      <c r="S244">
        <f t="shared" si="171"/>
        <v>0.7792993700610128</v>
      </c>
      <c r="T244">
        <f t="shared" si="172"/>
        <v>-0.67724934115191993</v>
      </c>
      <c r="U244">
        <f t="shared" si="173"/>
        <v>0.62368863743988245</v>
      </c>
      <c r="V244">
        <f t="shared" si="174"/>
        <v>-0.89734355497394669</v>
      </c>
      <c r="X244">
        <f t="shared" si="192"/>
        <v>-15.777659966979201</v>
      </c>
      <c r="Y244">
        <f t="shared" si="175"/>
        <v>-144.63375781299499</v>
      </c>
      <c r="Z244">
        <f t="shared" si="193"/>
        <v>35.366242187005014</v>
      </c>
      <c r="AC244">
        <v>1</v>
      </c>
      <c r="AD244">
        <f t="shared" si="176"/>
        <v>73.089153002250001</v>
      </c>
      <c r="AE244">
        <f t="shared" si="177"/>
        <v>-5.648562108318214E-3</v>
      </c>
      <c r="AF244">
        <f t="shared" si="178"/>
        <v>4.5069288156900002E-3</v>
      </c>
      <c r="AG244">
        <f t="shared" si="194"/>
        <v>6200.0641145564041</v>
      </c>
      <c r="AH244">
        <f t="shared" si="195"/>
        <v>-7992.4597657777786</v>
      </c>
      <c r="AJ244">
        <f t="shared" si="179"/>
        <v>22100</v>
      </c>
      <c r="AK244">
        <f t="shared" si="180"/>
        <v>17771.097408737398</v>
      </c>
      <c r="AL244">
        <v>1</v>
      </c>
      <c r="AM244">
        <f t="shared" si="181"/>
        <v>57.041772082343996</v>
      </c>
      <c r="AN244">
        <f t="shared" si="196"/>
        <v>318.23965230344879</v>
      </c>
      <c r="AO244">
        <f t="shared" si="197"/>
        <v>-381.85630552032956</v>
      </c>
      <c r="AQ244">
        <f t="shared" si="182"/>
        <v>0.11110987655692714</v>
      </c>
      <c r="AR244">
        <f t="shared" si="183"/>
        <v>-33.332962967078146</v>
      </c>
      <c r="AT244">
        <f t="shared" si="209"/>
        <v>-265723.47703011933</v>
      </c>
      <c r="AU244">
        <f t="shared" si="210"/>
        <v>-207554.54874198054</v>
      </c>
      <c r="AV244">
        <f t="shared" si="198"/>
        <v>-2.4784876279109729</v>
      </c>
      <c r="AW244">
        <f t="shared" si="199"/>
        <v>-6431.0301932323109</v>
      </c>
      <c r="AX244">
        <f t="shared" si="200"/>
        <v>-20191.267056042401</v>
      </c>
      <c r="AY244">
        <f t="shared" si="208"/>
        <v>-1.8791430315331676</v>
      </c>
      <c r="BA244">
        <f t="shared" si="184"/>
        <v>15.911528717325401</v>
      </c>
      <c r="BB244">
        <f t="shared" si="201"/>
        <v>24.034238139260591</v>
      </c>
      <c r="BC244">
        <f t="shared" si="202"/>
        <v>-0.59934459637780524</v>
      </c>
      <c r="BD244">
        <f t="shared" si="185"/>
        <v>-214.33991588565911</v>
      </c>
      <c r="BF244">
        <f t="shared" si="186"/>
        <v>-17.914471726730813</v>
      </c>
      <c r="BG244">
        <f t="shared" si="187"/>
        <v>-176.9679288694571</v>
      </c>
      <c r="BH244">
        <f t="shared" si="203"/>
        <v>3.0320711305429029</v>
      </c>
      <c r="BI244">
        <f t="shared" si="204"/>
        <v>3.0320711305429029</v>
      </c>
      <c r="BJ244">
        <f t="shared" si="188"/>
        <v>0</v>
      </c>
      <c r="BK244">
        <f t="shared" si="205"/>
        <v>0</v>
      </c>
      <c r="BM244">
        <f t="shared" si="206"/>
        <v>-41.948709865991404</v>
      </c>
      <c r="BN244">
        <f t="shared" si="189"/>
        <v>-142.62801298379799</v>
      </c>
      <c r="BQ244" s="47">
        <f t="shared" si="207"/>
        <v>40.936198939545733</v>
      </c>
      <c r="BR244" s="529"/>
      <c r="BS244" s="529"/>
      <c r="BT244" s="529">
        <v>21877.616000000002</v>
      </c>
      <c r="BU244" s="529">
        <v>-3.49654</v>
      </c>
      <c r="BV244" s="529">
        <v>-169.465</v>
      </c>
      <c r="BY244" s="529"/>
      <c r="BZ244" s="529"/>
      <c r="CA244" s="529"/>
      <c r="CC244" s="529"/>
    </row>
    <row r="245" spans="1:81">
      <c r="A245">
        <f t="shared" si="211"/>
        <v>155000</v>
      </c>
      <c r="B245">
        <f t="shared" si="191"/>
        <v>155</v>
      </c>
      <c r="C245">
        <f t="shared" si="159"/>
        <v>1.2676829839109447</v>
      </c>
      <c r="D245">
        <f t="shared" si="160"/>
        <v>0.66187580718721506</v>
      </c>
      <c r="F245">
        <f t="shared" si="161"/>
        <v>3.9832741562858284E-4</v>
      </c>
      <c r="G245">
        <f t="shared" si="162"/>
        <v>6.0185640574421462E-3</v>
      </c>
      <c r="H245">
        <f t="shared" si="163"/>
        <v>-3.135574085942558</v>
      </c>
      <c r="J245">
        <f t="shared" si="164"/>
        <v>15</v>
      </c>
      <c r="M245">
        <f t="shared" si="165"/>
        <v>9.7159794708771927E-3</v>
      </c>
      <c r="N245">
        <f t="shared" si="166"/>
        <v>-1.5707963250000001</v>
      </c>
      <c r="O245">
        <f t="shared" si="167"/>
        <v>75.532078096435612</v>
      </c>
      <c r="P245">
        <f t="shared" si="168"/>
        <v>1.5575565319797477</v>
      </c>
      <c r="Q245">
        <f t="shared" si="169"/>
        <v>58.951646622602773</v>
      </c>
      <c r="R245">
        <f t="shared" si="170"/>
        <v>1.5538324585903351</v>
      </c>
      <c r="S245">
        <f t="shared" si="171"/>
        <v>0.76913105667196136</v>
      </c>
      <c r="T245">
        <f t="shared" si="172"/>
        <v>-0.69331594468078817</v>
      </c>
      <c r="U245">
        <f t="shared" si="173"/>
        <v>0.61116196760488184</v>
      </c>
      <c r="V245">
        <f t="shared" si="174"/>
        <v>-0.91326851914964047</v>
      </c>
      <c r="X245">
        <f t="shared" si="192"/>
        <v>-16.247745017293326</v>
      </c>
      <c r="Y245">
        <f t="shared" si="175"/>
        <v>-145.51352285052741</v>
      </c>
      <c r="Z245">
        <f t="shared" si="193"/>
        <v>34.486477149472591</v>
      </c>
      <c r="AC245">
        <v>1</v>
      </c>
      <c r="AD245">
        <f t="shared" si="176"/>
        <v>75.525458102325004</v>
      </c>
      <c r="AE245">
        <f t="shared" si="177"/>
        <v>-6.0314090956597828E-3</v>
      </c>
      <c r="AF245">
        <f t="shared" si="178"/>
        <v>4.6571597762130011E-3</v>
      </c>
      <c r="AG245">
        <f t="shared" si="194"/>
        <v>5953.5109584427119</v>
      </c>
      <c r="AH245">
        <f t="shared" si="195"/>
        <v>-7925.0147985847252</v>
      </c>
      <c r="AJ245">
        <f t="shared" si="179"/>
        <v>22100</v>
      </c>
      <c r="AK245">
        <f t="shared" si="180"/>
        <v>18363.467322361979</v>
      </c>
      <c r="AL245">
        <v>1</v>
      </c>
      <c r="AM245">
        <f t="shared" si="181"/>
        <v>58.943164485088801</v>
      </c>
      <c r="AN245">
        <f t="shared" si="196"/>
        <v>317.81484847644072</v>
      </c>
      <c r="AO245">
        <f t="shared" si="197"/>
        <v>-369.54556718843833</v>
      </c>
      <c r="AQ245">
        <f t="shared" si="182"/>
        <v>0.10405718983153141</v>
      </c>
      <c r="AR245">
        <f t="shared" si="183"/>
        <v>-32.257728847774736</v>
      </c>
      <c r="AT245">
        <f t="shared" si="209"/>
        <v>-255023.47286738141</v>
      </c>
      <c r="AU245">
        <f t="shared" si="210"/>
        <v>-192871.3969590145</v>
      </c>
      <c r="AV245">
        <f t="shared" si="198"/>
        <v>-2.4940788454970648</v>
      </c>
      <c r="AW245">
        <f t="shared" si="199"/>
        <v>-5862.5408317165029</v>
      </c>
      <c r="AX245">
        <f t="shared" si="200"/>
        <v>-19705.976822640208</v>
      </c>
      <c r="AY245">
        <f t="shared" si="208"/>
        <v>-1.8599585614147449</v>
      </c>
      <c r="BA245">
        <f t="shared" si="184"/>
        <v>15.552104109484691</v>
      </c>
      <c r="BB245">
        <f t="shared" si="201"/>
        <v>23.835783097250186</v>
      </c>
      <c r="BC245">
        <f t="shared" si="202"/>
        <v>-0.63412028408231991</v>
      </c>
      <c r="BD245">
        <f t="shared" si="185"/>
        <v>-216.33241602306956</v>
      </c>
      <c r="BF245">
        <f t="shared" si="186"/>
        <v>-18.577374533506482</v>
      </c>
      <c r="BG245">
        <f t="shared" si="187"/>
        <v>-178.06488734647988</v>
      </c>
      <c r="BH245">
        <f t="shared" si="203"/>
        <v>1.9351126535201217</v>
      </c>
      <c r="BI245">
        <f t="shared" si="204"/>
        <v>1.9351126535201217</v>
      </c>
      <c r="BJ245">
        <f t="shared" si="188"/>
        <v>0</v>
      </c>
      <c r="BK245">
        <f t="shared" si="205"/>
        <v>0</v>
      </c>
      <c r="BM245">
        <f t="shared" si="206"/>
        <v>-42.413157630756672</v>
      </c>
      <c r="BN245">
        <f t="shared" si="189"/>
        <v>-141.73247132341032</v>
      </c>
      <c r="BQ245" s="47">
        <f t="shared" si="207"/>
        <v>40.737743897535317</v>
      </c>
      <c r="BR245" s="529"/>
      <c r="BS245" s="529"/>
      <c r="BT245" s="529">
        <v>22387.210999999999</v>
      </c>
      <c r="BU245" s="529">
        <v>-3.4356</v>
      </c>
      <c r="BV245" s="529">
        <v>-168.34299999999999</v>
      </c>
      <c r="BY245" s="529"/>
      <c r="BZ245" s="529"/>
      <c r="CA245" s="529"/>
      <c r="CC245" s="529"/>
    </row>
    <row r="246" spans="1:81">
      <c r="A246">
        <f t="shared" si="211"/>
        <v>160000</v>
      </c>
      <c r="B246">
        <f t="shared" si="191"/>
        <v>160</v>
      </c>
      <c r="C246">
        <f t="shared" si="159"/>
        <v>1.2832826627643676</v>
      </c>
      <c r="D246">
        <f t="shared" si="160"/>
        <v>0.6773256529808428</v>
      </c>
      <c r="F246">
        <f t="shared" si="161"/>
        <v>3.7381203474470479E-4</v>
      </c>
      <c r="G246">
        <f t="shared" si="162"/>
        <v>5.8303428094732528E-3</v>
      </c>
      <c r="H246">
        <f t="shared" si="163"/>
        <v>-3.135762307190527</v>
      </c>
      <c r="J246">
        <f t="shared" si="164"/>
        <v>15</v>
      </c>
      <c r="M246">
        <f t="shared" si="165"/>
        <v>9.4123551124122816E-3</v>
      </c>
      <c r="N246">
        <f t="shared" si="166"/>
        <v>-1.5707963250000001</v>
      </c>
      <c r="O246">
        <f t="shared" si="167"/>
        <v>77.968176338985202</v>
      </c>
      <c r="P246">
        <f t="shared" si="168"/>
        <v>1.557970229461195</v>
      </c>
      <c r="Q246">
        <f t="shared" si="169"/>
        <v>60.852773994920049</v>
      </c>
      <c r="R246">
        <f t="shared" si="170"/>
        <v>1.554362482491022</v>
      </c>
      <c r="S246">
        <f t="shared" si="171"/>
        <v>0.75903627716447886</v>
      </c>
      <c r="T246">
        <f t="shared" si="172"/>
        <v>-0.70896475496526612</v>
      </c>
      <c r="U246">
        <f t="shared" si="173"/>
        <v>0.5989855515595206</v>
      </c>
      <c r="V246">
        <f t="shared" si="174"/>
        <v>-0.92856267647252788</v>
      </c>
      <c r="X246">
        <f t="shared" si="192"/>
        <v>-16.707163887548997</v>
      </c>
      <c r="Y246">
        <f t="shared" si="175"/>
        <v>-146.35792637379228</v>
      </c>
      <c r="Z246">
        <f t="shared" si="193"/>
        <v>33.642073626207718</v>
      </c>
      <c r="AC246">
        <v>1</v>
      </c>
      <c r="AD246">
        <f t="shared" si="176"/>
        <v>77.961763202400007</v>
      </c>
      <c r="AE246">
        <f t="shared" si="177"/>
        <v>-6.4268084432420568E-3</v>
      </c>
      <c r="AF246">
        <f t="shared" si="178"/>
        <v>4.8073907367360003E-3</v>
      </c>
      <c r="AG246">
        <f t="shared" si="194"/>
        <v>5718.6459542263883</v>
      </c>
      <c r="AH246">
        <f t="shared" si="195"/>
        <v>-7853.0421532089786</v>
      </c>
      <c r="AJ246">
        <f t="shared" si="179"/>
        <v>22100</v>
      </c>
      <c r="AK246">
        <f t="shared" si="180"/>
        <v>18955.837235986561</v>
      </c>
      <c r="AL246">
        <v>1</v>
      </c>
      <c r="AM246">
        <f t="shared" si="181"/>
        <v>60.844556887833605</v>
      </c>
      <c r="AN246">
        <f t="shared" si="196"/>
        <v>317.42922998962729</v>
      </c>
      <c r="AO246">
        <f t="shared" si="197"/>
        <v>-358.00360597853228</v>
      </c>
      <c r="AQ246">
        <f t="shared" si="182"/>
        <v>9.7655296334996727E-2</v>
      </c>
      <c r="AR246">
        <f t="shared" si="183"/>
        <v>-31.249694827198955</v>
      </c>
      <c r="AT246">
        <f t="shared" si="209"/>
        <v>-244846.71468761505</v>
      </c>
      <c r="AU246">
        <f t="shared" si="210"/>
        <v>-179472.83205297345</v>
      </c>
      <c r="AV246">
        <f t="shared" si="198"/>
        <v>-2.5090601107735924</v>
      </c>
      <c r="AW246">
        <f t="shared" si="199"/>
        <v>-5357.0720539630602</v>
      </c>
      <c r="AX246">
        <f t="shared" si="200"/>
        <v>-19244.099302454015</v>
      </c>
      <c r="AY246">
        <f t="shared" si="208"/>
        <v>-1.842297335743633</v>
      </c>
      <c r="BA246">
        <f t="shared" si="184"/>
        <v>15.197336511093784</v>
      </c>
      <c r="BB246">
        <f t="shared" si="201"/>
        <v>23.635349601140451</v>
      </c>
      <c r="BC246">
        <f t="shared" si="202"/>
        <v>-0.6667627750299594</v>
      </c>
      <c r="BD246">
        <f t="shared" si="185"/>
        <v>-218.2026929893004</v>
      </c>
      <c r="BF246">
        <f t="shared" si="186"/>
        <v>-19.223313094119678</v>
      </c>
      <c r="BG246">
        <f t="shared" si="187"/>
        <v>-179.06073763673203</v>
      </c>
      <c r="BH246">
        <f t="shared" si="203"/>
        <v>0.93926236326797152</v>
      </c>
      <c r="BI246">
        <f t="shared" si="204"/>
        <v>0.93926236326797152</v>
      </c>
      <c r="BJ246">
        <f t="shared" si="188"/>
        <v>0</v>
      </c>
      <c r="BK246">
        <f t="shared" si="205"/>
        <v>0</v>
      </c>
      <c r="BM246">
        <f t="shared" si="206"/>
        <v>-42.858662695260136</v>
      </c>
      <c r="BN246">
        <f t="shared" si="189"/>
        <v>-140.85804464743165</v>
      </c>
      <c r="BQ246" s="47">
        <f t="shared" si="207"/>
        <v>40.537310401425593</v>
      </c>
      <c r="BR246" s="529"/>
      <c r="BS246" s="529"/>
      <c r="BT246" s="529">
        <v>22908.677</v>
      </c>
      <c r="BU246" s="529">
        <v>-3.37297</v>
      </c>
      <c r="BV246" s="529">
        <v>-167.03899999999999</v>
      </c>
      <c r="BY246" s="529"/>
      <c r="BZ246" s="529"/>
      <c r="CA246" s="529"/>
      <c r="CC246" s="529"/>
    </row>
    <row r="247" spans="1:81">
      <c r="A247">
        <f t="shared" si="211"/>
        <v>165000</v>
      </c>
      <c r="B247">
        <f t="shared" si="191"/>
        <v>165</v>
      </c>
      <c r="C247">
        <f t="shared" si="159"/>
        <v>1.2991812601659198</v>
      </c>
      <c r="D247">
        <f t="shared" si="160"/>
        <v>0.69240089297259233</v>
      </c>
      <c r="F247">
        <f t="shared" si="161"/>
        <v>3.5149239468771232E-4</v>
      </c>
      <c r="G247">
        <f t="shared" si="162"/>
        <v>5.653541166394719E-3</v>
      </c>
      <c r="H247">
        <f t="shared" si="163"/>
        <v>-3.1359391088336053</v>
      </c>
      <c r="J247">
        <f t="shared" si="164"/>
        <v>15</v>
      </c>
      <c r="M247">
        <f t="shared" si="165"/>
        <v>9.127132230217971E-3</v>
      </c>
      <c r="N247">
        <f t="shared" si="166"/>
        <v>-1.5707963250000001</v>
      </c>
      <c r="O247">
        <f t="shared" si="167"/>
        <v>80.404287116853638</v>
      </c>
      <c r="P247">
        <f t="shared" si="168"/>
        <v>1.558358858370084</v>
      </c>
      <c r="Q247">
        <f t="shared" si="169"/>
        <v>62.753917426530705</v>
      </c>
      <c r="R247">
        <f t="shared" si="170"/>
        <v>1.5548603921483672</v>
      </c>
      <c r="S247">
        <f t="shared" si="171"/>
        <v>0.74902671698469614</v>
      </c>
      <c r="T247">
        <f t="shared" si="172"/>
        <v>-0.72420448843493856</v>
      </c>
      <c r="U247">
        <f t="shared" si="173"/>
        <v>0.58715546689011555</v>
      </c>
      <c r="V247">
        <f t="shared" si="174"/>
        <v>-0.94325603370743227</v>
      </c>
      <c r="X247">
        <f t="shared" si="192"/>
        <v>-17.156365061866452</v>
      </c>
      <c r="Y247">
        <f t="shared" si="175"/>
        <v>-147.16855358293753</v>
      </c>
      <c r="Z247">
        <f t="shared" si="193"/>
        <v>32.831446417062466</v>
      </c>
      <c r="AC247">
        <v>1</v>
      </c>
      <c r="AD247">
        <f t="shared" si="176"/>
        <v>80.398068302475011</v>
      </c>
      <c r="AE247">
        <f t="shared" si="177"/>
        <v>-6.8347601510650394E-3</v>
      </c>
      <c r="AF247">
        <f t="shared" si="178"/>
        <v>4.9576216972590003E-3</v>
      </c>
      <c r="AG247">
        <f t="shared" si="194"/>
        <v>5494.987821804958</v>
      </c>
      <c r="AH247">
        <f t="shared" si="195"/>
        <v>-7777.3025352817449</v>
      </c>
      <c r="AJ247">
        <f t="shared" si="179"/>
        <v>22100</v>
      </c>
      <c r="AK247">
        <f t="shared" si="180"/>
        <v>19548.207149611142</v>
      </c>
      <c r="AL247">
        <v>1</v>
      </c>
      <c r="AM247">
        <f t="shared" si="181"/>
        <v>62.745949290578409</v>
      </c>
      <c r="AN247">
        <f t="shared" si="196"/>
        <v>317.07812188867359</v>
      </c>
      <c r="AO247">
        <f t="shared" si="197"/>
        <v>-347.16060756741371</v>
      </c>
      <c r="AQ247">
        <f t="shared" si="182"/>
        <v>9.1826521335892239E-2</v>
      </c>
      <c r="AR247">
        <f t="shared" si="183"/>
        <v>-30.302752040844435</v>
      </c>
      <c r="AT247">
        <f t="shared" si="209"/>
        <v>-235169.08465681406</v>
      </c>
      <c r="AU247">
        <f t="shared" si="210"/>
        <v>-167227.41606880724</v>
      </c>
      <c r="AV247">
        <f t="shared" si="198"/>
        <v>-2.5234595351722788</v>
      </c>
      <c r="AW247">
        <f t="shared" si="199"/>
        <v>-4906.2316051619609</v>
      </c>
      <c r="AX247">
        <f t="shared" si="200"/>
        <v>-18803.672028286943</v>
      </c>
      <c r="AY247">
        <f t="shared" si="208"/>
        <v>-1.8260248177445038</v>
      </c>
      <c r="BA247">
        <f t="shared" si="184"/>
        <v>14.849051651658895</v>
      </c>
      <c r="BB247">
        <f t="shared" si="201"/>
        <v>23.433974358447557</v>
      </c>
      <c r="BC247">
        <f t="shared" si="202"/>
        <v>-0.69743471742777507</v>
      </c>
      <c r="BD247">
        <f t="shared" si="185"/>
        <v>-219.96006584017169</v>
      </c>
      <c r="BF247">
        <f t="shared" si="186"/>
        <v>-19.852486859038066</v>
      </c>
      <c r="BG247">
        <f t="shared" si="187"/>
        <v>-179.96449284791325</v>
      </c>
      <c r="BH247">
        <f t="shared" si="203"/>
        <v>3.5507152086751148E-2</v>
      </c>
      <c r="BI247">
        <f t="shared" si="204"/>
        <v>3.5507152086751148E-2</v>
      </c>
      <c r="BJ247">
        <f t="shared" si="188"/>
        <v>0</v>
      </c>
      <c r="BK247">
        <f t="shared" si="205"/>
        <v>0</v>
      </c>
      <c r="BM247">
        <f t="shared" si="206"/>
        <v>-43.286461217485623</v>
      </c>
      <c r="BN247">
        <f t="shared" si="189"/>
        <v>-140.00442700774153</v>
      </c>
      <c r="BQ247" s="47">
        <f t="shared" si="207"/>
        <v>40.335935158732696</v>
      </c>
      <c r="BR247" s="529"/>
      <c r="BS247" s="529"/>
      <c r="BT247" s="529">
        <v>23442.288</v>
      </c>
      <c r="BU247" s="529">
        <v>-3.29522</v>
      </c>
      <c r="BV247" s="529">
        <v>-165.876</v>
      </c>
      <c r="BY247" s="529"/>
      <c r="BZ247" s="529"/>
      <c r="CA247" s="529"/>
      <c r="CC247" s="529"/>
    </row>
    <row r="248" spans="1:81">
      <c r="A248">
        <f t="shared" si="211"/>
        <v>170000</v>
      </c>
      <c r="B248">
        <f t="shared" si="191"/>
        <v>170</v>
      </c>
      <c r="C248">
        <f t="shared" si="159"/>
        <v>1.3153679372485332</v>
      </c>
      <c r="D248">
        <f t="shared" si="160"/>
        <v>0.70710838146726063</v>
      </c>
      <c r="F248">
        <f t="shared" si="161"/>
        <v>3.3111387057080193E-4</v>
      </c>
      <c r="G248">
        <f t="shared" si="162"/>
        <v>5.4871501365205367E-3</v>
      </c>
      <c r="H248">
        <f t="shared" si="163"/>
        <v>-3.1361054998634796</v>
      </c>
      <c r="J248">
        <f t="shared" si="164"/>
        <v>15</v>
      </c>
      <c r="M248">
        <f t="shared" si="165"/>
        <v>8.8586871646233242E-3</v>
      </c>
      <c r="N248">
        <f t="shared" si="166"/>
        <v>-1.5707963250000001</v>
      </c>
      <c r="O248">
        <f t="shared" si="167"/>
        <v>82.840409324152219</v>
      </c>
      <c r="P248">
        <f t="shared" si="168"/>
        <v>1.5587246301891613</v>
      </c>
      <c r="Q248">
        <f t="shared" si="169"/>
        <v>64.655075500793302</v>
      </c>
      <c r="R248">
        <f t="shared" si="170"/>
        <v>1.5553290202254471</v>
      </c>
      <c r="S248">
        <f t="shared" si="171"/>
        <v>0.73911272441500397</v>
      </c>
      <c r="T248">
        <f t="shared" si="172"/>
        <v>-0.73904417221880769</v>
      </c>
      <c r="U248">
        <f t="shared" si="173"/>
        <v>0.5756664835817259</v>
      </c>
      <c r="V248">
        <f t="shared" si="174"/>
        <v>-0.95737732600084402</v>
      </c>
      <c r="X248">
        <f t="shared" si="192"/>
        <v>-17.595765340512198</v>
      </c>
      <c r="Y248">
        <f t="shared" si="175"/>
        <v>-147.94694417693751</v>
      </c>
      <c r="Z248">
        <f t="shared" si="193"/>
        <v>32.053055823062493</v>
      </c>
      <c r="AC248">
        <v>1</v>
      </c>
      <c r="AD248">
        <f t="shared" si="176"/>
        <v>82.834373402550014</v>
      </c>
      <c r="AE248">
        <f t="shared" si="177"/>
        <v>-7.2552642191287308E-3</v>
      </c>
      <c r="AF248">
        <f t="shared" si="178"/>
        <v>5.1078526577820011E-3</v>
      </c>
      <c r="AG248">
        <f t="shared" si="194"/>
        <v>5282.0487599749767</v>
      </c>
      <c r="AH248">
        <f t="shared" si="195"/>
        <v>-7698.4717466409711</v>
      </c>
      <c r="AJ248">
        <f t="shared" si="179"/>
        <v>22100</v>
      </c>
      <c r="AK248">
        <f t="shared" si="180"/>
        <v>20140.577063235723</v>
      </c>
      <c r="AL248">
        <v>1</v>
      </c>
      <c r="AM248">
        <f t="shared" si="181"/>
        <v>64.647341693323199</v>
      </c>
      <c r="AN248">
        <f t="shared" si="196"/>
        <v>316.75752610198884</v>
      </c>
      <c r="AO248">
        <f t="shared" si="197"/>
        <v>-336.95496061128517</v>
      </c>
      <c r="AQ248">
        <f t="shared" si="182"/>
        <v>8.6504442003096857E-2</v>
      </c>
      <c r="AR248">
        <f t="shared" si="183"/>
        <v>-29.411510281052934</v>
      </c>
      <c r="AT248">
        <f t="shared" si="209"/>
        <v>-225966.76024411165</v>
      </c>
      <c r="AU248">
        <f t="shared" si="210"/>
        <v>-156018.98341174671</v>
      </c>
      <c r="AV248">
        <f t="shared" si="198"/>
        <v>-2.5373041814117445</v>
      </c>
      <c r="AW248">
        <f t="shared" si="199"/>
        <v>-4502.915174013644</v>
      </c>
      <c r="AX248">
        <f t="shared" si="200"/>
        <v>-18382.991470561668</v>
      </c>
      <c r="AY248">
        <f t="shared" si="208"/>
        <v>-1.8110165028609604</v>
      </c>
      <c r="BA248">
        <f t="shared" si="184"/>
        <v>14.508576212257378</v>
      </c>
      <c r="BB248">
        <f t="shared" si="201"/>
        <v>23.232495907611586</v>
      </c>
      <c r="BC248">
        <f t="shared" si="202"/>
        <v>-0.72628767855078413</v>
      </c>
      <c r="BD248">
        <f t="shared" si="185"/>
        <v>-221.61321874086417</v>
      </c>
      <c r="BF248">
        <f t="shared" si="186"/>
        <v>-20.465186401026134</v>
      </c>
      <c r="BG248">
        <f t="shared" si="187"/>
        <v>-180.78450223343262</v>
      </c>
      <c r="BH248">
        <f t="shared" si="203"/>
        <v>-0.78450223343261882</v>
      </c>
      <c r="BI248">
        <f t="shared" si="204"/>
        <v>-0.78450223343261882</v>
      </c>
      <c r="BJ248">
        <f t="shared" si="188"/>
        <v>0</v>
      </c>
      <c r="BK248">
        <f t="shared" si="205"/>
        <v>0</v>
      </c>
      <c r="BM248">
        <f t="shared" si="206"/>
        <v>-43.697682308637724</v>
      </c>
      <c r="BN248">
        <f t="shared" si="189"/>
        <v>-139.17128349256845</v>
      </c>
      <c r="BQ248" s="47">
        <f t="shared" si="207"/>
        <v>40.134456707896724</v>
      </c>
      <c r="BR248" s="529"/>
      <c r="BS248" s="529"/>
      <c r="BT248" s="529">
        <v>23988.329000000002</v>
      </c>
      <c r="BU248" s="529">
        <v>-3.2437399999999998</v>
      </c>
      <c r="BV248" s="529">
        <v>-164.703</v>
      </c>
      <c r="BY248" s="529"/>
      <c r="BZ248" s="529"/>
      <c r="CA248" s="529"/>
      <c r="CC248" s="529"/>
    </row>
    <row r="249" spans="1:81">
      <c r="A249">
        <f t="shared" si="211"/>
        <v>175000</v>
      </c>
      <c r="B249">
        <f t="shared" si="191"/>
        <v>175</v>
      </c>
      <c r="C249">
        <f t="shared" si="159"/>
        <v>1.3318321903592312</v>
      </c>
      <c r="D249">
        <f t="shared" si="160"/>
        <v>0.72145527907931928</v>
      </c>
      <c r="F249">
        <f t="shared" si="161"/>
        <v>3.1245770765087359E-4</v>
      </c>
      <c r="G249">
        <f t="shared" si="162"/>
        <v>5.330276230280811E-3</v>
      </c>
      <c r="H249">
        <f t="shared" si="163"/>
        <v>-3.1362623737697195</v>
      </c>
      <c r="J249">
        <f t="shared" si="164"/>
        <v>15</v>
      </c>
      <c r="M249">
        <f t="shared" si="165"/>
        <v>8.6055818170626582E-3</v>
      </c>
      <c r="N249">
        <f t="shared" si="166"/>
        <v>-1.5707963250000001</v>
      </c>
      <c r="O249">
        <f t="shared" si="167"/>
        <v>85.276541981356374</v>
      </c>
      <c r="P249">
        <f t="shared" si="168"/>
        <v>1.5590695037218381</v>
      </c>
      <c r="Q249">
        <f t="shared" si="169"/>
        <v>66.55624696291973</v>
      </c>
      <c r="R249">
        <f t="shared" si="170"/>
        <v>1.555770875781842</v>
      </c>
      <c r="S249">
        <f t="shared" si="171"/>
        <v>0.72930339732702198</v>
      </c>
      <c r="T249">
        <f t="shared" si="172"/>
        <v>-0.75349307091361006</v>
      </c>
      <c r="U249">
        <f t="shared" si="173"/>
        <v>0.56451232582014832</v>
      </c>
      <c r="V249">
        <f t="shared" si="174"/>
        <v>-0.97095400877729365</v>
      </c>
      <c r="X249">
        <f t="shared" si="192"/>
        <v>-18.025753637423193</v>
      </c>
      <c r="Y249">
        <f t="shared" si="175"/>
        <v>-148.6945869885366</v>
      </c>
      <c r="Z249">
        <f t="shared" si="193"/>
        <v>31.305413011463401</v>
      </c>
      <c r="AC249">
        <v>1</v>
      </c>
      <c r="AD249">
        <f t="shared" si="176"/>
        <v>85.270678502625017</v>
      </c>
      <c r="AE249">
        <f t="shared" si="177"/>
        <v>-7.6883206474331238E-3</v>
      </c>
      <c r="AF249">
        <f t="shared" si="178"/>
        <v>5.2580836183050012E-3</v>
      </c>
      <c r="AG249">
        <f t="shared" si="194"/>
        <v>5079.341051333643</v>
      </c>
      <c r="AH249">
        <f t="shared" si="195"/>
        <v>-7617.1482973171469</v>
      </c>
      <c r="AJ249">
        <f t="shared" si="179"/>
        <v>22100</v>
      </c>
      <c r="AK249">
        <f t="shared" si="180"/>
        <v>20732.946976860301</v>
      </c>
      <c r="AL249">
        <v>1</v>
      </c>
      <c r="AM249">
        <f t="shared" si="181"/>
        <v>66.548734096068003</v>
      </c>
      <c r="AN249">
        <f t="shared" si="196"/>
        <v>316.46400716003154</v>
      </c>
      <c r="AO249">
        <f t="shared" si="197"/>
        <v>-327.33208660879757</v>
      </c>
      <c r="AQ249">
        <f t="shared" si="182"/>
        <v>8.1631986677659779E-2</v>
      </c>
      <c r="AR249">
        <f t="shared" si="183"/>
        <v>-28.571195337180921</v>
      </c>
      <c r="AT249">
        <f t="shared" si="209"/>
        <v>-217216.39521388948</v>
      </c>
      <c r="AU249">
        <f t="shared" si="210"/>
        <v>-145744.64831014376</v>
      </c>
      <c r="AV249">
        <f t="shared" si="198"/>
        <v>-2.5506200235626064</v>
      </c>
      <c r="AW249">
        <f t="shared" si="199"/>
        <v>-4141.0837010006981</v>
      </c>
      <c r="AX249">
        <f t="shared" si="200"/>
        <v>-17980.567839288651</v>
      </c>
      <c r="AY249">
        <f t="shared" si="208"/>
        <v>-1.7971580171070809</v>
      </c>
      <c r="BA249">
        <f t="shared" si="184"/>
        <v>14.176839479977511</v>
      </c>
      <c r="BB249">
        <f t="shared" si="201"/>
        <v>23.03158844007983</v>
      </c>
      <c r="BC249">
        <f t="shared" si="202"/>
        <v>-0.75346200645552552</v>
      </c>
      <c r="BD249">
        <f t="shared" si="185"/>
        <v>-223.17019304268953</v>
      </c>
      <c r="BF249">
        <f t="shared" si="186"/>
        <v>-21.061771382664073</v>
      </c>
      <c r="BG249">
        <f t="shared" si="187"/>
        <v>-181.52844806479496</v>
      </c>
      <c r="BH249">
        <f t="shared" si="203"/>
        <v>-1.5284480647949579</v>
      </c>
      <c r="BI249">
        <f t="shared" si="204"/>
        <v>-1.5284480647949579</v>
      </c>
      <c r="BJ249">
        <f t="shared" si="188"/>
        <v>0</v>
      </c>
      <c r="BK249">
        <f t="shared" si="205"/>
        <v>0</v>
      </c>
      <c r="BM249">
        <f t="shared" si="206"/>
        <v>-44.093359822743906</v>
      </c>
      <c r="BN249">
        <f t="shared" si="189"/>
        <v>-138.35825502210542</v>
      </c>
      <c r="BQ249" s="47">
        <f t="shared" si="207"/>
        <v>39.933549240364961</v>
      </c>
      <c r="BR249" s="529"/>
      <c r="BS249" s="529"/>
      <c r="BT249" s="529">
        <v>24547.089</v>
      </c>
      <c r="BU249" s="529">
        <v>-3.1709299999999998</v>
      </c>
      <c r="BV249" s="529">
        <v>-163.65100000000001</v>
      </c>
      <c r="BY249" s="529"/>
      <c r="BZ249" s="529"/>
      <c r="CA249" s="529"/>
      <c r="CC249" s="529"/>
    </row>
    <row r="250" spans="1:81">
      <c r="A250">
        <f t="shared" si="211"/>
        <v>180000</v>
      </c>
      <c r="B250">
        <f t="shared" si="191"/>
        <v>180</v>
      </c>
      <c r="C250">
        <f t="shared" si="159"/>
        <v>1.3485638529832862</v>
      </c>
      <c r="D250">
        <f t="shared" si="160"/>
        <v>0.73544899364737049</v>
      </c>
      <c r="F250">
        <f t="shared" si="161"/>
        <v>2.9533512349074061E-4</v>
      </c>
      <c r="G250">
        <f t="shared" si="162"/>
        <v>5.1821253880840737E-3</v>
      </c>
      <c r="H250">
        <f t="shared" si="163"/>
        <v>-3.1364105246119163</v>
      </c>
      <c r="J250">
        <f t="shared" si="164"/>
        <v>15</v>
      </c>
      <c r="M250">
        <f t="shared" si="165"/>
        <v>8.3665378776998055E-3</v>
      </c>
      <c r="N250">
        <f t="shared" si="166"/>
        <v>-1.5707963250000001</v>
      </c>
      <c r="O250">
        <f t="shared" si="167"/>
        <v>87.712684217758877</v>
      </c>
      <c r="P250">
        <f t="shared" si="168"/>
        <v>1.5593952201767112</v>
      </c>
      <c r="Q250">
        <f t="shared" si="169"/>
        <v>68.457430697503341</v>
      </c>
      <c r="R250">
        <f t="shared" si="170"/>
        <v>1.5561881891978975</v>
      </c>
      <c r="S250">
        <f t="shared" si="171"/>
        <v>0.71960666984932153</v>
      </c>
      <c r="T250">
        <f t="shared" si="172"/>
        <v>-0.76756062067163378</v>
      </c>
      <c r="U250">
        <f t="shared" si="173"/>
        <v>0.55368589658124501</v>
      </c>
      <c r="V250">
        <f t="shared" si="174"/>
        <v>-0.9840122650592551</v>
      </c>
      <c r="X250">
        <f t="shared" si="192"/>
        <v>-18.446694132177864</v>
      </c>
      <c r="Y250">
        <f t="shared" si="175"/>
        <v>-149.4129163492118</v>
      </c>
      <c r="Z250">
        <f t="shared" si="193"/>
        <v>30.587083650788202</v>
      </c>
      <c r="AC250">
        <v>1</v>
      </c>
      <c r="AD250">
        <f t="shared" si="176"/>
        <v>87.706983602700006</v>
      </c>
      <c r="AE250">
        <f t="shared" si="177"/>
        <v>-8.133929435978229E-3</v>
      </c>
      <c r="AF250">
        <f t="shared" si="178"/>
        <v>5.4083145788280003E-3</v>
      </c>
      <c r="AG250">
        <f t="shared" si="194"/>
        <v>4886.3822663756264</v>
      </c>
      <c r="AH250">
        <f t="shared" si="195"/>
        <v>-7533.8606802610229</v>
      </c>
      <c r="AJ250">
        <f t="shared" si="179"/>
        <v>22100</v>
      </c>
      <c r="AK250">
        <f t="shared" si="180"/>
        <v>21325.316890484879</v>
      </c>
      <c r="AL250">
        <v>1</v>
      </c>
      <c r="AM250">
        <f t="shared" si="181"/>
        <v>68.450126498812807</v>
      </c>
      <c r="AN250">
        <f t="shared" si="196"/>
        <v>316.194599805851</v>
      </c>
      <c r="AO250">
        <f t="shared" si="197"/>
        <v>-318.24346446711041</v>
      </c>
      <c r="AQ250">
        <f t="shared" si="182"/>
        <v>7.7159898457573636E-2</v>
      </c>
      <c r="AR250">
        <f t="shared" si="183"/>
        <v>-27.777563444726507</v>
      </c>
      <c r="AT250">
        <f t="shared" si="209"/>
        <v>-208895.26027018254</v>
      </c>
      <c r="AU250">
        <f t="shared" si="210"/>
        <v>-136313.10534451791</v>
      </c>
      <c r="AV250">
        <f t="shared" si="198"/>
        <v>-2.5634319278390163</v>
      </c>
      <c r="AW250">
        <f t="shared" si="199"/>
        <v>-3815.5834687428683</v>
      </c>
      <c r="AX250">
        <f t="shared" si="200"/>
        <v>-17595.089033794087</v>
      </c>
      <c r="AY250">
        <f t="shared" si="208"/>
        <v>-1.7843448741823627</v>
      </c>
      <c r="BA250">
        <f t="shared" si="184"/>
        <v>13.854457315095379</v>
      </c>
      <c r="BB250">
        <f t="shared" si="201"/>
        <v>22.831790379087682</v>
      </c>
      <c r="BC250">
        <f t="shared" si="202"/>
        <v>-0.77908705365665365</v>
      </c>
      <c r="BD250">
        <f t="shared" si="185"/>
        <v>-224.63840009881537</v>
      </c>
      <c r="BF250">
        <f t="shared" si="186"/>
        <v>-21.642652154624411</v>
      </c>
      <c r="BG250">
        <f t="shared" si="187"/>
        <v>-182.20336275354344</v>
      </c>
      <c r="BH250">
        <f t="shared" si="203"/>
        <v>-2.2033627535434448</v>
      </c>
      <c r="BI250">
        <f t="shared" si="204"/>
        <v>-2.2033627535434448</v>
      </c>
      <c r="BJ250">
        <f t="shared" si="188"/>
        <v>0</v>
      </c>
      <c r="BK250">
        <f t="shared" si="205"/>
        <v>0</v>
      </c>
      <c r="BM250">
        <f t="shared" si="206"/>
        <v>-44.474442533712093</v>
      </c>
      <c r="BN250">
        <f t="shared" si="189"/>
        <v>-137.56496265472808</v>
      </c>
      <c r="BQ250" s="47">
        <f t="shared" si="207"/>
        <v>39.733751179372817</v>
      </c>
      <c r="BR250" s="529"/>
      <c r="BS250" s="529"/>
      <c r="BT250" s="529">
        <v>25118.864000000001</v>
      </c>
      <c r="BU250" s="529">
        <v>-3.1069800000000001</v>
      </c>
      <c r="BV250" s="529">
        <v>-162.52199999999999</v>
      </c>
      <c r="BY250" s="529"/>
      <c r="BZ250" s="529"/>
      <c r="CA250" s="529"/>
      <c r="CC250" s="529"/>
    </row>
    <row r="251" spans="1:81">
      <c r="A251">
        <f t="shared" si="211"/>
        <v>185000</v>
      </c>
      <c r="B251">
        <f t="shared" si="191"/>
        <v>185</v>
      </c>
      <c r="C251">
        <f t="shared" si="159"/>
        <v>1.3655530957196931</v>
      </c>
      <c r="D251">
        <f t="shared" si="160"/>
        <v>0.74909712634197223</v>
      </c>
      <c r="F251">
        <f t="shared" si="161"/>
        <v>2.7958251133271197E-4</v>
      </c>
      <c r="G251">
        <f t="shared" si="162"/>
        <v>5.0419895199543523E-3</v>
      </c>
      <c r="H251">
        <f t="shared" si="163"/>
        <v>-3.1365506604800459</v>
      </c>
      <c r="J251">
        <f t="shared" si="164"/>
        <v>15</v>
      </c>
      <c r="M251">
        <f t="shared" si="165"/>
        <v>8.1404152323565678E-3</v>
      </c>
      <c r="N251">
        <f t="shared" si="166"/>
        <v>-1.5707963250000001</v>
      </c>
      <c r="O251">
        <f t="shared" si="167"/>
        <v>90.148835256767711</v>
      </c>
      <c r="P251">
        <f t="shared" si="168"/>
        <v>1.5597033325644891</v>
      </c>
      <c r="Q251">
        <f t="shared" si="169"/>
        <v>70.358625709689733</v>
      </c>
      <c r="R251">
        <f t="shared" si="170"/>
        <v>1.5565829498177217</v>
      </c>
      <c r="S251">
        <f t="shared" si="171"/>
        <v>0.71002939782575702</v>
      </c>
      <c r="T251">
        <f t="shared" si="172"/>
        <v>-0.78125637025401362</v>
      </c>
      <c r="U251">
        <f t="shared" si="173"/>
        <v>0.54317946922849802</v>
      </c>
      <c r="V251">
        <f t="shared" si="174"/>
        <v>-0.99657702484114197</v>
      </c>
      <c r="X251">
        <f t="shared" si="192"/>
        <v>-18.858928904670989</v>
      </c>
      <c r="Y251">
        <f t="shared" si="175"/>
        <v>-150.10330983973475</v>
      </c>
      <c r="Z251">
        <f t="shared" si="193"/>
        <v>29.896690160265251</v>
      </c>
      <c r="AC251">
        <v>1</v>
      </c>
      <c r="AD251">
        <f t="shared" si="176"/>
        <v>90.14328870277501</v>
      </c>
      <c r="AE251">
        <f t="shared" si="177"/>
        <v>-8.5920905847640394E-3</v>
      </c>
      <c r="AF251">
        <f t="shared" si="178"/>
        <v>5.5585455393510003E-3</v>
      </c>
      <c r="AG251">
        <f t="shared" si="194"/>
        <v>4702.6992925386758</v>
      </c>
      <c r="AH251">
        <f t="shared" si="195"/>
        <v>-7449.0742265705203</v>
      </c>
      <c r="AJ251">
        <f t="shared" si="179"/>
        <v>22100</v>
      </c>
      <c r="AK251">
        <f t="shared" si="180"/>
        <v>21917.68680410946</v>
      </c>
      <c r="AL251">
        <v>1</v>
      </c>
      <c r="AM251">
        <f t="shared" si="181"/>
        <v>70.351518901557597</v>
      </c>
      <c r="AN251">
        <f t="shared" si="196"/>
        <v>315.94673383262096</v>
      </c>
      <c r="AO251">
        <f t="shared" si="197"/>
        <v>-309.64581300155947</v>
      </c>
      <c r="AQ251">
        <f t="shared" si="182"/>
        <v>7.3045485423773385E-2</v>
      </c>
      <c r="AR251">
        <f t="shared" si="183"/>
        <v>-27.026829606796152</v>
      </c>
      <c r="AT251">
        <f t="shared" si="209"/>
        <v>-200981.34889727278</v>
      </c>
      <c r="AU251">
        <f t="shared" si="210"/>
        <v>-127643.17371428116</v>
      </c>
      <c r="AV251">
        <f t="shared" si="198"/>
        <v>-2.5757636497444372</v>
      </c>
      <c r="AW251">
        <f t="shared" si="199"/>
        <v>-3521.9999300924442</v>
      </c>
      <c r="AX251">
        <f t="shared" si="200"/>
        <v>-17225.391719855219</v>
      </c>
      <c r="AY251">
        <f t="shared" si="208"/>
        <v>-1.772482015357006</v>
      </c>
      <c r="BA251">
        <f t="shared" si="184"/>
        <v>13.541800665159684</v>
      </c>
      <c r="BB251">
        <f t="shared" si="201"/>
        <v>22.633528334172212</v>
      </c>
      <c r="BC251">
        <f t="shared" si="202"/>
        <v>-0.80328163438743116</v>
      </c>
      <c r="BD251">
        <f t="shared" si="185"/>
        <v>-226.02464746336148</v>
      </c>
      <c r="BF251">
        <f t="shared" si="186"/>
        <v>-22.208274630265734</v>
      </c>
      <c r="BG251">
        <f t="shared" si="187"/>
        <v>-182.81565890937222</v>
      </c>
      <c r="BH251">
        <f t="shared" si="203"/>
        <v>-2.8156589093722175</v>
      </c>
      <c r="BI251">
        <f t="shared" si="204"/>
        <v>-2.8156589093722175</v>
      </c>
      <c r="BJ251">
        <f t="shared" si="188"/>
        <v>0</v>
      </c>
      <c r="BK251">
        <f t="shared" si="205"/>
        <v>0</v>
      </c>
      <c r="BM251">
        <f t="shared" si="206"/>
        <v>-44.841802964437946</v>
      </c>
      <c r="BN251">
        <f t="shared" si="189"/>
        <v>-136.79101144601074</v>
      </c>
      <c r="BQ251" s="47">
        <f t="shared" si="207"/>
        <v>39.53548913445735</v>
      </c>
      <c r="BR251" s="529"/>
      <c r="BS251" s="529"/>
      <c r="BT251" s="529">
        <v>25703.957999999999</v>
      </c>
      <c r="BU251" s="529">
        <v>-3.0172699999999999</v>
      </c>
      <c r="BV251" s="529">
        <v>-161.32599999999999</v>
      </c>
      <c r="BY251" s="529"/>
      <c r="BZ251" s="529"/>
      <c r="CA251" s="529"/>
      <c r="CC251" s="529"/>
    </row>
    <row r="252" spans="1:81">
      <c r="A252">
        <f t="shared" si="211"/>
        <v>190000</v>
      </c>
      <c r="B252">
        <f t="shared" si="191"/>
        <v>190</v>
      </c>
      <c r="C252">
        <f t="shared" si="159"/>
        <v>1.3827904245570262</v>
      </c>
      <c r="D252">
        <f t="shared" si="160"/>
        <v>0.76240742278859508</v>
      </c>
      <c r="F252">
        <f t="shared" si="161"/>
        <v>2.650575157971626E-4</v>
      </c>
      <c r="G252">
        <f t="shared" si="162"/>
        <v>4.9092351747171128E-3</v>
      </c>
      <c r="H252">
        <f t="shared" si="163"/>
        <v>-3.1366834148252831</v>
      </c>
      <c r="J252">
        <f t="shared" si="164"/>
        <v>15</v>
      </c>
      <c r="M252">
        <f t="shared" si="165"/>
        <v>7.9261937788735002E-3</v>
      </c>
      <c r="N252">
        <f t="shared" si="166"/>
        <v>-1.5707963250000001</v>
      </c>
      <c r="O252">
        <f t="shared" si="167"/>
        <v>92.584994403524732</v>
      </c>
      <c r="P252">
        <f t="shared" si="168"/>
        <v>1.5599952304546716</v>
      </c>
      <c r="Q252">
        <f t="shared" si="169"/>
        <v>72.259831109319563</v>
      </c>
      <c r="R252">
        <f t="shared" si="170"/>
        <v>1.5569569376514454</v>
      </c>
      <c r="S252">
        <f t="shared" si="171"/>
        <v>0.70057744216479079</v>
      </c>
      <c r="T252">
        <f t="shared" si="172"/>
        <v>-0.79458992865114186</v>
      </c>
      <c r="U252">
        <f t="shared" si="173"/>
        <v>0.53298485007157437</v>
      </c>
      <c r="V252">
        <f t="shared" si="174"/>
        <v>-1.0086719937023725</v>
      </c>
      <c r="X252">
        <f t="shared" si="192"/>
        <v>-19.262780153425101</v>
      </c>
      <c r="Y252">
        <f t="shared" si="175"/>
        <v>-150.76708714324735</v>
      </c>
      <c r="Z252">
        <f t="shared" si="193"/>
        <v>29.232912856752648</v>
      </c>
      <c r="AC252">
        <v>1</v>
      </c>
      <c r="AD252">
        <f t="shared" si="176"/>
        <v>92.579593802850013</v>
      </c>
      <c r="AE252">
        <f t="shared" si="177"/>
        <v>-9.0628040937905576E-3</v>
      </c>
      <c r="AF252">
        <f t="shared" si="178"/>
        <v>5.7087764998740012E-3</v>
      </c>
      <c r="AG252">
        <f t="shared" si="194"/>
        <v>4527.8313856876148</v>
      </c>
      <c r="AH252">
        <f t="shared" si="195"/>
        <v>-7363.1974940919199</v>
      </c>
      <c r="AJ252">
        <f t="shared" si="179"/>
        <v>22100</v>
      </c>
      <c r="AK252">
        <f t="shared" si="180"/>
        <v>22510.056717734042</v>
      </c>
      <c r="AL252">
        <v>1</v>
      </c>
      <c r="AM252">
        <f t="shared" si="181"/>
        <v>72.252911304302401</v>
      </c>
      <c r="AN252">
        <f t="shared" si="196"/>
        <v>315.7181725728064</v>
      </c>
      <c r="AO252">
        <f t="shared" si="197"/>
        <v>-301.50040232538026</v>
      </c>
      <c r="AQ252">
        <f t="shared" si="182"/>
        <v>6.92515979806234E-2</v>
      </c>
      <c r="AR252">
        <f t="shared" si="183"/>
        <v>-26.315607232636893</v>
      </c>
      <c r="AT252">
        <f t="shared" si="209"/>
        <v>-193453.45367201351</v>
      </c>
      <c r="AU252">
        <f t="shared" si="210"/>
        <v>-119662.54555407411</v>
      </c>
      <c r="AV252">
        <f t="shared" si="198"/>
        <v>-2.5876378439648442</v>
      </c>
      <c r="AW252">
        <f t="shared" si="199"/>
        <v>-3256.5383172988954</v>
      </c>
      <c r="AX252">
        <f t="shared" si="200"/>
        <v>-16870.437990333732</v>
      </c>
      <c r="AY252">
        <f t="shared" si="208"/>
        <v>-1.7614832219030514</v>
      </c>
      <c r="BA252">
        <f t="shared" si="184"/>
        <v>13.239050932745684</v>
      </c>
      <c r="BB252">
        <f t="shared" si="201"/>
        <v>22.437137059407569</v>
      </c>
      <c r="BC252">
        <f t="shared" si="202"/>
        <v>-0.8261546220617928</v>
      </c>
      <c r="BD252">
        <f t="shared" si="185"/>
        <v>-227.33517312345467</v>
      </c>
      <c r="BF252">
        <f t="shared" si="186"/>
        <v>-22.759108023124014</v>
      </c>
      <c r="BG252">
        <f t="shared" si="187"/>
        <v>-183.37116702183732</v>
      </c>
      <c r="BH252">
        <f t="shared" si="203"/>
        <v>-3.3711670218373229</v>
      </c>
      <c r="BI252">
        <f t="shared" si="204"/>
        <v>-3.3711670218373229</v>
      </c>
      <c r="BJ252">
        <f t="shared" si="188"/>
        <v>0</v>
      </c>
      <c r="BK252">
        <f t="shared" si="205"/>
        <v>0</v>
      </c>
      <c r="BM252">
        <f t="shared" si="206"/>
        <v>-45.19624508253159</v>
      </c>
      <c r="BN252">
        <f t="shared" si="189"/>
        <v>-136.03599389838269</v>
      </c>
      <c r="BQ252" s="47">
        <f t="shared" si="207"/>
        <v>39.339097859692707</v>
      </c>
      <c r="BR252" s="529"/>
      <c r="BS252" s="529"/>
      <c r="BT252" s="529">
        <v>26302.68</v>
      </c>
      <c r="BU252" s="529">
        <v>-2.9494799999999999</v>
      </c>
      <c r="BV252" s="529">
        <v>-160.22999999999999</v>
      </c>
      <c r="BY252" s="529"/>
      <c r="BZ252" s="529"/>
      <c r="CA252" s="529"/>
      <c r="CC252" s="529"/>
    </row>
    <row r="253" spans="1:81">
      <c r="A253">
        <f t="shared" si="211"/>
        <v>195000</v>
      </c>
      <c r="B253">
        <f t="shared" si="191"/>
        <v>195</v>
      </c>
      <c r="C253">
        <f t="shared" si="159"/>
        <v>1.4002666776810822</v>
      </c>
      <c r="D253">
        <f t="shared" si="160"/>
        <v>0.77538772898723773</v>
      </c>
      <c r="F253">
        <f t="shared" si="161"/>
        <v>2.5163580418642513E-4</v>
      </c>
      <c r="G253">
        <f t="shared" si="162"/>
        <v>4.7832939556727346E-3</v>
      </c>
      <c r="H253">
        <f t="shared" si="163"/>
        <v>-3.1368093560443273</v>
      </c>
      <c r="J253">
        <f t="shared" si="164"/>
        <v>15</v>
      </c>
      <c r="M253">
        <f t="shared" si="165"/>
        <v>7.7229580409536661E-3</v>
      </c>
      <c r="N253">
        <f t="shared" si="166"/>
        <v>-1.5707963250000001</v>
      </c>
      <c r="O253">
        <f t="shared" si="167"/>
        <v>95.0211610344289</v>
      </c>
      <c r="P253">
        <f t="shared" si="168"/>
        <v>1.5602721609245798</v>
      </c>
      <c r="Q253">
        <f t="shared" si="169"/>
        <v>74.161046097509924</v>
      </c>
      <c r="R253">
        <f t="shared" si="170"/>
        <v>1.5573117502024583</v>
      </c>
      <c r="S253">
        <f t="shared" si="171"/>
        <v>0.69125574937912393</v>
      </c>
      <c r="T253">
        <f t="shared" si="172"/>
        <v>-0.80757091884376164</v>
      </c>
      <c r="U253">
        <f t="shared" si="173"/>
        <v>0.52309351552439465</v>
      </c>
      <c r="V253">
        <f t="shared" si="174"/>
        <v>-1.0203196883267311</v>
      </c>
      <c r="X253">
        <f t="shared" si="192"/>
        <v>-19.658552077238468</v>
      </c>
      <c r="Y253">
        <f t="shared" si="175"/>
        <v>-151.40550976846026</v>
      </c>
      <c r="Z253">
        <f t="shared" si="193"/>
        <v>28.594490231539737</v>
      </c>
      <c r="AC253">
        <v>1</v>
      </c>
      <c r="AD253">
        <f t="shared" si="176"/>
        <v>95.015898902925017</v>
      </c>
      <c r="AE253">
        <f t="shared" si="177"/>
        <v>-9.5460699630577819E-3</v>
      </c>
      <c r="AF253">
        <f t="shared" si="178"/>
        <v>5.8590074603970003E-3</v>
      </c>
      <c r="AG253">
        <f t="shared" si="194"/>
        <v>4361.3324148542715</v>
      </c>
      <c r="AH253">
        <f t="shared" si="195"/>
        <v>-7276.5881683075741</v>
      </c>
      <c r="AJ253">
        <f t="shared" si="179"/>
        <v>22100</v>
      </c>
      <c r="AK253">
        <f t="shared" si="180"/>
        <v>23102.426631358619</v>
      </c>
      <c r="AL253">
        <v>1</v>
      </c>
      <c r="AM253">
        <f t="shared" si="181"/>
        <v>74.154303707047205</v>
      </c>
      <c r="AN253">
        <f t="shared" si="196"/>
        <v>315.50696227719823</v>
      </c>
      <c r="AO253">
        <f t="shared" si="197"/>
        <v>-293.77247103262232</v>
      </c>
      <c r="AQ253">
        <f t="shared" si="182"/>
        <v>6.5745787338676268E-2</v>
      </c>
      <c r="AR253">
        <f t="shared" si="183"/>
        <v>-25.640857062083747</v>
      </c>
      <c r="AT253">
        <f t="shared" si="209"/>
        <v>-186291.21788976403</v>
      </c>
      <c r="AU253">
        <f t="shared" si="210"/>
        <v>-112306.70606777558</v>
      </c>
      <c r="AV253">
        <f t="shared" si="198"/>
        <v>-2.5990760840471547</v>
      </c>
      <c r="AW253">
        <f t="shared" si="199"/>
        <v>-3015.9256408808292</v>
      </c>
      <c r="AX253">
        <f t="shared" si="200"/>
        <v>-16529.296422568848</v>
      </c>
      <c r="AY253">
        <f t="shared" si="208"/>
        <v>-1.751270463465556</v>
      </c>
      <c r="BA253">
        <f t="shared" si="184"/>
        <v>12.946244370830815</v>
      </c>
      <c r="BB253">
        <f t="shared" si="201"/>
        <v>22.242876008375944</v>
      </c>
      <c r="BC253">
        <f t="shared" si="202"/>
        <v>-0.8478056205815987</v>
      </c>
      <c r="BD253">
        <f t="shared" si="185"/>
        <v>-228.57568396230101</v>
      </c>
      <c r="BF253">
        <f t="shared" si="186"/>
        <v>-23.295635029375724</v>
      </c>
      <c r="BG253">
        <f t="shared" si="187"/>
        <v>-183.87517699819034</v>
      </c>
      <c r="BH253">
        <f t="shared" si="203"/>
        <v>-3.8751769981903408</v>
      </c>
      <c r="BI253">
        <f t="shared" si="204"/>
        <v>-3.8751769981903408</v>
      </c>
      <c r="BJ253">
        <f t="shared" si="188"/>
        <v>0</v>
      </c>
      <c r="BK253">
        <f t="shared" si="205"/>
        <v>0</v>
      </c>
      <c r="BM253">
        <f t="shared" si="206"/>
        <v>-45.538511037751661</v>
      </c>
      <c r="BN253">
        <f t="shared" si="189"/>
        <v>-135.29949303588936</v>
      </c>
      <c r="BQ253" s="47">
        <f t="shared" si="207"/>
        <v>39.144836808661083</v>
      </c>
      <c r="BR253" s="529"/>
      <c r="BS253" s="529"/>
      <c r="BT253" s="529">
        <v>26915.348000000002</v>
      </c>
      <c r="BU253" s="529">
        <v>-2.8411300000000002</v>
      </c>
      <c r="BV253" s="529">
        <v>-159.27600000000001</v>
      </c>
      <c r="BY253" s="529"/>
      <c r="BZ253" s="529"/>
      <c r="CA253" s="529"/>
      <c r="CC253" s="529"/>
    </row>
    <row r="254" spans="1:81">
      <c r="A254">
        <f t="shared" si="211"/>
        <v>200000</v>
      </c>
      <c r="B254">
        <f t="shared" si="191"/>
        <v>200</v>
      </c>
      <c r="C254">
        <f t="shared" si="159"/>
        <v>1.4179730210275101</v>
      </c>
      <c r="D254">
        <f t="shared" si="160"/>
        <v>0.78804595178116554</v>
      </c>
      <c r="F254">
        <f t="shared" si="161"/>
        <v>2.3920839595636845E-4</v>
      </c>
      <c r="G254">
        <f t="shared" si="162"/>
        <v>4.6636543764893151E-3</v>
      </c>
      <c r="H254">
        <f t="shared" si="163"/>
        <v>-3.1369289956235109</v>
      </c>
      <c r="J254">
        <f t="shared" si="164"/>
        <v>15</v>
      </c>
      <c r="M254">
        <f t="shared" si="165"/>
        <v>7.5298840899298254E-3</v>
      </c>
      <c r="N254">
        <f t="shared" si="166"/>
        <v>-1.5707963250000001</v>
      </c>
      <c r="O254">
        <f t="shared" si="167"/>
        <v>97.457334588230609</v>
      </c>
      <c r="P254">
        <f t="shared" si="168"/>
        <v>1.5605352463668711</v>
      </c>
      <c r="Q254">
        <f t="shared" si="169"/>
        <v>76.062269955248027</v>
      </c>
      <c r="R254">
        <f t="shared" si="170"/>
        <v>1.5576488252723228</v>
      </c>
      <c r="S254">
        <f t="shared" si="171"/>
        <v>0.68206842878856755</v>
      </c>
      <c r="T254">
        <f t="shared" si="172"/>
        <v>-0.8202089372637279</v>
      </c>
      <c r="U254">
        <f t="shared" si="173"/>
        <v>0.5134967271668337</v>
      </c>
      <c r="V254">
        <f t="shared" si="174"/>
        <v>-1.031541477010361</v>
      </c>
      <c r="X254">
        <f t="shared" si="192"/>
        <v>-20.046532483310457</v>
      </c>
      <c r="Y254">
        <f t="shared" si="175"/>
        <v>-152.01978145253915</v>
      </c>
      <c r="Z254">
        <f t="shared" si="193"/>
        <v>27.980218547460851</v>
      </c>
      <c r="AC254">
        <v>1</v>
      </c>
      <c r="AD254">
        <f t="shared" si="176"/>
        <v>97.452204003000006</v>
      </c>
      <c r="AE254">
        <f t="shared" si="177"/>
        <v>-1.0041888192565714E-2</v>
      </c>
      <c r="AF254">
        <f t="shared" si="178"/>
        <v>6.0092384209200003E-3</v>
      </c>
      <c r="AG254">
        <f t="shared" si="194"/>
        <v>4202.7724465620076</v>
      </c>
      <c r="AH254">
        <f t="shared" si="195"/>
        <v>-7189.5584732943835</v>
      </c>
      <c r="AJ254">
        <f t="shared" si="179"/>
        <v>22100</v>
      </c>
      <c r="AK254">
        <f t="shared" si="180"/>
        <v>23694.796544983201</v>
      </c>
      <c r="AL254">
        <v>1</v>
      </c>
      <c r="AM254">
        <f t="shared" si="181"/>
        <v>76.055696109792009</v>
      </c>
      <c r="AN254">
        <f t="shared" si="196"/>
        <v>315.31139023503545</v>
      </c>
      <c r="AO254">
        <f t="shared" si="197"/>
        <v>-286.4307306886937</v>
      </c>
      <c r="AQ254">
        <f t="shared" si="182"/>
        <v>6.2499609377441388E-2</v>
      </c>
      <c r="AR254">
        <f t="shared" si="183"/>
        <v>-24.999843750976556</v>
      </c>
      <c r="AT254">
        <f t="shared" si="209"/>
        <v>-179475.16683465673</v>
      </c>
      <c r="AU254">
        <f t="shared" si="210"/>
        <v>-105517.99908113683</v>
      </c>
      <c r="AV254">
        <f t="shared" si="198"/>
        <v>-2.6100988894415966</v>
      </c>
      <c r="AW254">
        <f t="shared" si="199"/>
        <v>-2797.3298704481676</v>
      </c>
      <c r="AX254">
        <f t="shared" si="200"/>
        <v>-16201.126615386991</v>
      </c>
      <c r="AY254">
        <f t="shared" si="208"/>
        <v>-1.7417732259388228</v>
      </c>
      <c r="BA254">
        <f t="shared" si="184"/>
        <v>12.663307448128373</v>
      </c>
      <c r="BB254">
        <f t="shared" si="201"/>
        <v>22.050943021797501</v>
      </c>
      <c r="BC254">
        <f t="shared" si="202"/>
        <v>-0.86832566350277385</v>
      </c>
      <c r="BD254">
        <f t="shared" si="185"/>
        <v>-229.75139581845511</v>
      </c>
      <c r="BF254">
        <f t="shared" si="186"/>
        <v>-23.818344063072445</v>
      </c>
      <c r="BG254">
        <f t="shared" si="187"/>
        <v>-184.33248095424511</v>
      </c>
      <c r="BH254">
        <f t="shared" si="203"/>
        <v>-4.3324809542451135</v>
      </c>
      <c r="BI254">
        <f t="shared" si="204"/>
        <v>-4.3324809542451135</v>
      </c>
      <c r="BJ254">
        <f t="shared" si="188"/>
        <v>0</v>
      </c>
      <c r="BK254">
        <f t="shared" si="205"/>
        <v>0</v>
      </c>
      <c r="BM254">
        <f t="shared" si="206"/>
        <v>-45.869287084869939</v>
      </c>
      <c r="BN254">
        <f t="shared" si="189"/>
        <v>-134.58108513579003</v>
      </c>
      <c r="BQ254" s="47">
        <f t="shared" si="207"/>
        <v>38.952903822082632</v>
      </c>
      <c r="BR254" s="529"/>
      <c r="BS254" s="529"/>
      <c r="BT254" s="529">
        <v>27542.287</v>
      </c>
      <c r="BU254" s="529">
        <v>-2.7366600000000001</v>
      </c>
      <c r="BV254" s="529">
        <v>-158.108</v>
      </c>
      <c r="BY254" s="529"/>
      <c r="BZ254" s="529"/>
      <c r="CA254" s="529"/>
      <c r="CC254" s="529"/>
    </row>
    <row r="255" spans="1:81">
      <c r="A255">
        <f t="shared" si="211"/>
        <v>205000</v>
      </c>
      <c r="B255">
        <f t="shared" si="191"/>
        <v>205</v>
      </c>
      <c r="C255">
        <f t="shared" si="159"/>
        <v>1.4359009427743281</v>
      </c>
      <c r="D255">
        <f t="shared" si="160"/>
        <v>0.80039002360772671</v>
      </c>
      <c r="F255">
        <f t="shared" si="161"/>
        <v>2.2767944273169674E-4</v>
      </c>
      <c r="G255">
        <f t="shared" si="162"/>
        <v>4.5498549109401539E-3</v>
      </c>
      <c r="H255">
        <f t="shared" si="163"/>
        <v>-3.13704279508906</v>
      </c>
      <c r="J255">
        <f t="shared" si="164"/>
        <v>15</v>
      </c>
      <c r="M255">
        <f t="shared" si="165"/>
        <v>7.3462283804193425E-3</v>
      </c>
      <c r="N255">
        <f t="shared" si="166"/>
        <v>-1.5707963250000001</v>
      </c>
      <c r="O255">
        <f t="shared" si="167"/>
        <v>99.89351455842916</v>
      </c>
      <c r="P255">
        <f t="shared" si="168"/>
        <v>1.5607854996917325</v>
      </c>
      <c r="Q255">
        <f t="shared" si="169"/>
        <v>77.963502033653512</v>
      </c>
      <c r="R255">
        <f t="shared" si="170"/>
        <v>1.5579694604297674</v>
      </c>
      <c r="S255">
        <f t="shared" si="171"/>
        <v>0.67301882600847751</v>
      </c>
      <c r="T255">
        <f t="shared" si="172"/>
        <v>-0.83251351850980015</v>
      </c>
      <c r="U255">
        <f t="shared" si="173"/>
        <v>0.5041856276780059</v>
      </c>
      <c r="V255">
        <f t="shared" si="174"/>
        <v>-1.0423576235948424</v>
      </c>
      <c r="X255">
        <f t="shared" si="192"/>
        <v>-20.426994172029506</v>
      </c>
      <c r="Y255">
        <f t="shared" si="175"/>
        <v>-152.61104908798589</v>
      </c>
      <c r="Z255">
        <f t="shared" si="193"/>
        <v>27.38895091201411</v>
      </c>
      <c r="AC255">
        <v>1</v>
      </c>
      <c r="AD255">
        <f t="shared" si="176"/>
        <v>99.888509103075009</v>
      </c>
      <c r="AE255">
        <f t="shared" si="177"/>
        <v>-1.0550258782314356E-2</v>
      </c>
      <c r="AF255">
        <f t="shared" si="178"/>
        <v>6.1594693814430012E-3</v>
      </c>
      <c r="AG255">
        <f t="shared" si="194"/>
        <v>4051.7387930386653</v>
      </c>
      <c r="AH255">
        <f t="shared" si="195"/>
        <v>-7102.380103828229</v>
      </c>
      <c r="AJ255">
        <f t="shared" si="179"/>
        <v>22100</v>
      </c>
      <c r="AK255">
        <f t="shared" si="180"/>
        <v>24287.166458607782</v>
      </c>
      <c r="AL255">
        <v>1</v>
      </c>
      <c r="AM255">
        <f t="shared" si="181"/>
        <v>77.957088512536799</v>
      </c>
      <c r="AN255">
        <f t="shared" si="196"/>
        <v>315.12994995190223</v>
      </c>
      <c r="AO255">
        <f t="shared" si="197"/>
        <v>-279.44694274395238</v>
      </c>
      <c r="AQ255">
        <f t="shared" si="182"/>
        <v>5.9488045877180984E-2</v>
      </c>
      <c r="AR255">
        <f t="shared" si="183"/>
        <v>-24.390098809644201</v>
      </c>
      <c r="AT255">
        <f t="shared" si="209"/>
        <v>-172986.7224928189</v>
      </c>
      <c r="AU255">
        <f t="shared" si="210"/>
        <v>-99244.816226535288</v>
      </c>
      <c r="AV255">
        <f t="shared" si="198"/>
        <v>-2.620725757939097</v>
      </c>
      <c r="AW255">
        <f t="shared" si="199"/>
        <v>-2598.2929918098048</v>
      </c>
      <c r="AX255">
        <f t="shared" si="200"/>
        <v>-15885.166493347642</v>
      </c>
      <c r="AY255">
        <f t="shared" si="208"/>
        <v>-1.7329278478170278</v>
      </c>
      <c r="BA255">
        <f t="shared" si="184"/>
        <v>12.390084860946029</v>
      </c>
      <c r="BB255">
        <f t="shared" si="201"/>
        <v>21.861485618262797</v>
      </c>
      <c r="BC255">
        <f t="shared" si="202"/>
        <v>-0.88779791012206921</v>
      </c>
      <c r="BD255">
        <f t="shared" si="185"/>
        <v>-230.86707336865345</v>
      </c>
      <c r="BF255">
        <f t="shared" si="186"/>
        <v>-24.327723192357507</v>
      </c>
      <c r="BG255">
        <f t="shared" si="187"/>
        <v>-184.74741551506125</v>
      </c>
      <c r="BH255">
        <f t="shared" si="203"/>
        <v>-4.7474155150612489</v>
      </c>
      <c r="BI255">
        <f t="shared" si="204"/>
        <v>-4.7474155150612489</v>
      </c>
      <c r="BJ255">
        <f t="shared" si="188"/>
        <v>0</v>
      </c>
      <c r="BK255">
        <f t="shared" si="205"/>
        <v>0</v>
      </c>
      <c r="BM255">
        <f t="shared" si="206"/>
        <v>-46.189208810620308</v>
      </c>
      <c r="BN255">
        <f t="shared" si="189"/>
        <v>-133.8803421464078</v>
      </c>
      <c r="BQ255" s="47">
        <f t="shared" si="207"/>
        <v>38.763446418547936</v>
      </c>
      <c r="BR255" s="529"/>
      <c r="BS255" s="529"/>
      <c r="BT255" s="529">
        <v>28183.829000000002</v>
      </c>
      <c r="BU255" s="529">
        <v>-2.6523400000000001</v>
      </c>
      <c r="BV255" s="529">
        <v>-157.06299999999999</v>
      </c>
      <c r="BY255" s="529"/>
      <c r="BZ255" s="529"/>
      <c r="CA255" s="529"/>
      <c r="CC255" s="529"/>
    </row>
    <row r="256" spans="1:81">
      <c r="A256">
        <f t="shared" si="211"/>
        <v>210000</v>
      </c>
      <c r="B256">
        <f t="shared" si="191"/>
        <v>210</v>
      </c>
      <c r="C256">
        <f t="shared" si="159"/>
        <v>1.4540422469512284</v>
      </c>
      <c r="D256">
        <f t="shared" si="160"/>
        <v>0.81242787125276683</v>
      </c>
      <c r="F256">
        <f t="shared" si="161"/>
        <v>2.1696437403771868E-4</v>
      </c>
      <c r="G256">
        <f t="shared" si="162"/>
        <v>4.4414780371398324E-3</v>
      </c>
      <c r="H256">
        <f t="shared" si="163"/>
        <v>-3.1371511719628602</v>
      </c>
      <c r="J256">
        <f t="shared" si="164"/>
        <v>15</v>
      </c>
      <c r="M256">
        <f t="shared" si="165"/>
        <v>7.1713181808855473E-3</v>
      </c>
      <c r="N256">
        <f t="shared" si="166"/>
        <v>-1.5707963250000001</v>
      </c>
      <c r="O256">
        <f t="shared" si="167"/>
        <v>102.3297004867559</v>
      </c>
      <c r="P256">
        <f t="shared" si="168"/>
        <v>1.5610238373578564</v>
      </c>
      <c r="Q256">
        <f t="shared" si="169"/>
        <v>79.864741745631363</v>
      </c>
      <c r="R256">
        <f t="shared" si="170"/>
        <v>1.558274829699495</v>
      </c>
      <c r="S256">
        <f t="shared" si="171"/>
        <v>0.66410959247279988</v>
      </c>
      <c r="T256">
        <f t="shared" si="172"/>
        <v>-0.84449410487889265</v>
      </c>
      <c r="U256">
        <f t="shared" si="173"/>
        <v>0.49515132028341613</v>
      </c>
      <c r="V256">
        <f t="shared" si="174"/>
        <v>-1.052787333561525</v>
      </c>
      <c r="X256">
        <f t="shared" si="192"/>
        <v>-20.800196138440189</v>
      </c>
      <c r="Y256">
        <f t="shared" si="175"/>
        <v>-153.18040404658086</v>
      </c>
      <c r="Z256">
        <f t="shared" si="193"/>
        <v>26.819595953419139</v>
      </c>
      <c r="AC256">
        <v>1</v>
      </c>
      <c r="AD256">
        <f t="shared" si="176"/>
        <v>102.32481420315</v>
      </c>
      <c r="AE256">
        <f t="shared" si="177"/>
        <v>-1.1071181732303701E-2</v>
      </c>
      <c r="AF256">
        <f t="shared" si="178"/>
        <v>6.3097003419660012E-3</v>
      </c>
      <c r="AG256">
        <f t="shared" si="194"/>
        <v>3907.8366291287489</v>
      </c>
      <c r="AH256">
        <f t="shared" si="195"/>
        <v>-7015.2886987094871</v>
      </c>
      <c r="AJ256">
        <f t="shared" si="179"/>
        <v>22100</v>
      </c>
      <c r="AK256">
        <f t="shared" si="180"/>
        <v>24879.53637223236</v>
      </c>
      <c r="AL256">
        <v>1</v>
      </c>
      <c r="AM256">
        <f t="shared" si="181"/>
        <v>79.858480915281604</v>
      </c>
      <c r="AN256">
        <f t="shared" si="196"/>
        <v>314.96131205816232</v>
      </c>
      <c r="AO256">
        <f t="shared" si="197"/>
        <v>-272.79555581645286</v>
      </c>
      <c r="AQ256">
        <f t="shared" si="182"/>
        <v>5.6689021037295707E-2</v>
      </c>
      <c r="AR256">
        <f t="shared" si="183"/>
        <v>-23.809388835664198</v>
      </c>
      <c r="AT256">
        <f t="shared" si="209"/>
        <v>-166808.20498913591</v>
      </c>
      <c r="AU256">
        <f t="shared" si="210"/>
        <v>-93440.891657801491</v>
      </c>
      <c r="AV256">
        <f t="shared" si="198"/>
        <v>-2.6309752019116486</v>
      </c>
      <c r="AW256">
        <f t="shared" si="199"/>
        <v>-2416.6753273583136</v>
      </c>
      <c r="AX256">
        <f t="shared" si="200"/>
        <v>-15580.721822252119</v>
      </c>
      <c r="AY256">
        <f t="shared" si="208"/>
        <v>-1.7246768834451969</v>
      </c>
      <c r="BA256">
        <f t="shared" si="184"/>
        <v>12.126361604915465</v>
      </c>
      <c r="BB256">
        <f t="shared" si="201"/>
        <v>21.674610292786642</v>
      </c>
      <c r="BC256">
        <f t="shared" si="202"/>
        <v>-0.9062983184664517</v>
      </c>
      <c r="BD256">
        <f t="shared" si="185"/>
        <v>-231.9270686872664</v>
      </c>
      <c r="BF256">
        <f t="shared" si="186"/>
        <v>-24.824255470442292</v>
      </c>
      <c r="BG256">
        <f t="shared" si="187"/>
        <v>-185.12390250587643</v>
      </c>
      <c r="BH256">
        <f t="shared" si="203"/>
        <v>-5.1239025058764298</v>
      </c>
      <c r="BI256">
        <f t="shared" si="204"/>
        <v>-5.1239025058764298</v>
      </c>
      <c r="BJ256">
        <f t="shared" si="188"/>
        <v>0</v>
      </c>
      <c r="BK256">
        <f t="shared" si="205"/>
        <v>0</v>
      </c>
      <c r="BM256">
        <f t="shared" si="206"/>
        <v>-46.498865763228928</v>
      </c>
      <c r="BN256">
        <f t="shared" si="189"/>
        <v>-133.19683381861006</v>
      </c>
      <c r="BQ256" s="47">
        <f t="shared" si="207"/>
        <v>38.576571093071777</v>
      </c>
      <c r="BR256" s="529"/>
      <c r="BS256" s="529"/>
      <c r="BT256" s="529">
        <v>28840.314999999999</v>
      </c>
      <c r="BU256" s="529">
        <v>-2.5506799999999998</v>
      </c>
      <c r="BV256" s="529">
        <v>-156.01</v>
      </c>
      <c r="BY256" s="529"/>
      <c r="BZ256" s="529"/>
      <c r="CA256" s="529"/>
      <c r="CC256" s="529"/>
    </row>
    <row r="257" spans="1:81">
      <c r="A257">
        <f t="shared" si="211"/>
        <v>215000</v>
      </c>
      <c r="B257">
        <f t="shared" si="191"/>
        <v>215</v>
      </c>
      <c r="C257">
        <f t="shared" si="159"/>
        <v>1.4723890463251219</v>
      </c>
      <c r="D257">
        <f t="shared" si="160"/>
        <v>0.82416738832539671</v>
      </c>
      <c r="F257">
        <f t="shared" si="161"/>
        <v>2.0698834147602266E-4</v>
      </c>
      <c r="G257">
        <f t="shared" si="162"/>
        <v>4.3381451140955523E-3</v>
      </c>
      <c r="H257">
        <f t="shared" si="163"/>
        <v>-3.1372545048859046</v>
      </c>
      <c r="J257">
        <f t="shared" si="164"/>
        <v>15</v>
      </c>
      <c r="M257">
        <f t="shared" si="165"/>
        <v>7.0045433394696054E-3</v>
      </c>
      <c r="N257">
        <f t="shared" si="166"/>
        <v>-1.5707963250000001</v>
      </c>
      <c r="O257">
        <f t="shared" si="167"/>
        <v>104.76589195756674</v>
      </c>
      <c r="P257">
        <f t="shared" si="168"/>
        <v>1.561251090585557</v>
      </c>
      <c r="Q257">
        <f t="shared" si="169"/>
        <v>81.765988558689386</v>
      </c>
      <c r="R257">
        <f t="shared" si="170"/>
        <v>1.5585659979231963</v>
      </c>
      <c r="S257">
        <f t="shared" si="171"/>
        <v>0.65534275084671745</v>
      </c>
      <c r="T257">
        <f t="shared" si="172"/>
        <v>-0.85616002028500182</v>
      </c>
      <c r="U257">
        <f t="shared" si="173"/>
        <v>0.48638493405092043</v>
      </c>
      <c r="V257">
        <f t="shared" si="174"/>
        <v>-1.0628488012751467</v>
      </c>
      <c r="X257">
        <f t="shared" si="192"/>
        <v>-21.166384622402653</v>
      </c>
      <c r="Y257">
        <f t="shared" si="175"/>
        <v>-153.72888379724932</v>
      </c>
      <c r="Z257">
        <f t="shared" si="193"/>
        <v>26.271116202750676</v>
      </c>
      <c r="AC257">
        <v>1</v>
      </c>
      <c r="AD257">
        <f t="shared" si="176"/>
        <v>104.761119303225</v>
      </c>
      <c r="AE257">
        <f t="shared" si="177"/>
        <v>-1.1604657042533752E-2</v>
      </c>
      <c r="AF257">
        <f t="shared" si="178"/>
        <v>6.4599313024890012E-3</v>
      </c>
      <c r="AG257">
        <f t="shared" si="194"/>
        <v>3770.689265684392</v>
      </c>
      <c r="AH257">
        <f t="shared" si="195"/>
        <v>-6928.4878811305289</v>
      </c>
      <c r="AJ257">
        <f t="shared" si="179"/>
        <v>22100</v>
      </c>
      <c r="AK257">
        <f t="shared" si="180"/>
        <v>25471.906285856941</v>
      </c>
      <c r="AL257">
        <v>1</v>
      </c>
      <c r="AM257">
        <f t="shared" si="181"/>
        <v>81.759873318026408</v>
      </c>
      <c r="AN257">
        <f t="shared" si="196"/>
        <v>314.80429989501152</v>
      </c>
      <c r="AO257">
        <f t="shared" si="197"/>
        <v>-266.45339352919217</v>
      </c>
      <c r="AQ257">
        <f t="shared" si="182"/>
        <v>5.4082995765301428E-2</v>
      </c>
      <c r="AR257">
        <f t="shared" si="183"/>
        <v>-23.255688179079616</v>
      </c>
      <c r="AT257">
        <f t="shared" si="209"/>
        <v>-160922.82354451533</v>
      </c>
      <c r="AU257">
        <f t="shared" si="210"/>
        <v>-88064.687163694034</v>
      </c>
      <c r="AV257">
        <f t="shared" si="198"/>
        <v>-2.6408647870765232</v>
      </c>
      <c r="AW257">
        <f t="shared" si="199"/>
        <v>-2250.6090422838029</v>
      </c>
      <c r="AX257">
        <f t="shared" si="200"/>
        <v>-15287.157500040958</v>
      </c>
      <c r="AY257">
        <f t="shared" si="208"/>
        <v>-1.7169685041182339</v>
      </c>
      <c r="BA257">
        <f t="shared" si="184"/>
        <v>11.871880278172101</v>
      </c>
      <c r="BB257">
        <f t="shared" si="201"/>
        <v>21.490390166395485</v>
      </c>
      <c r="BC257">
        <f t="shared" si="202"/>
        <v>-0.92389628295828929</v>
      </c>
      <c r="BD257">
        <f t="shared" si="185"/>
        <v>-232.93535778182192</v>
      </c>
      <c r="BF257">
        <f t="shared" si="186"/>
        <v>-25.308415400328542</v>
      </c>
      <c r="BG257">
        <f t="shared" si="187"/>
        <v>-185.46548735826187</v>
      </c>
      <c r="BH257">
        <f t="shared" si="203"/>
        <v>-5.4654873582618677</v>
      </c>
      <c r="BI257">
        <f t="shared" si="204"/>
        <v>-5.4654873582618677</v>
      </c>
      <c r="BJ257">
        <f t="shared" si="188"/>
        <v>0</v>
      </c>
      <c r="BK257">
        <f t="shared" si="205"/>
        <v>0</v>
      </c>
      <c r="BM257">
        <f t="shared" si="206"/>
        <v>-46.798805566724027</v>
      </c>
      <c r="BN257">
        <f t="shared" si="189"/>
        <v>-132.53012957643995</v>
      </c>
      <c r="BQ257" s="47">
        <f t="shared" si="207"/>
        <v>38.392350966680624</v>
      </c>
      <c r="BR257" s="529"/>
      <c r="BS257" s="529"/>
      <c r="BT257" s="529">
        <v>29512.092000000001</v>
      </c>
      <c r="BU257" s="529">
        <v>-2.44991</v>
      </c>
      <c r="BV257" s="529">
        <v>-155.03200000000001</v>
      </c>
      <c r="BY257" s="529"/>
      <c r="BZ257" s="529"/>
      <c r="CA257" s="529"/>
      <c r="CC257" s="529"/>
    </row>
    <row r="258" spans="1:81">
      <c r="A258">
        <f t="shared" si="211"/>
        <v>220000</v>
      </c>
      <c r="B258">
        <f t="shared" si="191"/>
        <v>220</v>
      </c>
      <c r="C258">
        <f t="shared" si="159"/>
        <v>1.4909337547047083</v>
      </c>
      <c r="D258">
        <f t="shared" si="160"/>
        <v>0.83561641117054353</v>
      </c>
      <c r="F258">
        <f t="shared" si="161"/>
        <v>1.9768490768029586E-4</v>
      </c>
      <c r="G258">
        <f t="shared" si="162"/>
        <v>4.2395119579353088E-3</v>
      </c>
      <c r="H258">
        <f t="shared" si="163"/>
        <v>-3.1373531380420649</v>
      </c>
      <c r="J258">
        <f t="shared" si="164"/>
        <v>15</v>
      </c>
      <c r="M258">
        <f t="shared" si="165"/>
        <v>6.845349172663477E-3</v>
      </c>
      <c r="N258">
        <f t="shared" si="166"/>
        <v>-1.5707963250000001</v>
      </c>
      <c r="O258">
        <f t="shared" si="167"/>
        <v>107.20208859299908</v>
      </c>
      <c r="P258">
        <f t="shared" si="168"/>
        <v>1.5614680150411593</v>
      </c>
      <c r="Q258">
        <f t="shared" si="169"/>
        <v>83.667241988734659</v>
      </c>
      <c r="R258">
        <f t="shared" si="170"/>
        <v>1.5588439331629451</v>
      </c>
      <c r="S258">
        <f t="shared" si="171"/>
        <v>0.64671975627114076</v>
      </c>
      <c r="T258">
        <f t="shared" si="172"/>
        <v>-0.86752044815484386</v>
      </c>
      <c r="U258">
        <f t="shared" si="173"/>
        <v>0.47787767708598694</v>
      </c>
      <c r="V258">
        <f t="shared" si="174"/>
        <v>-1.0725592575750735</v>
      </c>
      <c r="X258">
        <f t="shared" si="192"/>
        <v>-21.525794033140997</v>
      </c>
      <c r="Y258">
        <f t="shared" si="175"/>
        <v>-154.25747373438759</v>
      </c>
      <c r="Z258">
        <f t="shared" si="193"/>
        <v>25.742526265612412</v>
      </c>
      <c r="AC258">
        <v>1</v>
      </c>
      <c r="AD258">
        <f t="shared" si="176"/>
        <v>107.1974244033</v>
      </c>
      <c r="AE258">
        <f t="shared" si="177"/>
        <v>-1.2150684713004515E-2</v>
      </c>
      <c r="AF258">
        <f t="shared" si="178"/>
        <v>6.6101622630120004E-3</v>
      </c>
      <c r="AG258">
        <f t="shared" si="194"/>
        <v>3639.9381524907826</v>
      </c>
      <c r="AH258">
        <f t="shared" si="195"/>
        <v>-6842.1528952215285</v>
      </c>
      <c r="AJ258">
        <f t="shared" si="179"/>
        <v>22100</v>
      </c>
      <c r="AK258">
        <f t="shared" si="180"/>
        <v>26064.276199481519</v>
      </c>
      <c r="AL258">
        <v>1</v>
      </c>
      <c r="AM258">
        <f t="shared" si="181"/>
        <v>83.661265720771198</v>
      </c>
      <c r="AN258">
        <f t="shared" si="196"/>
        <v>314.65786893796462</v>
      </c>
      <c r="AO258">
        <f t="shared" si="197"/>
        <v>-260.39938486913462</v>
      </c>
      <c r="AQ258">
        <f t="shared" si="182"/>
        <v>5.1652625761230572E-2</v>
      </c>
      <c r="AR258">
        <f t="shared" si="183"/>
        <v>-22.72715533494145</v>
      </c>
      <c r="AT258">
        <f t="shared" si="209"/>
        <v>-155314.65931193443</v>
      </c>
      <c r="AU258">
        <f t="shared" si="210"/>
        <v>-83078.854964135826</v>
      </c>
      <c r="AV258">
        <f t="shared" si="198"/>
        <v>-2.6504111727640662</v>
      </c>
      <c r="AW258">
        <f t="shared" si="199"/>
        <v>-2098.4591759785799</v>
      </c>
      <c r="AX258">
        <f t="shared" si="200"/>
        <v>-15003.89027987326</v>
      </c>
      <c r="AY258">
        <f t="shared" si="208"/>
        <v>-1.7097559427732474</v>
      </c>
      <c r="BA258">
        <f t="shared" si="184"/>
        <v>11.62635457532617</v>
      </c>
      <c r="BB258">
        <f t="shared" si="201"/>
        <v>21.308871274797529</v>
      </c>
      <c r="BC258">
        <f t="shared" si="202"/>
        <v>-0.94065522999081885</v>
      </c>
      <c r="BD258">
        <f t="shared" si="185"/>
        <v>-233.89557471696637</v>
      </c>
      <c r="BF258">
        <f t="shared" si="186"/>
        <v>-25.780666314175544</v>
      </c>
      <c r="BG258">
        <f t="shared" si="187"/>
        <v>-185.77537486765547</v>
      </c>
      <c r="BH258">
        <f t="shared" si="203"/>
        <v>-5.7753748676554721</v>
      </c>
      <c r="BI258">
        <f t="shared" si="204"/>
        <v>-5.7753748676554721</v>
      </c>
      <c r="BJ258">
        <f t="shared" si="188"/>
        <v>0</v>
      </c>
      <c r="BK258">
        <f t="shared" si="205"/>
        <v>0</v>
      </c>
      <c r="BM258">
        <f t="shared" si="206"/>
        <v>-47.089537588973073</v>
      </c>
      <c r="BN258">
        <f t="shared" si="189"/>
        <v>-131.87980015068911</v>
      </c>
      <c r="BQ258" s="47">
        <f t="shared" si="207"/>
        <v>38.210832075082671</v>
      </c>
      <c r="BR258" s="529"/>
      <c r="BS258" s="529"/>
      <c r="BT258" s="529">
        <v>30199.517</v>
      </c>
      <c r="BU258" s="529">
        <v>-2.3553299999999999</v>
      </c>
      <c r="BV258" s="529">
        <v>-154.00200000000001</v>
      </c>
      <c r="BY258" s="529"/>
      <c r="BZ258" s="529"/>
      <c r="CA258" s="529"/>
      <c r="CC258" s="529"/>
    </row>
    <row r="259" spans="1:81">
      <c r="A259">
        <f t="shared" si="211"/>
        <v>225000</v>
      </c>
      <c r="B259">
        <f t="shared" si="191"/>
        <v>225</v>
      </c>
      <c r="C259">
        <f t="shared" si="159"/>
        <v>1.5096690787911133</v>
      </c>
      <c r="D259">
        <f t="shared" si="160"/>
        <v>0.84678269794170058</v>
      </c>
      <c r="F259">
        <f t="shared" si="161"/>
        <v>1.8899493700565915E-4</v>
      </c>
      <c r="G259">
        <f t="shared" si="162"/>
        <v>4.1452650087980833E-3</v>
      </c>
      <c r="H259">
        <f t="shared" si="163"/>
        <v>-3.1374473849912019</v>
      </c>
      <c r="J259">
        <f t="shared" si="164"/>
        <v>15</v>
      </c>
      <c r="M259">
        <f t="shared" si="165"/>
        <v>6.6932303021598446E-3</v>
      </c>
      <c r="N259">
        <f t="shared" si="166"/>
        <v>-1.5707963250000001</v>
      </c>
      <c r="O259">
        <f t="shared" si="167"/>
        <v>109.63829004877448</v>
      </c>
      <c r="P259">
        <f t="shared" si="168"/>
        <v>1.5616752992304055</v>
      </c>
      <c r="Q259">
        <f t="shared" si="169"/>
        <v>85.568501594697082</v>
      </c>
      <c r="R259">
        <f t="shared" si="170"/>
        <v>1.5591095174513736</v>
      </c>
      <c r="S259">
        <f t="shared" si="171"/>
        <v>0.63824155345191202</v>
      </c>
      <c r="T259">
        <f t="shared" si="172"/>
        <v>-0.87858441290964817</v>
      </c>
      <c r="U259">
        <f t="shared" si="173"/>
        <v>0.46962087941737202</v>
      </c>
      <c r="V259">
        <f t="shared" si="174"/>
        <v>-1.0819350170870059</v>
      </c>
      <c r="X259">
        <f t="shared" si="192"/>
        <v>-21.878647768878263</v>
      </c>
      <c r="Y259">
        <f t="shared" si="175"/>
        <v>-154.76710914942703</v>
      </c>
      <c r="Z259">
        <f t="shared" si="193"/>
        <v>25.232890850572971</v>
      </c>
      <c r="AC259">
        <v>1</v>
      </c>
      <c r="AD259">
        <f t="shared" si="176"/>
        <v>109.63372950337501</v>
      </c>
      <c r="AE259">
        <f t="shared" si="177"/>
        <v>-1.2709264743715983E-2</v>
      </c>
      <c r="AF259">
        <f t="shared" si="178"/>
        <v>6.7603932235350004E-3</v>
      </c>
      <c r="AG259">
        <f t="shared" si="194"/>
        <v>3515.2426711647513</v>
      </c>
      <c r="AH259">
        <f t="shared" si="195"/>
        <v>-6756.4338694423132</v>
      </c>
      <c r="AJ259">
        <f t="shared" si="179"/>
        <v>22100</v>
      </c>
      <c r="AK259">
        <f t="shared" si="180"/>
        <v>26656.646113106104</v>
      </c>
      <c r="AL259">
        <v>1</v>
      </c>
      <c r="AM259">
        <f t="shared" si="181"/>
        <v>85.562658123516002</v>
      </c>
      <c r="AN259">
        <f t="shared" si="196"/>
        <v>314.52108938363176</v>
      </c>
      <c r="AO259">
        <f t="shared" si="197"/>
        <v>-254.61433046139618</v>
      </c>
      <c r="AQ259">
        <f t="shared" si="182"/>
        <v>4.9382472185322539E-2</v>
      </c>
      <c r="AR259">
        <f t="shared" si="183"/>
        <v>-22.222112483395144</v>
      </c>
      <c r="AT259">
        <f t="shared" si="209"/>
        <v>-149968.64205993433</v>
      </c>
      <c r="AU259">
        <f t="shared" si="210"/>
        <v>-78449.767452683212</v>
      </c>
      <c r="AV259">
        <f t="shared" si="198"/>
        <v>-2.6596301528821393</v>
      </c>
      <c r="AW259">
        <f t="shared" si="199"/>
        <v>-1958.7908643832291</v>
      </c>
      <c r="AX259">
        <f t="shared" si="200"/>
        <v>-14730.382654008628</v>
      </c>
      <c r="AY259">
        <f t="shared" si="208"/>
        <v>-1.7029969844814083</v>
      </c>
      <c r="BA259">
        <f t="shared" si="184"/>
        <v>11.389479750685704</v>
      </c>
      <c r="BB259">
        <f t="shared" si="201"/>
        <v>21.130077736074341</v>
      </c>
      <c r="BC259">
        <f t="shared" si="202"/>
        <v>-0.95663316840073098</v>
      </c>
      <c r="BD259">
        <f t="shared" si="185"/>
        <v>-234.81104315422039</v>
      </c>
      <c r="BF259">
        <f t="shared" si="186"/>
        <v>-26.241458485491677</v>
      </c>
      <c r="BG259">
        <f t="shared" si="187"/>
        <v>-186.05646215178206</v>
      </c>
      <c r="BH259">
        <f t="shared" si="203"/>
        <v>-6.0564621517820569</v>
      </c>
      <c r="BI259">
        <f t="shared" si="204"/>
        <v>-6.0564621517820569</v>
      </c>
      <c r="BJ259">
        <f t="shared" si="188"/>
        <v>0</v>
      </c>
      <c r="BK259">
        <f t="shared" si="205"/>
        <v>0</v>
      </c>
      <c r="BM259">
        <f t="shared" si="206"/>
        <v>-47.371536221566018</v>
      </c>
      <c r="BN259">
        <f t="shared" si="189"/>
        <v>-131.2454189975617</v>
      </c>
      <c r="BQ259" s="47">
        <f t="shared" si="207"/>
        <v>38.03203853635948</v>
      </c>
      <c r="BR259" s="529"/>
      <c r="BS259" s="529"/>
      <c r="BT259" s="529">
        <v>30902.954000000002</v>
      </c>
      <c r="BU259" s="529">
        <v>-2.2543500000000001</v>
      </c>
      <c r="BV259" s="529">
        <v>-152.994</v>
      </c>
      <c r="BY259" s="529"/>
      <c r="BZ259" s="529"/>
      <c r="CA259" s="529"/>
      <c r="CC259" s="529"/>
    </row>
    <row r="260" spans="1:81">
      <c r="A260">
        <f t="shared" si="211"/>
        <v>230000</v>
      </c>
      <c r="B260">
        <f t="shared" si="191"/>
        <v>230</v>
      </c>
      <c r="C260">
        <f t="shared" si="159"/>
        <v>1.5285880096869109</v>
      </c>
      <c r="D260">
        <f t="shared" si="160"/>
        <v>0.8576739105646306</v>
      </c>
      <c r="F260">
        <f t="shared" si="161"/>
        <v>1.8086565323823257E-4</v>
      </c>
      <c r="G260">
        <f t="shared" si="162"/>
        <v>4.0551179983636691E-3</v>
      </c>
      <c r="H260">
        <f t="shared" si="163"/>
        <v>-3.1375375320016365</v>
      </c>
      <c r="J260">
        <f t="shared" si="164"/>
        <v>15</v>
      </c>
      <c r="M260">
        <f t="shared" si="165"/>
        <v>6.547725295591153E-3</v>
      </c>
      <c r="N260">
        <f t="shared" si="166"/>
        <v>-1.5707963250000001</v>
      </c>
      <c r="O260">
        <f t="shared" si="167"/>
        <v>112.07449601054864</v>
      </c>
      <c r="P260">
        <f t="shared" si="168"/>
        <v>1.5618735717972869</v>
      </c>
      <c r="Q260">
        <f t="shared" si="169"/>
        <v>87.469766973853893</v>
      </c>
      <c r="R260">
        <f t="shared" si="170"/>
        <v>1.5593635561401102</v>
      </c>
      <c r="S260">
        <f t="shared" si="171"/>
        <v>0.62990862966269523</v>
      </c>
      <c r="T260">
        <f t="shared" si="172"/>
        <v>-0.88936076466536607</v>
      </c>
      <c r="U260">
        <f t="shared" si="173"/>
        <v>0.46160602713058607</v>
      </c>
      <c r="V260">
        <f t="shared" si="174"/>
        <v>-1.0909915247719504</v>
      </c>
      <c r="X260">
        <f t="shared" si="192"/>
        <v>-22.225158948290122</v>
      </c>
      <c r="Y260">
        <f t="shared" si="175"/>
        <v>-155.25867729180183</v>
      </c>
      <c r="Z260">
        <f t="shared" si="193"/>
        <v>24.741322708198169</v>
      </c>
      <c r="AC260">
        <v>1</v>
      </c>
      <c r="AD260">
        <f t="shared" si="176"/>
        <v>112.07003460345001</v>
      </c>
      <c r="AE260">
        <f t="shared" si="177"/>
        <v>-1.328039713466816E-2</v>
      </c>
      <c r="AF260">
        <f t="shared" si="178"/>
        <v>6.9106241840580004E-3</v>
      </c>
      <c r="AG260">
        <f t="shared" si="194"/>
        <v>3396.2797677349104</v>
      </c>
      <c r="AH260">
        <f t="shared" si="195"/>
        <v>-6671.4587377381258</v>
      </c>
      <c r="AJ260">
        <f t="shared" si="179"/>
        <v>22100</v>
      </c>
      <c r="AK260">
        <f t="shared" si="180"/>
        <v>27249.016026730682</v>
      </c>
      <c r="AL260">
        <v>1</v>
      </c>
      <c r="AM260">
        <f t="shared" si="181"/>
        <v>87.464050526260806</v>
      </c>
      <c r="AN260">
        <f t="shared" si="196"/>
        <v>314.39313135599542</v>
      </c>
      <c r="AO260">
        <f t="shared" si="197"/>
        <v>-249.08069929945611</v>
      </c>
      <c r="AQ260">
        <f t="shared" si="182"/>
        <v>4.7258755865993068E-2</v>
      </c>
      <c r="AR260">
        <f t="shared" si="183"/>
        <v>-21.739027698356814</v>
      </c>
      <c r="AT260">
        <f t="shared" si="209"/>
        <v>-144870.52233173771</v>
      </c>
      <c r="AU260">
        <f t="shared" si="210"/>
        <v>-74147.104781914881</v>
      </c>
      <c r="AV260">
        <f t="shared" si="198"/>
        <v>-2.6685366969455324</v>
      </c>
      <c r="AW260">
        <f t="shared" si="199"/>
        <v>-1830.3416760903099</v>
      </c>
      <c r="AX260">
        <f t="shared" si="200"/>
        <v>-14466.137683024497</v>
      </c>
      <c r="AY260">
        <f t="shared" si="208"/>
        <v>-1.6966535026054375</v>
      </c>
      <c r="BA260">
        <f t="shared" si="184"/>
        <v>11.160940678148471</v>
      </c>
      <c r="BB260">
        <f t="shared" si="201"/>
        <v>20.954015996175485</v>
      </c>
      <c r="BC260">
        <f t="shared" si="202"/>
        <v>-0.97188319434009496</v>
      </c>
      <c r="BD260">
        <f t="shared" si="185"/>
        <v>-235.68480527900937</v>
      </c>
      <c r="BF260">
        <f t="shared" si="186"/>
        <v>-26.691227824592005</v>
      </c>
      <c r="BG260">
        <f t="shared" si="187"/>
        <v>-186.31136880202405</v>
      </c>
      <c r="BH260">
        <f t="shared" si="203"/>
        <v>-6.3113688020240488</v>
      </c>
      <c r="BI260">
        <f t="shared" si="204"/>
        <v>-6.3113688020240488</v>
      </c>
      <c r="BJ260">
        <f t="shared" si="188"/>
        <v>0</v>
      </c>
      <c r="BK260">
        <f t="shared" si="205"/>
        <v>0</v>
      </c>
      <c r="BM260">
        <f t="shared" si="206"/>
        <v>-47.64524382076749</v>
      </c>
      <c r="BN260">
        <f t="shared" si="189"/>
        <v>-130.62656352301471</v>
      </c>
      <c r="BQ260" s="47">
        <f t="shared" si="207"/>
        <v>37.855976796460617</v>
      </c>
      <c r="BR260" s="529"/>
      <c r="BS260" s="529"/>
      <c r="BT260" s="529">
        <v>31622.776999999998</v>
      </c>
      <c r="BU260" s="529">
        <v>-2.1282199999999998</v>
      </c>
      <c r="BV260" s="529">
        <v>-152.041</v>
      </c>
      <c r="BY260" s="529"/>
      <c r="BZ260" s="529"/>
      <c r="CA260" s="529"/>
      <c r="CC260" s="529"/>
    </row>
    <row r="261" spans="1:81">
      <c r="A261">
        <f t="shared" si="211"/>
        <v>235000</v>
      </c>
      <c r="B261">
        <f t="shared" si="191"/>
        <v>235</v>
      </c>
      <c r="C261">
        <f t="shared" si="159"/>
        <v>1.5476838141621907</v>
      </c>
      <c r="D261">
        <f t="shared" si="160"/>
        <v>0.86829759933362494</v>
      </c>
      <c r="F261">
        <f t="shared" si="161"/>
        <v>1.7324983619021369E-4</v>
      </c>
      <c r="G261">
        <f t="shared" si="162"/>
        <v>3.9688090433485628E-3</v>
      </c>
      <c r="H261">
        <f t="shared" si="163"/>
        <v>-3.1376238409566515</v>
      </c>
      <c r="J261">
        <f t="shared" si="164"/>
        <v>15</v>
      </c>
      <c r="M261">
        <f t="shared" si="165"/>
        <v>6.4084119914296382E-3</v>
      </c>
      <c r="N261">
        <f t="shared" si="166"/>
        <v>-1.5707963250000001</v>
      </c>
      <c r="O261">
        <f t="shared" si="167"/>
        <v>114.51070619072729</v>
      </c>
      <c r="P261">
        <f t="shared" si="168"/>
        <v>1.5620634078912885</v>
      </c>
      <c r="Q261">
        <f t="shared" si="169"/>
        <v>89.371037757750997</v>
      </c>
      <c r="R261">
        <f t="shared" si="170"/>
        <v>1.5596067860551721</v>
      </c>
      <c r="S261">
        <f t="shared" si="171"/>
        <v>0.62172106377406655</v>
      </c>
      <c r="T261">
        <f t="shared" si="172"/>
        <v>-0.89985816680779684</v>
      </c>
      <c r="U261">
        <f t="shared" si="173"/>
        <v>0.45382478909786439</v>
      </c>
      <c r="V261">
        <f t="shared" si="174"/>
        <v>-1.0997434013473413</v>
      </c>
      <c r="X261">
        <f t="shared" si="192"/>
        <v>-22.565531067354652</v>
      </c>
      <c r="Y261">
        <f t="shared" si="175"/>
        <v>-155.73301947650876</v>
      </c>
      <c r="Z261">
        <f t="shared" si="193"/>
        <v>24.266980523491242</v>
      </c>
      <c r="AC261">
        <v>1</v>
      </c>
      <c r="AD261">
        <f t="shared" si="176"/>
        <v>114.50633970352501</v>
      </c>
      <c r="AE261">
        <f t="shared" si="177"/>
        <v>-1.3864081885861038E-2</v>
      </c>
      <c r="AF261">
        <f t="shared" si="178"/>
        <v>7.0608551445810012E-3</v>
      </c>
      <c r="AG261">
        <f t="shared" si="194"/>
        <v>3282.7434655457387</v>
      </c>
      <c r="AH261">
        <f t="shared" si="195"/>
        <v>-6587.3358487318819</v>
      </c>
      <c r="AJ261">
        <f t="shared" si="179"/>
        <v>22100</v>
      </c>
      <c r="AK261">
        <f t="shared" si="180"/>
        <v>27841.38594035526</v>
      </c>
      <c r="AL261">
        <v>1</v>
      </c>
      <c r="AM261">
        <f t="shared" si="181"/>
        <v>89.365442929005596</v>
      </c>
      <c r="AN261">
        <f t="shared" si="196"/>
        <v>314.27325229134965</v>
      </c>
      <c r="AO261">
        <f t="shared" si="197"/>
        <v>-243.78245140032305</v>
      </c>
      <c r="AQ261">
        <f t="shared" si="182"/>
        <v>4.526914771775592E-2</v>
      </c>
      <c r="AR261">
        <f t="shared" si="183"/>
        <v>-21.276499427345282</v>
      </c>
      <c r="AT261">
        <f t="shared" si="209"/>
        <v>-140006.84041441363</v>
      </c>
      <c r="AU261">
        <f t="shared" si="210"/>
        <v>-70143.492544408087</v>
      </c>
      <c r="AV261">
        <f t="shared" si="198"/>
        <v>-2.6771449906819615</v>
      </c>
      <c r="AW261">
        <f t="shared" si="199"/>
        <v>-1711.9981885938626</v>
      </c>
      <c r="AX261">
        <f t="shared" si="200"/>
        <v>-14210.694598602386</v>
      </c>
      <c r="AY261">
        <f t="shared" si="208"/>
        <v>-1.6906910390010155</v>
      </c>
      <c r="BA261">
        <f t="shared" si="184"/>
        <v>10.940418010867109</v>
      </c>
      <c r="BB261">
        <f t="shared" si="201"/>
        <v>20.780678316264115</v>
      </c>
      <c r="BC261">
        <f t="shared" si="202"/>
        <v>-0.98645395168094607</v>
      </c>
      <c r="BD261">
        <f t="shared" si="185"/>
        <v>-236.51964817990336</v>
      </c>
      <c r="BF261">
        <f t="shared" si="186"/>
        <v>-27.130395035153803</v>
      </c>
      <c r="BG261">
        <f t="shared" si="187"/>
        <v>-186.54246431176077</v>
      </c>
      <c r="BH261">
        <f t="shared" si="203"/>
        <v>-6.5424643117607673</v>
      </c>
      <c r="BI261">
        <f t="shared" si="204"/>
        <v>-6.5424643117607673</v>
      </c>
      <c r="BJ261">
        <f t="shared" si="188"/>
        <v>0</v>
      </c>
      <c r="BK261">
        <f t="shared" si="205"/>
        <v>0</v>
      </c>
      <c r="BM261">
        <f t="shared" si="206"/>
        <v>-47.911073351417919</v>
      </c>
      <c r="BN261">
        <f t="shared" si="189"/>
        <v>-130.02281613185744</v>
      </c>
      <c r="BQ261" s="47">
        <f t="shared" si="207"/>
        <v>37.682639116549254</v>
      </c>
      <c r="BR261" s="529"/>
      <c r="BS261" s="529"/>
      <c r="BT261" s="529">
        <v>32359.366000000002</v>
      </c>
      <c r="BU261" s="529">
        <v>-2.03586</v>
      </c>
      <c r="BV261" s="529">
        <v>-151.05000000000001</v>
      </c>
      <c r="BY261" s="529"/>
      <c r="BZ261" s="529"/>
      <c r="CA261" s="529"/>
      <c r="CC261" s="529"/>
    </row>
    <row r="262" spans="1:81">
      <c r="A262">
        <f t="shared" si="211"/>
        <v>240000</v>
      </c>
      <c r="B262">
        <f t="shared" si="191"/>
        <v>240</v>
      </c>
      <c r="C262">
        <f t="shared" si="159"/>
        <v>1.5669500257637807</v>
      </c>
      <c r="D262">
        <f t="shared" si="160"/>
        <v>0.87866118989457753</v>
      </c>
      <c r="F262">
        <f t="shared" si="161"/>
        <v>1.6610513426762523E-4</v>
      </c>
      <c r="G262">
        <f t="shared" si="162"/>
        <v>3.8860981027599049E-3</v>
      </c>
      <c r="H262">
        <f t="shared" si="163"/>
        <v>-3.1377065518972405</v>
      </c>
      <c r="J262">
        <f t="shared" si="164"/>
        <v>15</v>
      </c>
      <c r="M262">
        <f t="shared" si="165"/>
        <v>6.274903408274855E-3</v>
      </c>
      <c r="N262">
        <f t="shared" si="166"/>
        <v>-1.5707963250000001</v>
      </c>
      <c r="O262">
        <f t="shared" si="167"/>
        <v>116.94692032568005</v>
      </c>
      <c r="P262">
        <f t="shared" si="168"/>
        <v>1.5622453347388716</v>
      </c>
      <c r="Q262">
        <f t="shared" si="169"/>
        <v>91.272313608634036</v>
      </c>
      <c r="R262">
        <f t="shared" si="170"/>
        <v>1.5598398826332389</v>
      </c>
      <c r="S262">
        <f t="shared" si="171"/>
        <v>0.61367857145412197</v>
      </c>
      <c r="T262">
        <f t="shared" si="172"/>
        <v>-0.91008508612403183</v>
      </c>
      <c r="U262">
        <f t="shared" si="173"/>
        <v>0.44626903746852237</v>
      </c>
      <c r="V262">
        <f t="shared" si="174"/>
        <v>-1.108204487311425</v>
      </c>
      <c r="X262">
        <f t="shared" si="192"/>
        <v>-22.899958592660383</v>
      </c>
      <c r="Y262">
        <f t="shared" si="175"/>
        <v>-156.19093320449471</v>
      </c>
      <c r="Z262">
        <f t="shared" si="193"/>
        <v>23.809066795505288</v>
      </c>
      <c r="AC262">
        <v>1</v>
      </c>
      <c r="AD262">
        <f t="shared" si="176"/>
        <v>116.94264480360002</v>
      </c>
      <c r="AE262">
        <f t="shared" si="177"/>
        <v>-1.4460318997294627E-2</v>
      </c>
      <c r="AF262">
        <f t="shared" si="178"/>
        <v>7.2110861051040013E-3</v>
      </c>
      <c r="AG262">
        <f t="shared" si="194"/>
        <v>3174.34429151211</v>
      </c>
      <c r="AH262">
        <f t="shared" si="195"/>
        <v>-6504.1562919778617</v>
      </c>
      <c r="AJ262">
        <f t="shared" si="179"/>
        <v>22100</v>
      </c>
      <c r="AK262">
        <f t="shared" si="180"/>
        <v>28433.755853979841</v>
      </c>
      <c r="AL262">
        <v>1</v>
      </c>
      <c r="AM262">
        <f t="shared" si="181"/>
        <v>91.2668353317504</v>
      </c>
      <c r="AN262">
        <f t="shared" si="196"/>
        <v>314.16078614279479</v>
      </c>
      <c r="AO262">
        <f t="shared" si="197"/>
        <v>-238.70488260786919</v>
      </c>
      <c r="AQ262">
        <f t="shared" si="182"/>
        <v>4.3402589398483515E-2</v>
      </c>
      <c r="AR262">
        <f t="shared" si="183"/>
        <v>-20.833242911272087</v>
      </c>
      <c r="AT262">
        <f t="shared" si="209"/>
        <v>-135364.89320175961</v>
      </c>
      <c r="AU262">
        <f t="shared" si="210"/>
        <v>-66414.182934005948</v>
      </c>
      <c r="AV262">
        <f t="shared" si="198"/>
        <v>-2.6854684758430873</v>
      </c>
      <c r="AW262">
        <f t="shared" si="199"/>
        <v>-1602.7760931141031</v>
      </c>
      <c r="AX262">
        <f t="shared" si="200"/>
        <v>-13963.625042405416</v>
      </c>
      <c r="AY262">
        <f t="shared" si="208"/>
        <v>-1.68507842575003</v>
      </c>
      <c r="BA262">
        <f t="shared" si="184"/>
        <v>10.727592842551543</v>
      </c>
      <c r="BB262">
        <f t="shared" si="201"/>
        <v>20.610045636936583</v>
      </c>
      <c r="BC262">
        <f t="shared" si="202"/>
        <v>-1.0003900500930574</v>
      </c>
      <c r="BD262">
        <f t="shared" si="185"/>
        <v>-237.31812780270872</v>
      </c>
      <c r="BF262">
        <f t="shared" si="186"/>
        <v>-27.559365132636216</v>
      </c>
      <c r="BG262">
        <f t="shared" si="187"/>
        <v>-186.75189292196413</v>
      </c>
      <c r="BH262">
        <f t="shared" si="203"/>
        <v>-6.7518929219641279</v>
      </c>
      <c r="BI262">
        <f t="shared" si="204"/>
        <v>-6.7518929219641279</v>
      </c>
      <c r="BJ262">
        <f t="shared" si="188"/>
        <v>0</v>
      </c>
      <c r="BK262">
        <f t="shared" si="205"/>
        <v>0</v>
      </c>
      <c r="BM262">
        <f t="shared" si="206"/>
        <v>-48.169410769572806</v>
      </c>
      <c r="BN262">
        <f t="shared" si="189"/>
        <v>-129.43376511925547</v>
      </c>
      <c r="BQ262" s="47">
        <f t="shared" si="207"/>
        <v>37.512006437221721</v>
      </c>
      <c r="BR262" s="529"/>
      <c r="BS262" s="529"/>
      <c r="BT262" s="529">
        <v>33113.112000000001</v>
      </c>
      <c r="BU262" s="529">
        <v>-1.91717</v>
      </c>
      <c r="BV262" s="529">
        <v>-150.17400000000001</v>
      </c>
      <c r="BY262" s="529"/>
      <c r="BZ262" s="529"/>
      <c r="CA262" s="529"/>
      <c r="CC262" s="529"/>
    </row>
    <row r="263" spans="1:81">
      <c r="A263">
        <f t="shared" si="211"/>
        <v>245000</v>
      </c>
      <c r="B263">
        <f t="shared" si="191"/>
        <v>245</v>
      </c>
      <c r="C263">
        <f t="shared" si="159"/>
        <v>1.5863804358422515</v>
      </c>
      <c r="D263">
        <f t="shared" si="160"/>
        <v>0.88877197238298933</v>
      </c>
      <c r="F263">
        <f t="shared" si="161"/>
        <v>1.5939347426462063E-4</v>
      </c>
      <c r="G263">
        <f t="shared" si="162"/>
        <v>3.8067647468715744E-3</v>
      </c>
      <c r="H263">
        <f t="shared" si="163"/>
        <v>-3.1377858852531286</v>
      </c>
      <c r="J263">
        <f t="shared" si="164"/>
        <v>15</v>
      </c>
      <c r="M263">
        <f t="shared" si="165"/>
        <v>6.1468441550447551E-3</v>
      </c>
      <c r="N263">
        <f t="shared" si="166"/>
        <v>-1.5707963250000001</v>
      </c>
      <c r="O263">
        <f t="shared" si="167"/>
        <v>119.38313817329544</v>
      </c>
      <c r="P263">
        <f t="shared" si="168"/>
        <v>1.562419836532855</v>
      </c>
      <c r="Q263">
        <f t="shared" si="169"/>
        <v>93.173594216316232</v>
      </c>
      <c r="R263">
        <f t="shared" si="170"/>
        <v>1.5600634661843484</v>
      </c>
      <c r="S263">
        <f t="shared" si="171"/>
        <v>0.60578054670967918</v>
      </c>
      <c r="T263">
        <f t="shared" si="172"/>
        <v>-0.92004978519653546</v>
      </c>
      <c r="U263">
        <f t="shared" si="173"/>
        <v>0.4389308629208904</v>
      </c>
      <c r="V263">
        <f t="shared" si="174"/>
        <v>-1.1163878853800113</v>
      </c>
      <c r="X263">
        <f t="shared" si="192"/>
        <v>-23.228627500223912</v>
      </c>
      <c r="Y263">
        <f t="shared" si="175"/>
        <v>-156.63317426952435</v>
      </c>
      <c r="Z263">
        <f t="shared" si="193"/>
        <v>23.366825730475654</v>
      </c>
      <c r="AC263">
        <v>1</v>
      </c>
      <c r="AD263">
        <f t="shared" si="176"/>
        <v>119.37894990367501</v>
      </c>
      <c r="AE263">
        <f t="shared" si="177"/>
        <v>-1.5069108468968924E-2</v>
      </c>
      <c r="AF263">
        <f t="shared" si="178"/>
        <v>7.3613170656270013E-3</v>
      </c>
      <c r="AG263">
        <f t="shared" si="194"/>
        <v>3070.8086423867171</v>
      </c>
      <c r="AH263">
        <f t="shared" si="195"/>
        <v>-6421.9959686719503</v>
      </c>
      <c r="AJ263">
        <f t="shared" si="179"/>
        <v>22100</v>
      </c>
      <c r="AK263">
        <f t="shared" si="180"/>
        <v>29026.125767604419</v>
      </c>
      <c r="AL263">
        <v>1</v>
      </c>
      <c r="AM263">
        <f t="shared" si="181"/>
        <v>93.16822773449519</v>
      </c>
      <c r="AN263">
        <f t="shared" si="196"/>
        <v>314.05513411042904</v>
      </c>
      <c r="AO263">
        <f t="shared" si="197"/>
        <v>-233.83448838346214</v>
      </c>
      <c r="AQ263">
        <f t="shared" si="182"/>
        <v>4.164913932053594E-2</v>
      </c>
      <c r="AR263">
        <f t="shared" si="183"/>
        <v>-20.40807826706261</v>
      </c>
      <c r="AT263">
        <f t="shared" si="209"/>
        <v>-130932.69982244427</v>
      </c>
      <c r="AU263">
        <f t="shared" si="210"/>
        <v>-62936.773721815538</v>
      </c>
      <c r="AV263">
        <f t="shared" si="198"/>
        <v>-2.6935198889436984</v>
      </c>
      <c r="AW263">
        <f t="shared" si="199"/>
        <v>-1501.8032460377758</v>
      </c>
      <c r="AX263">
        <f t="shared" si="200"/>
        <v>-13724.529830574858</v>
      </c>
      <c r="AY263">
        <f t="shared" si="208"/>
        <v>-1.6797874454352517</v>
      </c>
      <c r="BA263">
        <f t="shared" si="184"/>
        <v>10.522150190456408</v>
      </c>
      <c r="BB263">
        <f t="shared" si="201"/>
        <v>20.442089930254802</v>
      </c>
      <c r="BC263">
        <f t="shared" si="202"/>
        <v>-1.0137324435084467</v>
      </c>
      <c r="BD263">
        <f t="shared" si="185"/>
        <v>-238.0825906348872</v>
      </c>
      <c r="BF263">
        <f t="shared" si="186"/>
        <v>-27.978527244338814</v>
      </c>
      <c r="BG263">
        <f t="shared" si="187"/>
        <v>-186.9415960557921</v>
      </c>
      <c r="BH263">
        <f t="shared" si="203"/>
        <v>-6.9415960557921039</v>
      </c>
      <c r="BI263">
        <f t="shared" si="204"/>
        <v>-6.9415960557921039</v>
      </c>
      <c r="BJ263">
        <f t="shared" si="188"/>
        <v>0</v>
      </c>
      <c r="BK263">
        <f t="shared" si="205"/>
        <v>0</v>
      </c>
      <c r="BM263">
        <f t="shared" si="206"/>
        <v>-48.420617174593616</v>
      </c>
      <c r="BN263">
        <f t="shared" si="189"/>
        <v>-128.85900542090491</v>
      </c>
      <c r="BQ263" s="47">
        <f t="shared" si="207"/>
        <v>37.344050730539941</v>
      </c>
      <c r="BR263" s="529"/>
      <c r="BS263" s="529"/>
      <c r="BT263" s="529">
        <v>33884.415999999997</v>
      </c>
      <c r="BU263" s="529">
        <v>-1.81593</v>
      </c>
      <c r="BV263" s="529">
        <v>-149.483</v>
      </c>
      <c r="BY263" s="529"/>
      <c r="BZ263" s="529"/>
      <c r="CA263" s="529"/>
      <c r="CC263" s="529"/>
    </row>
    <row r="264" spans="1:81">
      <c r="A264">
        <f t="shared" si="211"/>
        <v>250000</v>
      </c>
      <c r="B264">
        <f t="shared" si="191"/>
        <v>250</v>
      </c>
      <c r="C264">
        <f t="shared" si="159"/>
        <v>1.6059690845609214</v>
      </c>
      <c r="D264">
        <f t="shared" si="160"/>
        <v>0.89863709249959889</v>
      </c>
      <c r="F264">
        <f t="shared" si="161"/>
        <v>1.5308055297971567E-4</v>
      </c>
      <c r="G264">
        <f t="shared" si="162"/>
        <v>3.7306061942245995E-3</v>
      </c>
      <c r="H264">
        <f t="shared" si="163"/>
        <v>-3.1378620438057756</v>
      </c>
      <c r="J264">
        <f t="shared" si="164"/>
        <v>15</v>
      </c>
      <c r="M264">
        <f t="shared" si="165"/>
        <v>6.02390727194386E-3</v>
      </c>
      <c r="N264">
        <f t="shared" si="166"/>
        <v>-1.5707963250000001</v>
      </c>
      <c r="O264">
        <f t="shared" si="167"/>
        <v>121.81935951082916</v>
      </c>
      <c r="P264">
        <f t="shared" si="168"/>
        <v>1.5625873587351675</v>
      </c>
      <c r="Q264">
        <f t="shared" si="169"/>
        <v>95.074879295422221</v>
      </c>
      <c r="R264">
        <f t="shared" si="170"/>
        <v>1.560278107403275</v>
      </c>
      <c r="S264">
        <f t="shared" si="171"/>
        <v>0.59802609995335343</v>
      </c>
      <c r="T264">
        <f t="shared" si="172"/>
        <v>-0.92976031679067461</v>
      </c>
      <c r="U264">
        <f t="shared" si="173"/>
        <v>0.431802585534596</v>
      </c>
      <c r="V264">
        <f t="shared" si="174"/>
        <v>-1.1243060012074131</v>
      </c>
      <c r="X264">
        <f t="shared" si="192"/>
        <v>-23.551715767256297</v>
      </c>
      <c r="Y264">
        <f t="shared" si="175"/>
        <v>-157.06045883123895</v>
      </c>
      <c r="Z264">
        <f t="shared" si="193"/>
        <v>22.939541168761053</v>
      </c>
      <c r="AC264">
        <v>1</v>
      </c>
      <c r="AD264">
        <f t="shared" si="176"/>
        <v>121.81525500375001</v>
      </c>
      <c r="AE264">
        <f t="shared" si="177"/>
        <v>-1.5690450300883931E-2</v>
      </c>
      <c r="AF264">
        <f t="shared" si="178"/>
        <v>7.5115480261500013E-3</v>
      </c>
      <c r="AG264">
        <f t="shared" si="194"/>
        <v>2971.8781124100642</v>
      </c>
      <c r="AH264">
        <f t="shared" si="195"/>
        <v>-6340.9174323641219</v>
      </c>
      <c r="AJ264">
        <f t="shared" si="179"/>
        <v>22100</v>
      </c>
      <c r="AK264">
        <f t="shared" si="180"/>
        <v>29618.495681229004</v>
      </c>
      <c r="AL264">
        <v>1</v>
      </c>
      <c r="AM264">
        <f t="shared" si="181"/>
        <v>95.069620137239994</v>
      </c>
      <c r="AN264">
        <f t="shared" si="196"/>
        <v>313.95575665570061</v>
      </c>
      <c r="AO264">
        <f t="shared" si="197"/>
        <v>-229.1588439282132</v>
      </c>
      <c r="AQ264">
        <f t="shared" si="182"/>
        <v>3.9999840000639997E-2</v>
      </c>
      <c r="AR264">
        <f t="shared" si="183"/>
        <v>-19.99992000032</v>
      </c>
      <c r="AT264">
        <f t="shared" si="209"/>
        <v>-126698.96672691913</v>
      </c>
      <c r="AU264">
        <f t="shared" si="210"/>
        <v>-59690.960181655122</v>
      </c>
      <c r="AV264">
        <f t="shared" si="198"/>
        <v>-2.7013112987286991</v>
      </c>
      <c r="AW264">
        <f t="shared" si="199"/>
        <v>-1408.3051891641405</v>
      </c>
      <c r="AX264">
        <f t="shared" si="200"/>
        <v>-13493.036154719563</v>
      </c>
      <c r="AY264">
        <f t="shared" si="208"/>
        <v>-1.6747925267664225</v>
      </c>
      <c r="BA264">
        <f t="shared" si="184"/>
        <v>10.323781554358868</v>
      </c>
      <c r="BB264">
        <f t="shared" si="201"/>
        <v>20.276776130648116</v>
      </c>
      <c r="BC264">
        <f t="shared" si="202"/>
        <v>-1.0265187719622766</v>
      </c>
      <c r="BD264">
        <f t="shared" si="185"/>
        <v>-238.81519329159678</v>
      </c>
      <c r="BF264">
        <f t="shared" si="186"/>
        <v>-28.388254626507589</v>
      </c>
      <c r="BG264">
        <f t="shared" si="187"/>
        <v>-187.11333252842996</v>
      </c>
      <c r="BH264">
        <f t="shared" si="203"/>
        <v>-7.1133325284299644</v>
      </c>
      <c r="BI264">
        <f t="shared" si="204"/>
        <v>-7.1133325284299644</v>
      </c>
      <c r="BJ264">
        <f t="shared" si="188"/>
        <v>0</v>
      </c>
      <c r="BK264">
        <f t="shared" si="205"/>
        <v>0</v>
      </c>
      <c r="BM264">
        <f t="shared" si="206"/>
        <v>-48.665030757155705</v>
      </c>
      <c r="BN264">
        <f t="shared" si="189"/>
        <v>-128.29813923683318</v>
      </c>
      <c r="BQ264" s="47">
        <f t="shared" si="207"/>
        <v>37.178736930933255</v>
      </c>
      <c r="BR264" s="529"/>
      <c r="BS264" s="529"/>
      <c r="BT264" s="529">
        <v>34673.684999999998</v>
      </c>
      <c r="BU264" s="529">
        <v>-1.6807799999999999</v>
      </c>
      <c r="BV264" s="529">
        <v>-148.328</v>
      </c>
      <c r="BY264" s="529"/>
      <c r="BZ264" s="529"/>
      <c r="CA264" s="529"/>
      <c r="CC264" s="529"/>
    </row>
    <row r="265" spans="1:81">
      <c r="A265">
        <f t="shared" si="211"/>
        <v>255000</v>
      </c>
      <c r="B265">
        <f t="shared" si="191"/>
        <v>255</v>
      </c>
      <c r="C265">
        <f t="shared" ref="C265:C328" si="212">SQRT((A265/Fesr)^2+1)</f>
        <v>1.6257102519416822</v>
      </c>
      <c r="D265">
        <f t="shared" ref="D265:D328" si="213">ATAN(A265/Fesr)</f>
        <v>0.90826354432123757</v>
      </c>
      <c r="F265">
        <f t="shared" ref="F265:F328" si="214">(Ro/(Ro+Rdcr))/SQRT((A265/(Q*Fo))^2+(1-(A265^2/Fo^2))^2)</f>
        <v>1.4713539794183745E-4</v>
      </c>
      <c r="G265">
        <f t="shared" ref="G265:G328" si="215">-ATAN(A265*Fo/(Q*(Fo^2-A265^2)))</f>
        <v>3.6574355798182977E-3</v>
      </c>
      <c r="H265">
        <f t="shared" ref="H265:H328" si="216">IF(G265&gt;0,G265-Pi,G265)</f>
        <v>-3.1379352144201818</v>
      </c>
      <c r="J265">
        <f t="shared" ref="J265:J328" si="217">Vin/Vramp</f>
        <v>15</v>
      </c>
      <c r="M265">
        <f t="shared" ref="M265:M328" si="218">1/(2*Pi*_Rfb1*(Cc1ea_u+Cc2ea_u)*A265)</f>
        <v>5.9057914430822164E-3</v>
      </c>
      <c r="N265">
        <f t="shared" ref="N265:N328" si="219">-Pi/2</f>
        <v>-1.5707963250000001</v>
      </c>
      <c r="O265">
        <f t="shared" ref="O265:O328" si="220">SQRT(1+(A265/Fz1_u)^2)</f>
        <v>124.25558413300563</v>
      </c>
      <c r="P265">
        <f t="shared" ref="P265:P328" si="221">ATAN2(Fz1_u,A265)</f>
        <v>1.562748311873476</v>
      </c>
      <c r="Q265">
        <f t="shared" ref="Q265:Q328" si="222">SQRT(1+(A265/Fz2_u)^2)</f>
        <v>96.976168582955921</v>
      </c>
      <c r="R265">
        <f t="shared" ref="R265:R328" si="223">ATAN2(Fz2_u,A265)</f>
        <v>1.560484332232682</v>
      </c>
      <c r="S265">
        <f t="shared" ref="S265:S328" si="224">1/SQRT(1+(A265/Fp1_u)^2)</f>
        <v>0.59041409279177504</v>
      </c>
      <c r="T265">
        <f t="shared" ref="T265:T328" si="225">-ATAN2(Fp1_u,A265)</f>
        <v>-0.93922451999018897</v>
      </c>
      <c r="U265">
        <f t="shared" ref="U265:U328" si="226">1/SQRT(1+(A265/Fp2_u)^2)</f>
        <v>0.42487676201783958</v>
      </c>
      <c r="V265">
        <f t="shared" ref="V265:V328" si="227">-ATAN2(Fp2_u,A265)</f>
        <v>-1.1319705823134885</v>
      </c>
      <c r="X265">
        <f t="shared" si="192"/>
        <v>-23.869393823022516</v>
      </c>
      <c r="Y265">
        <f t="shared" ref="Y265:Y328" si="228">(180/Pi)*(D265+H265+N265+P265+R265+T265+V265)</f>
        <v>-157.47346543905473</v>
      </c>
      <c r="Z265">
        <f t="shared" si="193"/>
        <v>22.526534560945265</v>
      </c>
      <c r="AC265">
        <v>1</v>
      </c>
      <c r="AD265">
        <f t="shared" ref="AD265:AD328" si="229">Rcea1_u*Cc1ea_u*A265*2*Pi</f>
        <v>124.25156010382501</v>
      </c>
      <c r="AE265">
        <f t="shared" ref="AE265:AE328" si="230">-Rcea1_u*Cc1ea_u*Cc2ea_u*(A265*2*Pi)^2</f>
        <v>-1.6324344493039638E-2</v>
      </c>
      <c r="AF265">
        <f t="shared" ref="AF265:AF328" si="231">(Cc2ea_u+Cc1ea_u)*A265*2*Pi</f>
        <v>7.6617789866730004E-3</v>
      </c>
      <c r="AG265">
        <f t="shared" si="194"/>
        <v>2877.3087993310464</v>
      </c>
      <c r="AH265">
        <f t="shared" si="195"/>
        <v>-6260.9715232681892</v>
      </c>
      <c r="AJ265">
        <f t="shared" ref="AJ265:AJ328" si="232">_Rfb1</f>
        <v>22100</v>
      </c>
      <c r="AK265">
        <f t="shared" ref="AK265:AK328" si="233">_Rfb1*Rcea2_u*Cc3ea_u*A265*2*Pi</f>
        <v>30210.865594853582</v>
      </c>
      <c r="AL265">
        <v>1</v>
      </c>
      <c r="AM265">
        <f t="shared" ref="AM265:AM328" si="234">(_Rfb1+Rcea2_u)*Cc3ea_u*A265*2*Pi</f>
        <v>96.971012539984798</v>
      </c>
      <c r="AN265">
        <f t="shared" si="196"/>
        <v>313.86216660057221</v>
      </c>
      <c r="AO265">
        <f t="shared" si="197"/>
        <v>-224.66649839730385</v>
      </c>
      <c r="AQ265">
        <f t="shared" ref="AQ265:AQ328" si="235">Eadcg/(1+(Eadcg*A265/GBP)^2)</f>
        <v>3.8446603434819551E-2</v>
      </c>
      <c r="AR265">
        <f t="shared" ref="AR265:AR328" si="236">-(A265*Eadcg*Eadcg/GBP)/(1+(Eadcg*A265/GBP)^2)</f>
        <v>-19.607767751757972</v>
      </c>
      <c r="AT265">
        <f t="shared" si="209"/>
        <v>-122653.05277824559</v>
      </c>
      <c r="AU265">
        <f t="shared" si="210"/>
        <v>-56658.315776644537</v>
      </c>
      <c r="AV265">
        <f t="shared" si="198"/>
        <v>-2.7088541422289336</v>
      </c>
      <c r="AW265">
        <f t="shared" si="199"/>
        <v>-1321.5927450020233</v>
      </c>
      <c r="AX265">
        <f t="shared" si="200"/>
        <v>-13268.795147205319</v>
      </c>
      <c r="AY265">
        <f t="shared" si="208"/>
        <v>-1.6700704723518602</v>
      </c>
      <c r="BA265">
        <f t="shared" ref="BA265:BA328" si="237">SQRT(AT265^2+AU265^2)/SQRT(AW265^2+AX265^2)</f>
        <v>10.132186753226367</v>
      </c>
      <c r="BB265">
        <f t="shared" si="201"/>
        <v>20.114063719386049</v>
      </c>
      <c r="BC265">
        <f t="shared" si="202"/>
        <v>-1.0387836698770734</v>
      </c>
      <c r="BD265">
        <f t="shared" ref="BD265:BD328" si="238">BC265*180/Pi-180</f>
        <v>-239.51792017907644</v>
      </c>
      <c r="BF265">
        <f t="shared" ref="BF265:BF328" si="239">20*LOG(BA265*J265*F265*C265)</f>
        <v>-28.788904846679799</v>
      </c>
      <c r="BG265">
        <f t="shared" ref="BG265:BG328" si="240">(180/Pi)*(D265+H265+BC265)</f>
        <v>-187.26869672160808</v>
      </c>
      <c r="BH265">
        <f t="shared" si="203"/>
        <v>-7.2686967216080802</v>
      </c>
      <c r="BI265">
        <f t="shared" si="204"/>
        <v>-7.2686967216080802</v>
      </c>
      <c r="BJ265">
        <f t="shared" ref="BJ265:BJ328" si="241">SUM((BF266&lt;0)*(BF265&gt;0))*A265</f>
        <v>0</v>
      </c>
      <c r="BK265">
        <f t="shared" si="205"/>
        <v>0</v>
      </c>
      <c r="BM265">
        <f t="shared" si="206"/>
        <v>-48.902968566065837</v>
      </c>
      <c r="BN265">
        <f t="shared" ref="BN265:BN328" si="242">(H265+D265)*180/Pi</f>
        <v>-127.75077654253168</v>
      </c>
      <c r="BQ265" s="47">
        <f t="shared" si="207"/>
        <v>37.016024519671184</v>
      </c>
      <c r="BR265" s="529"/>
      <c r="BS265" s="529"/>
      <c r="BT265" s="529">
        <v>35481.339</v>
      </c>
      <c r="BU265" s="529">
        <v>-1.5620799999999999</v>
      </c>
      <c r="BV265" s="529">
        <v>-147.47</v>
      </c>
      <c r="BY265" s="529"/>
      <c r="BZ265" s="529"/>
      <c r="CA265" s="529"/>
      <c r="CC265" s="529"/>
    </row>
    <row r="266" spans="1:81">
      <c r="A266">
        <f t="shared" si="211"/>
        <v>260000</v>
      </c>
      <c r="B266">
        <f t="shared" ref="B266:B329" si="243">A266/1000</f>
        <v>260</v>
      </c>
      <c r="C266">
        <f t="shared" si="212"/>
        <v>1.6455984489940381</v>
      </c>
      <c r="D266">
        <f t="shared" si="213"/>
        <v>0.91765816465940553</v>
      </c>
      <c r="F266">
        <f t="shared" si="214"/>
        <v>1.4152998671365484E-4</v>
      </c>
      <c r="G266">
        <f t="shared" si="215"/>
        <v>3.5870804233330213E-3</v>
      </c>
      <c r="H266">
        <f t="shared" si="216"/>
        <v>-3.1380055695766673</v>
      </c>
      <c r="J266">
        <f t="shared" si="217"/>
        <v>15</v>
      </c>
      <c r="M266">
        <f t="shared" si="218"/>
        <v>5.7922185307152504E-3</v>
      </c>
      <c r="N266">
        <f t="shared" si="219"/>
        <v>-1.5707963250000001</v>
      </c>
      <c r="O266">
        <f t="shared" si="220"/>
        <v>126.69181185033838</v>
      </c>
      <c r="P266">
        <f t="shared" si="221"/>
        <v>1.5629030748998094</v>
      </c>
      <c r="Q266">
        <f t="shared" si="222"/>
        <v>98.877461836148981</v>
      </c>
      <c r="R266">
        <f t="shared" si="223"/>
        <v>1.5606826261652831</v>
      </c>
      <c r="S266">
        <f t="shared" si="224"/>
        <v>0.58294316973515159</v>
      </c>
      <c r="T266">
        <f t="shared" si="225"/>
        <v>-0.94845001785773597</v>
      </c>
      <c r="U266">
        <f t="shared" si="226"/>
        <v>0.41814618991654628</v>
      </c>
      <c r="V266">
        <f t="shared" si="227"/>
        <v>-1.1393927551783385</v>
      </c>
      <c r="X266">
        <f t="shared" ref="X266:X329" si="244">20*LOG(C266*J266*O266*Q266*F266*M266*S266*U266)</f>
        <v>-24.1818249638937</v>
      </c>
      <c r="Y266">
        <f t="shared" si="228"/>
        <v>-157.87283699555505</v>
      </c>
      <c r="Z266">
        <f t="shared" ref="Z266:Z329" si="245">Y266+180</f>
        <v>22.127163004444952</v>
      </c>
      <c r="AC266">
        <v>1</v>
      </c>
      <c r="AD266">
        <f t="shared" si="229"/>
        <v>126.6878652039</v>
      </c>
      <c r="AE266">
        <f t="shared" si="230"/>
        <v>-1.6970791045436057E-2</v>
      </c>
      <c r="AF266">
        <f t="shared" si="231"/>
        <v>7.8120099471960004E-3</v>
      </c>
      <c r="AG266">
        <f t="shared" ref="AG266:AG329" si="246">AC266*AE266/(AE266^2+AF266^2)+AD266*AF266/(AE266^2+AF266^2)</f>
        <v>2786.8706021743496</v>
      </c>
      <c r="AH266">
        <f t="shared" ref="AH266:AH329" si="247">AD266*AE266/(AE266^2+AF266^2)-AC266*AF266/(AE266^2+AF266^2)</f>
        <v>-6182.1988177964786</v>
      </c>
      <c r="AJ266">
        <f t="shared" si="232"/>
        <v>22100</v>
      </c>
      <c r="AK266">
        <f t="shared" si="233"/>
        <v>30803.235508478159</v>
      </c>
      <c r="AL266">
        <v>1</v>
      </c>
      <c r="AM266">
        <f t="shared" si="234"/>
        <v>98.872404942729602</v>
      </c>
      <c r="AN266">
        <f t="shared" ref="AN266:AN329" si="248">AJ266*AL266/(AL266^2+AM266^2)+AK266*AM266/(AL266^2+AM266^2)</f>
        <v>313.7739231462931</v>
      </c>
      <c r="AO266">
        <f t="shared" ref="AO266:AO329" si="249">AK266*AL266/(AL266^2+AM266^2)-AJ266*AM266/(AL266^2+AM266^2)</f>
        <v>-220.34688131104994</v>
      </c>
      <c r="AQ266">
        <f t="shared" si="235"/>
        <v>3.6982111752545295E-2</v>
      </c>
      <c r="AR266">
        <f t="shared" si="236"/>
        <v>-19.230698111323552</v>
      </c>
      <c r="AT266">
        <f t="shared" si="209"/>
        <v>-118784.93476917593</v>
      </c>
      <c r="AU266">
        <f t="shared" si="210"/>
        <v>-53822.097993293602</v>
      </c>
      <c r="AV266">
        <f t="shared" ref="AV266:AV329" si="250">ATAN2(AT266,AU266)</f>
        <v>-2.716159259315897</v>
      </c>
      <c r="AW266">
        <f t="shared" ref="AW266:AW329" si="251">AG266-AH266*AO266/_Rfb2+AG266*AN266/_Rfb2+AN266-AO266*AR266+AQ266*AN266</f>
        <v>-1241.0513614835224</v>
      </c>
      <c r="AX266">
        <f t="shared" ref="AX266:AX329" si="252">AH266+AH266*AN266/_Rfb2+AG266*AO266/_Rfb2+AO266+AO266*AQ266+AN266*AR266</f>
        <v>-13051.479752030715</v>
      </c>
      <c r="AY266">
        <f t="shared" si="208"/>
        <v>-1.6656002155106753</v>
      </c>
      <c r="BA266">
        <f t="shared" si="237"/>
        <v>9.9470751993099675</v>
      </c>
      <c r="BB266">
        <f t="shared" ref="BB266:BB329" si="253">20*LOG(BA266)</f>
        <v>19.953908023903221</v>
      </c>
      <c r="BC266">
        <f t="shared" ref="BC266:BC329" si="254">AV266-AY266</f>
        <v>-1.0505590438052217</v>
      </c>
      <c r="BD266">
        <f t="shared" si="238"/>
        <v>-240.19259940811864</v>
      </c>
      <c r="BF266">
        <f t="shared" si="239"/>
        <v>-29.180820089862983</v>
      </c>
      <c r="BG266">
        <f t="shared" si="240"/>
        <v>-187.40913490806867</v>
      </c>
      <c r="BH266">
        <f t="shared" ref="BH266:BH329" si="255">IF(BG266&gt;180,BG266-180,BG266+180)</f>
        <v>-7.4091349080686655</v>
      </c>
      <c r="BI266">
        <f t="shared" ref="BI266:BI329" si="256">IF(BH266&gt;180,BH266-360,BH266)</f>
        <v>-7.4091349080686655</v>
      </c>
      <c r="BJ266">
        <f t="shared" si="241"/>
        <v>0</v>
      </c>
      <c r="BK266">
        <f t="shared" ref="BK266:BK329" si="257">IF(BJ266&gt;0,BI266,0)</f>
        <v>0</v>
      </c>
      <c r="BM266">
        <f t="shared" ref="BM266:BM329" si="258">20*LOG(J266*F266*C266)</f>
        <v>-49.134728113766208</v>
      </c>
      <c r="BN266">
        <f t="shared" si="242"/>
        <v>-127.21653549995003</v>
      </c>
      <c r="BQ266" s="47">
        <f t="shared" ref="BQ266:BQ329" si="259">20*LOG(BA266*7)</f>
        <v>36.855868824188363</v>
      </c>
      <c r="BR266" s="529"/>
      <c r="BS266" s="529"/>
      <c r="BT266" s="529">
        <v>36307.805</v>
      </c>
      <c r="BU266" s="529">
        <v>-1.4274800000000001</v>
      </c>
      <c r="BV266" s="529">
        <v>-146.52500000000001</v>
      </c>
      <c r="BY266" s="529"/>
      <c r="BZ266" s="529"/>
      <c r="CA266" s="529"/>
      <c r="CC266" s="529"/>
    </row>
    <row r="267" spans="1:81">
      <c r="A267">
        <f t="shared" si="211"/>
        <v>265000</v>
      </c>
      <c r="B267">
        <f t="shared" si="243"/>
        <v>265</v>
      </c>
      <c r="C267">
        <f t="shared" si="212"/>
        <v>1.6656284089662172</v>
      </c>
      <c r="D267">
        <f t="shared" si="213"/>
        <v>0.92682762879372649</v>
      </c>
      <c r="F267">
        <f t="shared" si="214"/>
        <v>1.3623891601175666E-4</v>
      </c>
      <c r="G267">
        <f t="shared" si="215"/>
        <v>3.519381270934787E-3</v>
      </c>
      <c r="H267">
        <f t="shared" si="216"/>
        <v>-3.1380732687290656</v>
      </c>
      <c r="J267">
        <f t="shared" si="217"/>
        <v>15</v>
      </c>
      <c r="M267">
        <f t="shared" si="218"/>
        <v>5.6829313886262835E-3</v>
      </c>
      <c r="N267">
        <f t="shared" si="219"/>
        <v>-1.5707963250000001</v>
      </c>
      <c r="O267">
        <f t="shared" si="220"/>
        <v>129.1280424876407</v>
      </c>
      <c r="P267">
        <f t="shared" si="221"/>
        <v>1.5630519981690163</v>
      </c>
      <c r="Q267">
        <f t="shared" si="222"/>
        <v>100.77875883055287</v>
      </c>
      <c r="R267">
        <f t="shared" si="223"/>
        <v>1.5608734380590861</v>
      </c>
      <c r="S267">
        <f t="shared" si="224"/>
        <v>0.57561178702926896</v>
      </c>
      <c r="T267">
        <f t="shared" si="225"/>
        <v>-0.95744421641905431</v>
      </c>
      <c r="U267">
        <f t="shared" si="226"/>
        <v>0.41160390933904212</v>
      </c>
      <c r="V267">
        <f t="shared" si="227"/>
        <v>-1.1465830604972567</v>
      </c>
      <c r="X267">
        <f t="shared" si="244"/>
        <v>-24.489165736848637</v>
      </c>
      <c r="Y267">
        <f t="shared" si="228"/>
        <v>-158.25918265127035</v>
      </c>
      <c r="Z267">
        <f t="shared" si="245"/>
        <v>21.740817348729649</v>
      </c>
      <c r="AC267">
        <v>1</v>
      </c>
      <c r="AD267">
        <f t="shared" si="229"/>
        <v>129.12417030397501</v>
      </c>
      <c r="AE267">
        <f t="shared" si="230"/>
        <v>-1.7629789958073183E-2</v>
      </c>
      <c r="AF267">
        <f t="shared" si="231"/>
        <v>7.9622409077190013E-3</v>
      </c>
      <c r="AG267">
        <f t="shared" si="246"/>
        <v>2700.3465211667517</v>
      </c>
      <c r="AH267">
        <f t="shared" si="247"/>
        <v>-6104.6309130212076</v>
      </c>
      <c r="AJ267">
        <f t="shared" si="232"/>
        <v>22100</v>
      </c>
      <c r="AK267">
        <f t="shared" si="233"/>
        <v>31395.605422102744</v>
      </c>
      <c r="AL267">
        <v>1</v>
      </c>
      <c r="AM267">
        <f t="shared" si="234"/>
        <v>100.77379734547439</v>
      </c>
      <c r="AN267">
        <f t="shared" si="248"/>
        <v>313.69062667435105</v>
      </c>
      <c r="AO267">
        <f t="shared" si="249"/>
        <v>-216.19021955317874</v>
      </c>
      <c r="AQ267">
        <f t="shared" si="235"/>
        <v>3.559973086603465E-2</v>
      </c>
      <c r="AR267">
        <f t="shared" si="236"/>
        <v>-18.867857358998364</v>
      </c>
      <c r="AT267">
        <f t="shared" si="209"/>
        <v>-115085.17368681752</v>
      </c>
      <c r="AU267">
        <f t="shared" si="210"/>
        <v>-51167.07619878176</v>
      </c>
      <c r="AV267">
        <f t="shared" si="250"/>
        <v>-2.7232369257041831</v>
      </c>
      <c r="AW267">
        <f t="shared" si="251"/>
        <v>-1166.1319358837363</v>
      </c>
      <c r="AX267">
        <f t="shared" si="252"/>
        <v>-12840.782853343317</v>
      </c>
      <c r="AY267">
        <f t="shared" ref="AY267:AY330" si="260">ATAN2(AW267,AX267)</f>
        <v>-1.6613626031919269</v>
      </c>
      <c r="BA267">
        <f t="shared" si="237"/>
        <v>9.7681667359988609</v>
      </c>
      <c r="BB267">
        <f t="shared" si="253"/>
        <v>19.796261282262769</v>
      </c>
      <c r="BC267">
        <f t="shared" si="254"/>
        <v>-1.0618743225122562</v>
      </c>
      <c r="BD267">
        <f t="shared" si="238"/>
        <v>-240.84091712278678</v>
      </c>
      <c r="BF267">
        <f t="shared" si="239"/>
        <v>-29.56432755558119</v>
      </c>
      <c r="BG267">
        <f t="shared" si="240"/>
        <v>-187.53595990255681</v>
      </c>
      <c r="BH267">
        <f t="shared" si="255"/>
        <v>-7.5359599025568116</v>
      </c>
      <c r="BI267">
        <f t="shared" si="256"/>
        <v>-7.5359599025568116</v>
      </c>
      <c r="BJ267">
        <f t="shared" si="241"/>
        <v>0</v>
      </c>
      <c r="BK267">
        <f t="shared" si="257"/>
        <v>0</v>
      </c>
      <c r="BM267">
        <f t="shared" si="258"/>
        <v>-49.360588837843963</v>
      </c>
      <c r="BN267">
        <f t="shared" si="242"/>
        <v>-126.69504277977002</v>
      </c>
      <c r="BQ267" s="47">
        <f t="shared" si="259"/>
        <v>36.698222082547908</v>
      </c>
      <c r="BR267" s="529"/>
      <c r="BS267" s="529"/>
      <c r="BT267" s="529">
        <v>37153.523000000001</v>
      </c>
      <c r="BU267" s="529">
        <v>-1.30297</v>
      </c>
      <c r="BV267" s="529">
        <v>-145.744</v>
      </c>
      <c r="BY267" s="529"/>
      <c r="BZ267" s="529"/>
      <c r="CA267" s="529"/>
      <c r="CC267" s="529"/>
    </row>
    <row r="268" spans="1:81">
      <c r="A268">
        <f t="shared" si="211"/>
        <v>270000</v>
      </c>
      <c r="B268">
        <f t="shared" si="243"/>
        <v>270</v>
      </c>
      <c r="C268">
        <f t="shared" si="212"/>
        <v>1.6857950787505382</v>
      </c>
      <c r="D268">
        <f t="shared" si="213"/>
        <v>0.93577844742166083</v>
      </c>
      <c r="F268">
        <f t="shared" si="214"/>
        <v>1.3123911333013925E-4</v>
      </c>
      <c r="G268">
        <f t="shared" si="215"/>
        <v>3.454190488135491E-3</v>
      </c>
      <c r="H268">
        <f t="shared" si="216"/>
        <v>-3.1381384595118647</v>
      </c>
      <c r="J268">
        <f t="shared" si="217"/>
        <v>15</v>
      </c>
      <c r="M268">
        <f t="shared" si="218"/>
        <v>5.5776919184665373E-3</v>
      </c>
      <c r="N268">
        <f t="shared" si="219"/>
        <v>-1.5707963250000001</v>
      </c>
      <c r="O268">
        <f t="shared" si="220"/>
        <v>131.56427588270171</v>
      </c>
      <c r="P268">
        <f t="shared" si="221"/>
        <v>1.5631954060863318</v>
      </c>
      <c r="Q268">
        <f t="shared" si="222"/>
        <v>102.68005935834286</v>
      </c>
      <c r="R268">
        <f t="shared" si="223"/>
        <v>1.5610571835288196</v>
      </c>
      <c r="S268">
        <f t="shared" si="224"/>
        <v>0.56841823880873321</v>
      </c>
      <c r="T268">
        <f t="shared" si="225"/>
        <v>-0.96621430478936787</v>
      </c>
      <c r="U268">
        <f t="shared" si="226"/>
        <v>0.40524320264945951</v>
      </c>
      <c r="V268">
        <f t="shared" si="227"/>
        <v>-1.1535514866125354</v>
      </c>
      <c r="X268">
        <f t="shared" si="244"/>
        <v>-24.79156629499634</v>
      </c>
      <c r="Y268">
        <f t="shared" si="228"/>
        <v>-158.63307962534606</v>
      </c>
      <c r="Z268">
        <f t="shared" si="245"/>
        <v>21.366920374653944</v>
      </c>
      <c r="AC268">
        <v>1</v>
      </c>
      <c r="AD268">
        <f t="shared" si="229"/>
        <v>131.56047540405001</v>
      </c>
      <c r="AE268">
        <f t="shared" si="230"/>
        <v>-1.8301341230951014E-2</v>
      </c>
      <c r="AF268">
        <f t="shared" si="231"/>
        <v>8.1124718682420004E-3</v>
      </c>
      <c r="AG268">
        <f t="shared" si="246"/>
        <v>2617.531967812276</v>
      </c>
      <c r="AH268">
        <f t="shared" si="247"/>
        <v>-6028.2915639192097</v>
      </c>
      <c r="AJ268">
        <f t="shared" si="232"/>
        <v>22100</v>
      </c>
      <c r="AK268">
        <f t="shared" si="233"/>
        <v>31987.975335727322</v>
      </c>
      <c r="AL268">
        <v>1</v>
      </c>
      <c r="AM268">
        <f t="shared" si="234"/>
        <v>102.6751897482192</v>
      </c>
      <c r="AN268">
        <f t="shared" si="248"/>
        <v>313.6119142148537</v>
      </c>
      <c r="AO268">
        <f t="shared" si="249"/>
        <v>-212.18746358501872</v>
      </c>
      <c r="AQ268">
        <f t="shared" si="235"/>
        <v>3.4293435207698189E-2</v>
      </c>
      <c r="AR268">
        <f t="shared" si="236"/>
        <v>-18.518455012157023</v>
      </c>
      <c r="AT268">
        <f t="shared" si="209"/>
        <v>-111544.88196366135</v>
      </c>
      <c r="AU268">
        <f t="shared" si="210"/>
        <v>-48679.378814974851</v>
      </c>
      <c r="AV268">
        <f t="shared" si="250"/>
        <v>-2.7300968843810267</v>
      </c>
      <c r="AW268">
        <f t="shared" si="251"/>
        <v>-1096.3428929997235</v>
      </c>
      <c r="AX268">
        <f t="shared" si="252"/>
        <v>-12636.415622280652</v>
      </c>
      <c r="AY268">
        <f t="shared" si="260"/>
        <v>-1.6573402022765804</v>
      </c>
      <c r="BA268">
        <f t="shared" si="237"/>
        <v>9.5951921392303117</v>
      </c>
      <c r="BB268">
        <f t="shared" si="253"/>
        <v>19.641073514044717</v>
      </c>
      <c r="BC268">
        <f t="shared" si="254"/>
        <v>-1.0727566821044463</v>
      </c>
      <c r="BD268">
        <f t="shared" si="238"/>
        <v>-241.46443039927544</v>
      </c>
      <c r="BF268">
        <f t="shared" si="239"/>
        <v>-29.939739919643596</v>
      </c>
      <c r="BG268">
        <f t="shared" si="240"/>
        <v>-187.65036420461354</v>
      </c>
      <c r="BH268">
        <f t="shared" si="255"/>
        <v>-7.6503642046135383</v>
      </c>
      <c r="BI268">
        <f t="shared" si="256"/>
        <v>-7.6503642046135383</v>
      </c>
      <c r="BJ268">
        <f t="shared" si="241"/>
        <v>0</v>
      </c>
      <c r="BK268">
        <f t="shared" si="257"/>
        <v>0</v>
      </c>
      <c r="BM268">
        <f t="shared" si="258"/>
        <v>-49.580813433688313</v>
      </c>
      <c r="BN268">
        <f t="shared" si="242"/>
        <v>-126.1859338053381</v>
      </c>
      <c r="BQ268" s="47">
        <f t="shared" si="259"/>
        <v>36.543034314329851</v>
      </c>
      <c r="BR268" s="529"/>
      <c r="BS268" s="529"/>
      <c r="BT268" s="529">
        <v>38018.94</v>
      </c>
      <c r="BU268" s="529">
        <v>-1.18652</v>
      </c>
      <c r="BV268" s="529">
        <v>-144.86799999999999</v>
      </c>
      <c r="BY268" s="529"/>
      <c r="BZ268" s="529"/>
      <c r="CA268" s="529"/>
      <c r="CC268" s="529"/>
    </row>
    <row r="269" spans="1:81">
      <c r="A269">
        <f t="shared" si="211"/>
        <v>275000</v>
      </c>
      <c r="B269">
        <f t="shared" si="243"/>
        <v>275</v>
      </c>
      <c r="C269">
        <f t="shared" si="212"/>
        <v>1.7060936104693045</v>
      </c>
      <c r="D269">
        <f t="shared" si="213"/>
        <v>0.94451696467950996</v>
      </c>
      <c r="F269">
        <f t="shared" si="214"/>
        <v>1.2650958493961399E-4</v>
      </c>
      <c r="G269">
        <f t="shared" si="215"/>
        <v>3.3913711844629243E-3</v>
      </c>
      <c r="H269">
        <f t="shared" si="216"/>
        <v>-3.1382012788155373</v>
      </c>
      <c r="J269">
        <f t="shared" si="217"/>
        <v>15</v>
      </c>
      <c r="M269">
        <f t="shared" si="218"/>
        <v>5.4762793381307818E-3</v>
      </c>
      <c r="N269">
        <f t="shared" si="219"/>
        <v>-1.5707963250000001</v>
      </c>
      <c r="O269">
        <f t="shared" si="220"/>
        <v>134.00051188510682</v>
      </c>
      <c r="P269">
        <f t="shared" si="221"/>
        <v>1.5633335994661564</v>
      </c>
      <c r="Q269">
        <f t="shared" si="222"/>
        <v>104.5813632268069</v>
      </c>
      <c r="R269">
        <f t="shared" si="223"/>
        <v>1.5612342479674699</v>
      </c>
      <c r="S269">
        <f t="shared" si="224"/>
        <v>0.56136068076551671</v>
      </c>
      <c r="T269">
        <f t="shared" si="225"/>
        <v>-0.97476725627933924</v>
      </c>
      <c r="U269">
        <f t="shared" si="226"/>
        <v>0.39905759251385442</v>
      </c>
      <c r="V269">
        <f t="shared" si="227"/>
        <v>-1.1603075011570076</v>
      </c>
      <c r="X269">
        <f t="shared" si="244"/>
        <v>-25.089170728135208</v>
      </c>
      <c r="Y269">
        <f t="shared" si="228"/>
        <v>-158.99507494868075</v>
      </c>
      <c r="Z269">
        <f t="shared" si="245"/>
        <v>21.004925051319248</v>
      </c>
      <c r="AC269">
        <v>1</v>
      </c>
      <c r="AD269">
        <f t="shared" si="229"/>
        <v>133.99678050412501</v>
      </c>
      <c r="AE269">
        <f t="shared" si="230"/>
        <v>-1.8985444864069553E-2</v>
      </c>
      <c r="AF269">
        <f t="shared" si="231"/>
        <v>8.2627028287650013E-3</v>
      </c>
      <c r="AG269">
        <f t="shared" si="246"/>
        <v>2538.234091136163</v>
      </c>
      <c r="AH269">
        <f t="shared" si="247"/>
        <v>-5953.1976895167481</v>
      </c>
      <c r="AJ269">
        <f t="shared" si="232"/>
        <v>22100</v>
      </c>
      <c r="AK269">
        <f t="shared" si="233"/>
        <v>32580.3452493519</v>
      </c>
      <c r="AL269">
        <v>1</v>
      </c>
      <c r="AM269">
        <f t="shared" si="234"/>
        <v>104.576582150964</v>
      </c>
      <c r="AN269">
        <f t="shared" si="248"/>
        <v>313.53745548618735</v>
      </c>
      <c r="AO269">
        <f t="shared" si="249"/>
        <v>-208.33022170358797</v>
      </c>
      <c r="AQ269">
        <f t="shared" si="235"/>
        <v>3.3057741957877827E-2</v>
      </c>
      <c r="AR269">
        <f t="shared" si="236"/>
        <v>-18.181758076832804</v>
      </c>
      <c r="AT269">
        <f t="shared" si="209"/>
        <v>-108155.69188674005</v>
      </c>
      <c r="AU269">
        <f t="shared" si="210"/>
        <v>-46346.357460451582</v>
      </c>
      <c r="AV269">
        <f t="shared" si="250"/>
        <v>-2.7367483754659645</v>
      </c>
      <c r="AW269">
        <f t="shared" si="251"/>
        <v>-1031.2433297410628</v>
      </c>
      <c r="AX269">
        <f t="shared" si="252"/>
        <v>-12438.106049762078</v>
      </c>
      <c r="AY269">
        <f t="shared" si="260"/>
        <v>-1.653517126764394</v>
      </c>
      <c r="BA269">
        <f t="shared" si="237"/>
        <v>9.4278933611830826</v>
      </c>
      <c r="BB269">
        <f t="shared" si="253"/>
        <v>19.488293231581864</v>
      </c>
      <c r="BC269">
        <f t="shared" si="254"/>
        <v>-1.0832312487015705</v>
      </c>
      <c r="BD269">
        <f t="shared" si="238"/>
        <v>-242.06457885820515</v>
      </c>
      <c r="BF269">
        <f t="shared" si="239"/>
        <v>-30.307355839994308</v>
      </c>
      <c r="BG269">
        <f t="shared" si="240"/>
        <v>-187.75343178587065</v>
      </c>
      <c r="BH269">
        <f t="shared" si="255"/>
        <v>-7.7534317858706459</v>
      </c>
      <c r="BI269">
        <f t="shared" si="256"/>
        <v>-7.7534317858706459</v>
      </c>
      <c r="BJ269">
        <f t="shared" si="241"/>
        <v>0</v>
      </c>
      <c r="BK269">
        <f t="shared" si="257"/>
        <v>0</v>
      </c>
      <c r="BM269">
        <f t="shared" si="258"/>
        <v>-49.795649071576172</v>
      </c>
      <c r="BN269">
        <f t="shared" si="242"/>
        <v>-125.68885292766551</v>
      </c>
      <c r="BQ269" s="47">
        <f t="shared" si="259"/>
        <v>36.390254031866995</v>
      </c>
      <c r="BR269" s="529"/>
      <c r="BS269" s="529"/>
      <c r="BT269" s="529">
        <v>38904.514000000003</v>
      </c>
      <c r="BU269" s="529">
        <v>-1.0515600000000001</v>
      </c>
      <c r="BV269" s="529">
        <v>-144.06</v>
      </c>
      <c r="BY269" s="529"/>
      <c r="BZ269" s="529"/>
      <c r="CA269" s="529"/>
      <c r="CC269" s="529"/>
    </row>
    <row r="270" spans="1:81">
      <c r="A270">
        <f t="shared" si="211"/>
        <v>280000</v>
      </c>
      <c r="B270">
        <f t="shared" si="243"/>
        <v>280</v>
      </c>
      <c r="C270">
        <f t="shared" si="212"/>
        <v>1.7265193532623064</v>
      </c>
      <c r="D270">
        <f t="shared" si="213"/>
        <v>0.95304935710272365</v>
      </c>
      <c r="F270">
        <f t="shared" si="214"/>
        <v>1.2203119511192461E-4</v>
      </c>
      <c r="G270">
        <f t="shared" si="215"/>
        <v>3.3307962534474276E-3</v>
      </c>
      <c r="H270">
        <f t="shared" si="216"/>
        <v>-3.138261853746553</v>
      </c>
      <c r="J270">
        <f t="shared" si="217"/>
        <v>15</v>
      </c>
      <c r="M270">
        <f t="shared" si="218"/>
        <v>5.3784886356641609E-3</v>
      </c>
      <c r="N270">
        <f t="shared" si="219"/>
        <v>-1.5707963250000001</v>
      </c>
      <c r="O270">
        <f t="shared" si="220"/>
        <v>136.43675035518461</v>
      </c>
      <c r="P270">
        <f t="shared" si="221"/>
        <v>1.5634668576381445</v>
      </c>
      <c r="Q270">
        <f t="shared" si="222"/>
        <v>106.48267025699653</v>
      </c>
      <c r="R270">
        <f t="shared" si="223"/>
        <v>1.5614049892441519</v>
      </c>
      <c r="S270">
        <f t="shared" si="224"/>
        <v>0.5544371515202875</v>
      </c>
      <c r="T270">
        <f t="shared" si="225"/>
        <v>-0.98310983033516564</v>
      </c>
      <c r="U270">
        <f t="shared" si="226"/>
        <v>0.39304083862357803</v>
      </c>
      <c r="V270">
        <f t="shared" si="227"/>
        <v>-1.1668600809578153</v>
      </c>
      <c r="X270">
        <f t="shared" si="244"/>
        <v>-25.382117370910088</v>
      </c>
      <c r="Y270">
        <f t="shared" si="228"/>
        <v>-159.34568712777335</v>
      </c>
      <c r="Z270">
        <f t="shared" si="245"/>
        <v>20.654312872226654</v>
      </c>
      <c r="AC270">
        <v>1</v>
      </c>
      <c r="AD270">
        <f t="shared" si="229"/>
        <v>136.43308560419999</v>
      </c>
      <c r="AE270">
        <f t="shared" si="230"/>
        <v>-1.9682100857428799E-2</v>
      </c>
      <c r="AF270">
        <f t="shared" si="231"/>
        <v>8.4129337892880022E-3</v>
      </c>
      <c r="AG270">
        <f t="shared" si="246"/>
        <v>2462.2711245230325</v>
      </c>
      <c r="AH270">
        <f t="shared" si="247"/>
        <v>-5879.3602624302894</v>
      </c>
      <c r="AJ270">
        <f t="shared" si="232"/>
        <v>22100</v>
      </c>
      <c r="AK270">
        <f t="shared" si="233"/>
        <v>33172.715162976485</v>
      </c>
      <c r="AL270">
        <v>1</v>
      </c>
      <c r="AM270">
        <f t="shared" si="234"/>
        <v>106.4779745537088</v>
      </c>
      <c r="AN270">
        <f t="shared" si="248"/>
        <v>313.46694942510766</v>
      </c>
      <c r="AO270">
        <f t="shared" si="249"/>
        <v>-204.61070133885295</v>
      </c>
      <c r="AQ270">
        <f t="shared" si="235"/>
        <v>3.1887653419472514E-2</v>
      </c>
      <c r="AR270">
        <f t="shared" si="236"/>
        <v>-17.857085914904609</v>
      </c>
      <c r="AT270">
        <f t="shared" si="209"/>
        <v>-104909.72528265022</v>
      </c>
      <c r="AU270">
        <f t="shared" si="210"/>
        <v>-44156.466018773172</v>
      </c>
      <c r="AV270">
        <f t="shared" si="250"/>
        <v>-2.7432001645218267</v>
      </c>
      <c r="AW270">
        <f t="shared" si="251"/>
        <v>-970.43706879632293</v>
      </c>
      <c r="AX270">
        <f t="shared" si="252"/>
        <v>-12245.597638460176</v>
      </c>
      <c r="AY270">
        <f t="shared" si="260"/>
        <v>-1.6498788835766489</v>
      </c>
      <c r="BA270">
        <f t="shared" si="237"/>
        <v>9.2660235782745097</v>
      </c>
      <c r="BB270">
        <f t="shared" si="253"/>
        <v>19.337868019439608</v>
      </c>
      <c r="BC270">
        <f t="shared" si="254"/>
        <v>-1.0933212809451778</v>
      </c>
      <c r="BD270">
        <f t="shared" si="238"/>
        <v>-242.64269512157534</v>
      </c>
      <c r="BF270">
        <f t="shared" si="239"/>
        <v>-30.667460490431711</v>
      </c>
      <c r="BG270">
        <f t="shared" si="240"/>
        <v>-187.84614866157813</v>
      </c>
      <c r="BH270">
        <f t="shared" si="255"/>
        <v>-7.8461486615781268</v>
      </c>
      <c r="BI270">
        <f t="shared" si="256"/>
        <v>-7.8461486615781268</v>
      </c>
      <c r="BJ270">
        <f t="shared" si="241"/>
        <v>0</v>
      </c>
      <c r="BK270">
        <f t="shared" si="257"/>
        <v>0</v>
      </c>
      <c r="BM270">
        <f t="shared" si="258"/>
        <v>-50.005328509871319</v>
      </c>
      <c r="BN270">
        <f t="shared" si="242"/>
        <v>-125.20345354000278</v>
      </c>
      <c r="BQ270" s="47">
        <f t="shared" si="259"/>
        <v>36.239828819724742</v>
      </c>
      <c r="BR270" s="529"/>
      <c r="BS270" s="529"/>
      <c r="BT270" s="529">
        <v>39810.716999999997</v>
      </c>
      <c r="BU270" s="529">
        <v>-0.92721699999999996</v>
      </c>
      <c r="BV270" s="529">
        <v>-143.22999999999999</v>
      </c>
      <c r="BY270" s="529"/>
      <c r="BZ270" s="529"/>
      <c r="CA270" s="529"/>
      <c r="CC270" s="529"/>
    </row>
    <row r="271" spans="1:81">
      <c r="A271">
        <f t="shared" si="211"/>
        <v>285000</v>
      </c>
      <c r="B271">
        <f t="shared" si="243"/>
        <v>285</v>
      </c>
      <c r="C271">
        <f t="shared" si="212"/>
        <v>1.7470678452924633</v>
      </c>
      <c r="D271">
        <f t="shared" si="213"/>
        <v>0.96138163340576754</v>
      </c>
      <c r="F271">
        <f t="shared" si="214"/>
        <v>1.1778647222375004E-4</v>
      </c>
      <c r="G271">
        <f t="shared" si="215"/>
        <v>3.2723475137494476E-3</v>
      </c>
      <c r="H271">
        <f t="shared" si="216"/>
        <v>-3.1383203024862509</v>
      </c>
      <c r="J271">
        <f t="shared" si="217"/>
        <v>15</v>
      </c>
      <c r="M271">
        <f t="shared" si="218"/>
        <v>5.2841291859156668E-3</v>
      </c>
      <c r="N271">
        <f t="shared" si="219"/>
        <v>-1.5707963250000001</v>
      </c>
      <c r="O271">
        <f t="shared" si="220"/>
        <v>138.87299116306448</v>
      </c>
      <c r="P271">
        <f t="shared" si="221"/>
        <v>1.5635954403316266</v>
      </c>
      <c r="Q271">
        <f t="shared" si="222"/>
        <v>108.38398028251972</v>
      </c>
      <c r="R271">
        <f t="shared" si="223"/>
        <v>1.5615697401180539</v>
      </c>
      <c r="S271">
        <f t="shared" si="224"/>
        <v>0.5476455918761004</v>
      </c>
      <c r="T271">
        <f t="shared" si="225"/>
        <v>-0.9912485751832999</v>
      </c>
      <c r="U271">
        <f t="shared" si="226"/>
        <v>0.38718693336952126</v>
      </c>
      <c r="V271">
        <f t="shared" si="227"/>
        <v>-1.1732177402587463</v>
      </c>
      <c r="X271">
        <f t="shared" si="244"/>
        <v>-25.67053909075609</v>
      </c>
      <c r="Y271">
        <f t="shared" si="228"/>
        <v>-159.68540772881957</v>
      </c>
      <c r="Z271">
        <f t="shared" si="245"/>
        <v>20.31459227118043</v>
      </c>
      <c r="AC271">
        <v>1</v>
      </c>
      <c r="AD271">
        <f t="shared" si="229"/>
        <v>138.86939070427499</v>
      </c>
      <c r="AE271">
        <f t="shared" si="230"/>
        <v>-2.0391309211028757E-2</v>
      </c>
      <c r="AF271">
        <f t="shared" si="231"/>
        <v>8.5631647498109996E-3</v>
      </c>
      <c r="AG271">
        <f t="shared" si="246"/>
        <v>2389.4717562910469</v>
      </c>
      <c r="AH271">
        <f t="shared" si="247"/>
        <v>-5806.7850948036676</v>
      </c>
      <c r="AJ271">
        <f t="shared" si="232"/>
        <v>22100</v>
      </c>
      <c r="AK271">
        <f t="shared" si="233"/>
        <v>33765.085076601063</v>
      </c>
      <c r="AL271">
        <v>1</v>
      </c>
      <c r="AM271">
        <f t="shared" si="234"/>
        <v>108.37936695645361</v>
      </c>
      <c r="AN271">
        <f t="shared" si="248"/>
        <v>313.40012113906175</v>
      </c>
      <c r="AO271">
        <f t="shared" si="249"/>
        <v>-201.02165652632669</v>
      </c>
      <c r="AQ271">
        <f t="shared" si="235"/>
        <v>3.0778606406259137E-2</v>
      </c>
      <c r="AR271">
        <f t="shared" si="236"/>
        <v>-17.543805651567709</v>
      </c>
      <c r="AT271">
        <f t="shared" si="209"/>
        <v>-101799.56455294997</v>
      </c>
      <c r="AU271">
        <f t="shared" si="210"/>
        <v>-42099.152855198983</v>
      </c>
      <c r="AV271">
        <f t="shared" si="250"/>
        <v>-2.7494605693519212</v>
      </c>
      <c r="AW271">
        <f t="shared" si="251"/>
        <v>-913.56748921660324</v>
      </c>
      <c r="AX271">
        <f t="shared" si="252"/>
        <v>-12058.648231717527</v>
      </c>
      <c r="AY271">
        <f t="shared" si="260"/>
        <v>-1.6464122349279355</v>
      </c>
      <c r="BA271">
        <f t="shared" si="237"/>
        <v>9.1093470922386501</v>
      </c>
      <c r="BB271">
        <f t="shared" si="253"/>
        <v>19.189745005103202</v>
      </c>
      <c r="BC271">
        <f t="shared" si="254"/>
        <v>-1.1030483344239856</v>
      </c>
      <c r="BD271">
        <f t="shared" si="238"/>
        <v>-243.2000142336459</v>
      </c>
      <c r="BF271">
        <f t="shared" si="239"/>
        <v>-31.020326109543998</v>
      </c>
      <c r="BG271">
        <f t="shared" si="240"/>
        <v>-187.92941237330828</v>
      </c>
      <c r="BH271">
        <f t="shared" si="255"/>
        <v>-7.9294123733082813</v>
      </c>
      <c r="BI271">
        <f t="shared" si="256"/>
        <v>-7.9294123733082813</v>
      </c>
      <c r="BJ271">
        <f t="shared" si="241"/>
        <v>0</v>
      </c>
      <c r="BK271">
        <f t="shared" si="257"/>
        <v>0</v>
      </c>
      <c r="BM271">
        <f t="shared" si="258"/>
        <v>-50.210071114647199</v>
      </c>
      <c r="BN271">
        <f t="shared" si="242"/>
        <v>-124.72939813966236</v>
      </c>
      <c r="BQ271" s="47">
        <f t="shared" si="259"/>
        <v>36.091705805388344</v>
      </c>
      <c r="BR271" s="529"/>
      <c r="BS271" s="529"/>
      <c r="BT271" s="529">
        <v>40738.027999999998</v>
      </c>
      <c r="BU271" s="529">
        <v>-0.80365399999999998</v>
      </c>
      <c r="BV271" s="529">
        <v>-142.31399999999999</v>
      </c>
      <c r="BY271" s="529"/>
      <c r="BZ271" s="529"/>
      <c r="CA271" s="529"/>
      <c r="CC271" s="529"/>
    </row>
    <row r="272" spans="1:81">
      <c r="A272">
        <f t="shared" si="211"/>
        <v>290000</v>
      </c>
      <c r="B272">
        <f t="shared" si="243"/>
        <v>290</v>
      </c>
      <c r="C272">
        <f t="shared" si="212"/>
        <v>1.7677348059821816</v>
      </c>
      <c r="D272">
        <f t="shared" si="213"/>
        <v>0.96951963497328253</v>
      </c>
      <c r="F272">
        <f t="shared" si="214"/>
        <v>1.137594380642873E-4</v>
      </c>
      <c r="G272">
        <f t="shared" si="215"/>
        <v>3.2159149392096587E-3</v>
      </c>
      <c r="H272">
        <f t="shared" si="216"/>
        <v>-3.1383767350607905</v>
      </c>
      <c r="J272">
        <f t="shared" si="217"/>
        <v>15</v>
      </c>
      <c r="M272">
        <f t="shared" si="218"/>
        <v>5.1930235102964316E-3</v>
      </c>
      <c r="N272">
        <f t="shared" si="219"/>
        <v>-1.5707963250000001</v>
      </c>
      <c r="O272">
        <f t="shared" si="220"/>
        <v>141.30923418783183</v>
      </c>
      <c r="P272">
        <f t="shared" si="221"/>
        <v>1.5637195893651146</v>
      </c>
      <c r="Q272">
        <f t="shared" si="222"/>
        <v>110.28529314845848</v>
      </c>
      <c r="R272">
        <f t="shared" si="223"/>
        <v>1.5617288104027134</v>
      </c>
      <c r="S272">
        <f t="shared" si="224"/>
        <v>0.54098386212520233</v>
      </c>
      <c r="T272">
        <f t="shared" si="225"/>
        <v>-0.99918983106482284</v>
      </c>
      <c r="U272">
        <f t="shared" si="226"/>
        <v>0.3814900966972905</v>
      </c>
      <c r="V272">
        <f t="shared" si="227"/>
        <v>-1.1793885573263292</v>
      </c>
      <c r="X272">
        <f t="shared" si="244"/>
        <v>-25.954563557512135</v>
      </c>
      <c r="Y272">
        <f t="shared" si="228"/>
        <v>-160.01470288261262</v>
      </c>
      <c r="Z272">
        <f t="shared" si="245"/>
        <v>19.985297117387375</v>
      </c>
      <c r="AC272">
        <v>1</v>
      </c>
      <c r="AD272">
        <f t="shared" si="229"/>
        <v>141.30569580434999</v>
      </c>
      <c r="AE272">
        <f t="shared" si="230"/>
        <v>-2.1113069924869415E-2</v>
      </c>
      <c r="AF272">
        <f t="shared" si="231"/>
        <v>8.7133957103340005E-3</v>
      </c>
      <c r="AG272">
        <f t="shared" si="246"/>
        <v>2319.6745261166966</v>
      </c>
      <c r="AH272">
        <f t="shared" si="247"/>
        <v>-5735.4735322728147</v>
      </c>
      <c r="AJ272">
        <f t="shared" si="232"/>
        <v>22100</v>
      </c>
      <c r="AK272">
        <f t="shared" si="233"/>
        <v>34357.45499022564</v>
      </c>
      <c r="AL272">
        <v>1</v>
      </c>
      <c r="AM272">
        <f t="shared" si="234"/>
        <v>110.28075935919841</v>
      </c>
      <c r="AN272">
        <f t="shared" si="248"/>
        <v>313.33671922303165</v>
      </c>
      <c r="AO272">
        <f t="shared" si="249"/>
        <v>-197.55634081023183</v>
      </c>
      <c r="AQ272">
        <f t="shared" si="235"/>
        <v>2.9726427686005689E-2</v>
      </c>
      <c r="AR272">
        <f t="shared" si="236"/>
        <v>-17.241328057883301</v>
      </c>
      <c r="AT272">
        <f t="shared" si="209"/>
        <v>-98818.225100166645</v>
      </c>
      <c r="AU272">
        <f t="shared" si="210"/>
        <v>-40164.764631495062</v>
      </c>
      <c r="AV272">
        <f t="shared" si="250"/>
        <v>-2.7555374853283907</v>
      </c>
      <c r="AW272">
        <f t="shared" si="251"/>
        <v>-860.31302259796121</v>
      </c>
      <c r="AX272">
        <f t="shared" si="252"/>
        <v>-11877.028960862546</v>
      </c>
      <c r="AY272">
        <f t="shared" si="260"/>
        <v>-1.6431050754305623</v>
      </c>
      <c r="BA272">
        <f t="shared" si="237"/>
        <v>8.9576391225704537</v>
      </c>
      <c r="BB272">
        <f t="shared" si="253"/>
        <v>19.043871239794964</v>
      </c>
      <c r="BC272">
        <f t="shared" si="254"/>
        <v>-1.1124324098978284</v>
      </c>
      <c r="BD272">
        <f t="shared" si="238"/>
        <v>-243.73768215354372</v>
      </c>
      <c r="BF272">
        <f t="shared" si="239"/>
        <v>-31.366212555061278</v>
      </c>
      <c r="BG272">
        <f t="shared" si="240"/>
        <v>-188.00404049753573</v>
      </c>
      <c r="BH272">
        <f t="shared" si="255"/>
        <v>-8.0040404975357262</v>
      </c>
      <c r="BI272">
        <f t="shared" si="256"/>
        <v>-8.0040404975357262</v>
      </c>
      <c r="BJ272">
        <f t="shared" si="241"/>
        <v>0</v>
      </c>
      <c r="BK272">
        <f t="shared" si="257"/>
        <v>0</v>
      </c>
      <c r="BM272">
        <f t="shared" si="258"/>
        <v>-50.410083794856241</v>
      </c>
      <c r="BN272">
        <f t="shared" si="242"/>
        <v>-124.266358343992</v>
      </c>
      <c r="BQ272" s="47">
        <f t="shared" si="259"/>
        <v>35.945832040080099</v>
      </c>
      <c r="BR272" s="529"/>
      <c r="BS272" s="529"/>
      <c r="BT272" s="529">
        <v>41686.938000000002</v>
      </c>
      <c r="BU272" s="529">
        <v>-0.666377</v>
      </c>
      <c r="BV272" s="529">
        <v>-141.465</v>
      </c>
      <c r="BY272" s="529"/>
      <c r="BZ272" s="529"/>
      <c r="CA272" s="529"/>
      <c r="CC272" s="529"/>
    </row>
    <row r="273" spans="1:81">
      <c r="A273">
        <f t="shared" si="211"/>
        <v>295000</v>
      </c>
      <c r="B273">
        <f t="shared" si="243"/>
        <v>295</v>
      </c>
      <c r="C273">
        <f t="shared" si="212"/>
        <v>1.788516128489571</v>
      </c>
      <c r="D273">
        <f t="shared" si="213"/>
        <v>0.97746903696495047</v>
      </c>
      <c r="F273">
        <f t="shared" si="214"/>
        <v>1.0993545722625943E-4</v>
      </c>
      <c r="G273">
        <f t="shared" si="215"/>
        <v>3.1613959672617772E-3</v>
      </c>
      <c r="H273">
        <f t="shared" si="216"/>
        <v>-3.1384312540327386</v>
      </c>
      <c r="J273">
        <f t="shared" si="217"/>
        <v>15</v>
      </c>
      <c r="M273">
        <f t="shared" si="218"/>
        <v>5.1050061626642879E-3</v>
      </c>
      <c r="N273">
        <f t="shared" si="219"/>
        <v>-1.5707963250000001</v>
      </c>
      <c r="O273">
        <f t="shared" si="220"/>
        <v>143.74547931676921</v>
      </c>
      <c r="P273">
        <f t="shared" si="221"/>
        <v>1.5638395301640144</v>
      </c>
      <c r="Q273">
        <f t="shared" si="222"/>
        <v>112.18660871039668</v>
      </c>
      <c r="R273">
        <f t="shared" si="223"/>
        <v>1.5618824889102414</v>
      </c>
      <c r="S273">
        <f t="shared" si="224"/>
        <v>0.53444975757032265</v>
      </c>
      <c r="T273">
        <f t="shared" si="225"/>
        <v>-1.006939733957734</v>
      </c>
      <c r="U273">
        <f t="shared" si="226"/>
        <v>0.37594477033618529</v>
      </c>
      <c r="V273">
        <f t="shared" si="227"/>
        <v>-1.1853801995092992</v>
      </c>
      <c r="X273">
        <f t="shared" si="244"/>
        <v>-26.234313496334064</v>
      </c>
      <c r="Y273">
        <f t="shared" si="228"/>
        <v>-160.33401471158322</v>
      </c>
      <c r="Z273">
        <f t="shared" si="245"/>
        <v>19.665985288416778</v>
      </c>
      <c r="AC273">
        <v>1</v>
      </c>
      <c r="AD273">
        <f t="shared" si="229"/>
        <v>143.742000904425</v>
      </c>
      <c r="AE273">
        <f t="shared" si="230"/>
        <v>-2.1847382998950778E-2</v>
      </c>
      <c r="AF273">
        <f t="shared" si="231"/>
        <v>8.8636266708570013E-3</v>
      </c>
      <c r="AG273">
        <f t="shared" si="246"/>
        <v>2252.7272486087554</v>
      </c>
      <c r="AH273">
        <f t="shared" si="247"/>
        <v>-5665.4230663432054</v>
      </c>
      <c r="AJ273">
        <f t="shared" si="232"/>
        <v>22100</v>
      </c>
      <c r="AK273">
        <f t="shared" si="233"/>
        <v>34949.824903850218</v>
      </c>
      <c r="AL273">
        <v>1</v>
      </c>
      <c r="AM273">
        <f t="shared" si="234"/>
        <v>112.18215176194319</v>
      </c>
      <c r="AN273">
        <f t="shared" si="248"/>
        <v>313.27651339190908</v>
      </c>
      <c r="AO273">
        <f t="shared" si="249"/>
        <v>-194.2084649333589</v>
      </c>
      <c r="AQ273">
        <f t="shared" si="235"/>
        <v>2.8727294664479562E-2</v>
      </c>
      <c r="AR273">
        <f t="shared" si="236"/>
        <v>-16.949103852042942</v>
      </c>
      <c r="AT273">
        <f t="shared" si="209"/>
        <v>-95959.129157741074</v>
      </c>
      <c r="AU273">
        <f t="shared" si="210"/>
        <v>-38344.460364822531</v>
      </c>
      <c r="AV273">
        <f t="shared" si="250"/>
        <v>-2.7614384093038535</v>
      </c>
      <c r="AW273">
        <f t="shared" si="251"/>
        <v>-810.38322084776769</v>
      </c>
      <c r="AX273">
        <f t="shared" si="252"/>
        <v>-11700.52329538553</v>
      </c>
      <c r="AY273">
        <f t="shared" si="260"/>
        <v>-1.6399463222905402</v>
      </c>
      <c r="BA273">
        <f t="shared" si="237"/>
        <v>8.8106855203112886</v>
      </c>
      <c r="BB273">
        <f t="shared" si="253"/>
        <v>18.90019400503115</v>
      </c>
      <c r="BC273">
        <f t="shared" si="254"/>
        <v>-1.1214920870133134</v>
      </c>
      <c r="BD273">
        <f t="shared" si="238"/>
        <v>-244.25676341660539</v>
      </c>
      <c r="BF273">
        <f t="shared" si="239"/>
        <v>-31.705367856107326</v>
      </c>
      <c r="BG273">
        <f t="shared" si="240"/>
        <v>-188.07077828330105</v>
      </c>
      <c r="BH273">
        <f t="shared" si="255"/>
        <v>-8.0707782833010526</v>
      </c>
      <c r="BI273">
        <f t="shared" si="256"/>
        <v>-8.0707782833010526</v>
      </c>
      <c r="BJ273">
        <f t="shared" si="241"/>
        <v>0</v>
      </c>
      <c r="BK273">
        <f t="shared" si="257"/>
        <v>0</v>
      </c>
      <c r="BM273">
        <f t="shared" si="258"/>
        <v>-50.605561861138469</v>
      </c>
      <c r="BN273">
        <f t="shared" si="242"/>
        <v>-123.81401486669569</v>
      </c>
      <c r="BQ273" s="47">
        <f t="shared" si="259"/>
        <v>35.802154805316285</v>
      </c>
      <c r="BR273" s="529"/>
      <c r="BS273" s="529"/>
      <c r="BT273" s="529">
        <v>42657.951999999997</v>
      </c>
      <c r="BU273" s="529">
        <v>-0.55182299999999995</v>
      </c>
      <c r="BV273" s="529">
        <v>-140.39099999999999</v>
      </c>
      <c r="BY273" s="529"/>
      <c r="BZ273" s="529"/>
      <c r="CA273" s="529"/>
      <c r="CC273" s="529"/>
    </row>
    <row r="274" spans="1:81">
      <c r="A274">
        <f t="shared" si="211"/>
        <v>300000</v>
      </c>
      <c r="B274">
        <f t="shared" si="243"/>
        <v>300</v>
      </c>
      <c r="C274">
        <f t="shared" si="212"/>
        <v>1.809407872430713</v>
      </c>
      <c r="D274">
        <f t="shared" si="213"/>
        <v>0.9852353499463854</v>
      </c>
      <c r="F274">
        <f t="shared" si="214"/>
        <v>1.0630110392440391E-4</v>
      </c>
      <c r="G274">
        <f t="shared" si="215"/>
        <v>3.1086948765575943E-3</v>
      </c>
      <c r="H274">
        <f t="shared" si="216"/>
        <v>-3.1384839551234425</v>
      </c>
      <c r="J274">
        <f t="shared" si="217"/>
        <v>15</v>
      </c>
      <c r="M274">
        <f t="shared" si="218"/>
        <v>5.0199227266198836E-3</v>
      </c>
      <c r="N274">
        <f t="shared" si="219"/>
        <v>-1.5707963250000001</v>
      </c>
      <c r="O274">
        <f t="shared" si="220"/>
        <v>146.18172644467313</v>
      </c>
      <c r="P274">
        <f t="shared" si="221"/>
        <v>1.5639554731265857</v>
      </c>
      <c r="Q274">
        <f t="shared" si="222"/>
        <v>114.08792683354498</v>
      </c>
      <c r="R274">
        <f t="shared" si="223"/>
        <v>1.5620310452011597</v>
      </c>
      <c r="S274">
        <f t="shared" si="224"/>
        <v>0.52804102241213313</v>
      </c>
      <c r="T274">
        <f t="shared" si="225"/>
        <v>-1.0145042196974468</v>
      </c>
      <c r="U274">
        <f t="shared" si="226"/>
        <v>0.37054561156314991</v>
      </c>
      <c r="V274">
        <f t="shared" si="227"/>
        <v>-1.1911999468235763</v>
      </c>
      <c r="X274">
        <f t="shared" si="244"/>
        <v>-26.509906925327442</v>
      </c>
      <c r="Y274">
        <f t="shared" si="228"/>
        <v>-160.64376268090012</v>
      </c>
      <c r="Z274">
        <f t="shared" si="245"/>
        <v>19.356237319099876</v>
      </c>
      <c r="AC274">
        <v>1</v>
      </c>
      <c r="AD274">
        <f t="shared" si="229"/>
        <v>146.1783060045</v>
      </c>
      <c r="AE274">
        <f t="shared" si="230"/>
        <v>-2.2594248433272856E-2</v>
      </c>
      <c r="AF274">
        <f t="shared" si="231"/>
        <v>9.0138576313800005E-3</v>
      </c>
      <c r="AG274">
        <f t="shared" si="246"/>
        <v>2188.4864646868023</v>
      </c>
      <c r="AH274">
        <f t="shared" si="247"/>
        <v>-5596.6278744370729</v>
      </c>
      <c r="AJ274">
        <f t="shared" si="232"/>
        <v>22100</v>
      </c>
      <c r="AK274">
        <f t="shared" si="233"/>
        <v>35542.194817474796</v>
      </c>
      <c r="AL274">
        <v>1</v>
      </c>
      <c r="AM274">
        <f t="shared" si="234"/>
        <v>114.08354416468799</v>
      </c>
      <c r="AN274">
        <f t="shared" si="248"/>
        <v>313.21929238669935</v>
      </c>
      <c r="AO274">
        <f t="shared" si="249"/>
        <v>-190.97215875553869</v>
      </c>
      <c r="AQ274">
        <f t="shared" si="235"/>
        <v>2.7777700617498284E-2</v>
      </c>
      <c r="AR274">
        <f t="shared" si="236"/>
        <v>-16.666620370498972</v>
      </c>
      <c r="AT274">
        <f t="shared" si="209"/>
        <v>-93216.081016373762</v>
      </c>
      <c r="AU274">
        <f t="shared" si="210"/>
        <v>-36630.134546473993</v>
      </c>
      <c r="AV274">
        <f t="shared" si="250"/>
        <v>-2.7671704621633246</v>
      </c>
      <c r="AW274">
        <f t="shared" si="251"/>
        <v>-763.51531592874164</v>
      </c>
      <c r="AX274">
        <f t="shared" si="252"/>
        <v>-11528.926182898053</v>
      </c>
      <c r="AY274">
        <f t="shared" si="260"/>
        <v>-1.6369258171332142</v>
      </c>
      <c r="BA274">
        <f t="shared" si="237"/>
        <v>8.6682824265719916</v>
      </c>
      <c r="BB274">
        <f t="shared" si="253"/>
        <v>18.758661057809249</v>
      </c>
      <c r="BC274">
        <f t="shared" si="254"/>
        <v>-1.1302446450301105</v>
      </c>
      <c r="BD274">
        <f t="shared" si="238"/>
        <v>-244.75824805148429</v>
      </c>
      <c r="BF274">
        <f t="shared" si="239"/>
        <v>-32.03802875765787</v>
      </c>
      <c r="BG274">
        <f t="shared" si="240"/>
        <v>-188.13030551153412</v>
      </c>
      <c r="BH274">
        <f t="shared" si="255"/>
        <v>-8.1303055115341181</v>
      </c>
      <c r="BI274">
        <f t="shared" si="256"/>
        <v>-8.1303055115341181</v>
      </c>
      <c r="BJ274">
        <f t="shared" si="241"/>
        <v>0</v>
      </c>
      <c r="BK274">
        <f t="shared" si="257"/>
        <v>0</v>
      </c>
      <c r="BM274">
        <f t="shared" si="258"/>
        <v>-50.796689815467118</v>
      </c>
      <c r="BN274">
        <f t="shared" si="242"/>
        <v>-123.37205746004983</v>
      </c>
      <c r="BQ274" s="47">
        <f t="shared" si="259"/>
        <v>35.66062185809438</v>
      </c>
      <c r="BR274" s="529"/>
      <c r="BS274" s="529"/>
      <c r="BT274" s="529">
        <v>43651.582999999999</v>
      </c>
      <c r="BU274" s="529">
        <v>-0.43071199999999998</v>
      </c>
      <c r="BV274" s="529">
        <v>-139.065</v>
      </c>
      <c r="BY274" s="529"/>
      <c r="BZ274" s="529"/>
      <c r="CA274" s="529"/>
      <c r="CC274" s="529"/>
    </row>
    <row r="275" spans="1:81">
      <c r="A275">
        <f t="shared" si="211"/>
        <v>305000</v>
      </c>
      <c r="B275">
        <f t="shared" si="243"/>
        <v>305</v>
      </c>
      <c r="C275">
        <f t="shared" si="212"/>
        <v>1.8304062568516331</v>
      </c>
      <c r="D275">
        <f t="shared" si="213"/>
        <v>0.9928239219674968</v>
      </c>
      <c r="F275">
        <f t="shared" si="214"/>
        <v>1.028440439742173E-4</v>
      </c>
      <c r="G275">
        <f t="shared" si="215"/>
        <v>3.0577222258550032E-3</v>
      </c>
      <c r="H275">
        <f t="shared" si="216"/>
        <v>-3.138534927774145</v>
      </c>
      <c r="J275">
        <f t="shared" si="217"/>
        <v>15</v>
      </c>
      <c r="M275">
        <f t="shared" si="218"/>
        <v>4.9376289114293941E-3</v>
      </c>
      <c r="N275">
        <f t="shared" si="219"/>
        <v>-1.5707963250000001</v>
      </c>
      <c r="O275">
        <f t="shared" si="220"/>
        <v>148.61797547323835</v>
      </c>
      <c r="P275">
        <f t="shared" si="221"/>
        <v>1.564067614855557</v>
      </c>
      <c r="Q275">
        <f t="shared" si="222"/>
        <v>115.98924739195184</v>
      </c>
      <c r="R275">
        <f t="shared" si="223"/>
        <v>1.5621747311621561</v>
      </c>
      <c r="S275">
        <f t="shared" si="224"/>
        <v>0.52175536214479712</v>
      </c>
      <c r="T275">
        <f t="shared" si="225"/>
        <v>-1.021889028416632</v>
      </c>
      <c r="U275">
        <f t="shared" si="226"/>
        <v>0.36528748663589361</v>
      </c>
      <c r="V275">
        <f t="shared" si="227"/>
        <v>-1.1968547141359327</v>
      </c>
      <c r="X275">
        <f t="shared" si="244"/>
        <v>-26.781457379145049</v>
      </c>
      <c r="Y275">
        <f t="shared" si="228"/>
        <v>-160.94434487598824</v>
      </c>
      <c r="Z275">
        <f t="shared" si="245"/>
        <v>19.055655124011764</v>
      </c>
      <c r="AC275">
        <v>1</v>
      </c>
      <c r="AD275">
        <f t="shared" si="229"/>
        <v>148.614611104575</v>
      </c>
      <c r="AE275">
        <f t="shared" si="230"/>
        <v>-2.3353666227835638E-2</v>
      </c>
      <c r="AF275">
        <f t="shared" si="231"/>
        <v>9.1640885919030014E-3</v>
      </c>
      <c r="AG275">
        <f t="shared" si="246"/>
        <v>2126.8169209178741</v>
      </c>
      <c r="AH275">
        <f t="shared" si="247"/>
        <v>-5529.0792958503353</v>
      </c>
      <c r="AJ275">
        <f t="shared" si="232"/>
        <v>22100</v>
      </c>
      <c r="AK275">
        <f t="shared" si="233"/>
        <v>36134.564731099381</v>
      </c>
      <c r="AL275">
        <v>1</v>
      </c>
      <c r="AM275">
        <f t="shared" si="234"/>
        <v>115.9849365674328</v>
      </c>
      <c r="AN275">
        <f t="shared" si="248"/>
        <v>313.16486211894926</v>
      </c>
      <c r="AO275">
        <f t="shared" si="249"/>
        <v>-187.84193691578514</v>
      </c>
      <c r="AQ275">
        <f t="shared" si="235"/>
        <v>2.6874423879538083E-2</v>
      </c>
      <c r="AR275">
        <f t="shared" si="236"/>
        <v>-16.393398566518229</v>
      </c>
      <c r="AT275">
        <f t="shared" si="209"/>
        <v>-90583.243623311588</v>
      </c>
      <c r="AU275">
        <f t="shared" si="210"/>
        <v>-35014.348283282052</v>
      </c>
      <c r="AV275">
        <f t="shared" si="250"/>
        <v>-2.7727404100764228</v>
      </c>
      <c r="AW275">
        <f t="shared" si="251"/>
        <v>-719.47120400633708</v>
      </c>
      <c r="AX275">
        <f t="shared" si="252"/>
        <v>-11362.043267821195</v>
      </c>
      <c r="AY275">
        <f t="shared" si="260"/>
        <v>-1.6340342381591606</v>
      </c>
      <c r="BA275">
        <f t="shared" si="237"/>
        <v>8.5302358939835479</v>
      </c>
      <c r="BB275">
        <f t="shared" si="253"/>
        <v>18.619220825082753</v>
      </c>
      <c r="BC275">
        <f t="shared" si="254"/>
        <v>-1.1387061719172622</v>
      </c>
      <c r="BD275">
        <f t="shared" si="238"/>
        <v>-245.24305783090853</v>
      </c>
      <c r="BF275">
        <f t="shared" si="239"/>
        <v>-32.364421252964121</v>
      </c>
      <c r="BG275">
        <f t="shared" si="240"/>
        <v>-188.18324265887998</v>
      </c>
      <c r="BH275">
        <f t="shared" si="255"/>
        <v>-8.1832426588799763</v>
      </c>
      <c r="BI275">
        <f t="shared" si="256"/>
        <v>-8.1832426588799763</v>
      </c>
      <c r="BJ275">
        <f t="shared" si="241"/>
        <v>0</v>
      </c>
      <c r="BK275">
        <f t="shared" si="257"/>
        <v>0</v>
      </c>
      <c r="BM275">
        <f t="shared" si="258"/>
        <v>-50.983642078046863</v>
      </c>
      <c r="BN275">
        <f t="shared" si="242"/>
        <v>-122.94018482797145</v>
      </c>
      <c r="BQ275" s="47">
        <f t="shared" si="259"/>
        <v>35.521181625367888</v>
      </c>
      <c r="BR275" s="529"/>
      <c r="BS275" s="529"/>
      <c r="BT275" s="529">
        <v>44668.358999999997</v>
      </c>
      <c r="BU275" s="529">
        <v>-0.21105299999999999</v>
      </c>
      <c r="BV275" s="529">
        <v>-136.58699999999999</v>
      </c>
      <c r="BY275" s="529"/>
      <c r="BZ275" s="529"/>
      <c r="CA275" s="529"/>
      <c r="CC275" s="529"/>
    </row>
    <row r="276" spans="1:81">
      <c r="A276">
        <f t="shared" si="211"/>
        <v>310000</v>
      </c>
      <c r="B276">
        <f t="shared" si="243"/>
        <v>310</v>
      </c>
      <c r="C276">
        <f t="shared" si="212"/>
        <v>1.8515076534514856</v>
      </c>
      <c r="D276">
        <f t="shared" si="213"/>
        <v>1.0002399410181559</v>
      </c>
      <c r="F276">
        <f t="shared" si="214"/>
        <v>9.9552929990248302E-5</v>
      </c>
      <c r="G276">
        <f t="shared" si="215"/>
        <v>3.0083943472464536E-3</v>
      </c>
      <c r="H276">
        <f t="shared" si="216"/>
        <v>-3.1385842556527539</v>
      </c>
      <c r="J276">
        <f t="shared" si="217"/>
        <v>15</v>
      </c>
      <c r="M276">
        <f t="shared" si="218"/>
        <v>4.8579897354385964E-3</v>
      </c>
      <c r="N276">
        <f t="shared" si="219"/>
        <v>-1.5707963250000001</v>
      </c>
      <c r="O276">
        <f t="shared" si="220"/>
        <v>151.05422631050149</v>
      </c>
      <c r="P276">
        <f t="shared" si="221"/>
        <v>1.5641761392705684</v>
      </c>
      <c r="Q276">
        <f t="shared" si="222"/>
        <v>117.89057026779085</v>
      </c>
      <c r="R276">
        <f t="shared" si="223"/>
        <v>1.5623137824311792</v>
      </c>
      <c r="S276">
        <f t="shared" si="224"/>
        <v>0.51559045459185371</v>
      </c>
      <c r="T276">
        <f t="shared" si="225"/>
        <v>-1.0290997092353351</v>
      </c>
      <c r="U276">
        <f t="shared" si="226"/>
        <v>0.36016546400645072</v>
      </c>
      <c r="V276">
        <f t="shared" si="227"/>
        <v>-1.202351072019394</v>
      </c>
      <c r="X276">
        <f t="shared" si="244"/>
        <v>-27.049074119647489</v>
      </c>
      <c r="Y276">
        <f t="shared" si="228"/>
        <v>-161.23613920912516</v>
      </c>
      <c r="Z276">
        <f t="shared" si="245"/>
        <v>18.763860790874844</v>
      </c>
      <c r="AC276">
        <v>1</v>
      </c>
      <c r="AD276">
        <f t="shared" si="229"/>
        <v>151.05091620465001</v>
      </c>
      <c r="AE276">
        <f t="shared" si="230"/>
        <v>-2.4125636382639131E-2</v>
      </c>
      <c r="AF276">
        <f t="shared" si="231"/>
        <v>9.3143195524260022E-3</v>
      </c>
      <c r="AG276">
        <f t="shared" si="246"/>
        <v>2067.5910765780745</v>
      </c>
      <c r="AH276">
        <f t="shared" si="247"/>
        <v>-5462.7662509452257</v>
      </c>
      <c r="AJ276">
        <f t="shared" si="232"/>
        <v>22100</v>
      </c>
      <c r="AK276">
        <f t="shared" si="233"/>
        <v>36726.934644723959</v>
      </c>
      <c r="AL276">
        <v>1</v>
      </c>
      <c r="AM276">
        <f t="shared" si="234"/>
        <v>117.8863289701776</v>
      </c>
      <c r="AN276">
        <f t="shared" si="248"/>
        <v>313.11304402292001</v>
      </c>
      <c r="AO276">
        <f t="shared" si="249"/>
        <v>-184.8126678156942</v>
      </c>
      <c r="AQ276">
        <f t="shared" si="235"/>
        <v>2.6014500482568984E-2</v>
      </c>
      <c r="AR276">
        <f t="shared" si="236"/>
        <v>-16.128990299192768</v>
      </c>
      <c r="AT276">
        <f t="shared" si="209"/>
        <v>-88055.116519193805</v>
      </c>
      <c r="AU276">
        <f t="shared" si="210"/>
        <v>-33490.267552096673</v>
      </c>
      <c r="AV276">
        <f t="shared" si="250"/>
        <v>-2.7781546845114429</v>
      </c>
      <c r="AW276">
        <f t="shared" si="251"/>
        <v>-678.034796499805</v>
      </c>
      <c r="AX276">
        <f t="shared" si="252"/>
        <v>-11199.690179415817</v>
      </c>
      <c r="AY276">
        <f t="shared" si="260"/>
        <v>-1.6312630214774058</v>
      </c>
      <c r="BA276">
        <f t="shared" si="237"/>
        <v>8.3963614851474944</v>
      </c>
      <c r="BB276">
        <f t="shared" si="253"/>
        <v>18.481822556342948</v>
      </c>
      <c r="BC276">
        <f t="shared" si="254"/>
        <v>-1.1468916630340371</v>
      </c>
      <c r="BD276">
        <f t="shared" si="238"/>
        <v>-245.71205192567746</v>
      </c>
      <c r="BF276">
        <f t="shared" si="239"/>
        <v>-32.684761100854239</v>
      </c>
      <c r="BG276">
        <f t="shared" si="240"/>
        <v>-188.23015644003186</v>
      </c>
      <c r="BH276">
        <f t="shared" si="255"/>
        <v>-8.2301564400318625</v>
      </c>
      <c r="BI276">
        <f t="shared" si="256"/>
        <v>-8.2301564400318625</v>
      </c>
      <c r="BJ276">
        <f t="shared" si="241"/>
        <v>0</v>
      </c>
      <c r="BK276">
        <f t="shared" si="257"/>
        <v>0</v>
      </c>
      <c r="BM276">
        <f t="shared" si="258"/>
        <v>-51.166583657197187</v>
      </c>
      <c r="BN276">
        <f t="shared" si="242"/>
        <v>-122.51810451435441</v>
      </c>
      <c r="BQ276" s="47">
        <f t="shared" si="259"/>
        <v>35.383783356628086</v>
      </c>
      <c r="BR276" s="529"/>
      <c r="BS276" s="529"/>
      <c r="BT276" s="529">
        <v>45708.819000000003</v>
      </c>
      <c r="BU276" s="529">
        <v>0.52166999999999997</v>
      </c>
      <c r="BV276" s="529">
        <v>-135.751</v>
      </c>
      <c r="BY276" s="529"/>
      <c r="BZ276" s="529"/>
      <c r="CA276" s="529"/>
      <c r="CC276" s="529"/>
    </row>
    <row r="277" spans="1:81">
      <c r="A277">
        <f t="shared" si="211"/>
        <v>315000</v>
      </c>
      <c r="B277">
        <f t="shared" si="243"/>
        <v>315</v>
      </c>
      <c r="C277">
        <f t="shared" si="212"/>
        <v>1.8727085800566245</v>
      </c>
      <c r="D277">
        <f t="shared" si="213"/>
        <v>1.0074884377986699</v>
      </c>
      <c r="F277">
        <f t="shared" si="214"/>
        <v>9.6417308138323419E-5</v>
      </c>
      <c r="G277">
        <f t="shared" si="215"/>
        <v>2.9606328876851575E-3</v>
      </c>
      <c r="H277">
        <f t="shared" si="216"/>
        <v>-3.138632017112315</v>
      </c>
      <c r="J277">
        <f t="shared" si="217"/>
        <v>15</v>
      </c>
      <c r="M277">
        <f t="shared" si="218"/>
        <v>4.7808787872570318E-3</v>
      </c>
      <c r="N277">
        <f t="shared" si="219"/>
        <v>-1.5707963250000001</v>
      </c>
      <c r="O277">
        <f t="shared" si="220"/>
        <v>153.49047887033785</v>
      </c>
      <c r="P277">
        <f t="shared" si="221"/>
        <v>1.564281218614676</v>
      </c>
      <c r="Q277">
        <f t="shared" si="222"/>
        <v>119.79189535071596</v>
      </c>
      <c r="R277">
        <f t="shared" si="223"/>
        <v>1.5624484196868333</v>
      </c>
      <c r="S277">
        <f t="shared" si="224"/>
        <v>0.50954395970522159</v>
      </c>
      <c r="T277">
        <f t="shared" si="225"/>
        <v>-1.0361416251410802</v>
      </c>
      <c r="U277">
        <f t="shared" si="226"/>
        <v>0.35517480740700508</v>
      </c>
      <c r="V277">
        <f t="shared" si="227"/>
        <v>-1.2076952663524116</v>
      </c>
      <c r="X277">
        <f t="shared" si="244"/>
        <v>-27.312862334601682</v>
      </c>
      <c r="Y277">
        <f t="shared" si="228"/>
        <v>-161.51950455798681</v>
      </c>
      <c r="Z277">
        <f t="shared" si="245"/>
        <v>18.480495442013193</v>
      </c>
      <c r="AC277">
        <v>1</v>
      </c>
      <c r="AD277">
        <f t="shared" si="229"/>
        <v>153.48722130472501</v>
      </c>
      <c r="AE277">
        <f t="shared" si="230"/>
        <v>-2.4910158897683322E-2</v>
      </c>
      <c r="AF277">
        <f t="shared" si="231"/>
        <v>9.4645505129490014E-3</v>
      </c>
      <c r="AG277">
        <f t="shared" si="246"/>
        <v>2010.6886379126402</v>
      </c>
      <c r="AH277">
        <f t="shared" si="247"/>
        <v>-5397.6756100858465</v>
      </c>
      <c r="AJ277">
        <f t="shared" si="232"/>
        <v>22100</v>
      </c>
      <c r="AK277">
        <f t="shared" si="233"/>
        <v>37319.304558348544</v>
      </c>
      <c r="AL277">
        <v>1</v>
      </c>
      <c r="AM277">
        <f t="shared" si="234"/>
        <v>119.78772137292241</v>
      </c>
      <c r="AN277">
        <f t="shared" si="248"/>
        <v>313.06367358934369</v>
      </c>
      <c r="AO277">
        <f t="shared" si="249"/>
        <v>-181.87954555528859</v>
      </c>
      <c r="AQ277">
        <f t="shared" si="235"/>
        <v>2.5195199810532098E-2</v>
      </c>
      <c r="AR277">
        <f t="shared" si="236"/>
        <v>-15.872975880635222</v>
      </c>
      <c r="AT277">
        <f t="shared" si="209"/>
        <v>-85626.515068396679</v>
      </c>
      <c r="AU277">
        <f t="shared" si="210"/>
        <v>-32051.607768563172</v>
      </c>
      <c r="AV277">
        <f t="shared" si="250"/>
        <v>-2.7834194010733082</v>
      </c>
      <c r="AW277">
        <f t="shared" si="251"/>
        <v>-639.0096889950637</v>
      </c>
      <c r="AX277">
        <f t="shared" si="252"/>
        <v>-11041.691881148181</v>
      </c>
      <c r="AY277">
        <f t="shared" si="260"/>
        <v>-1.6286042905941824</v>
      </c>
      <c r="BA277">
        <f t="shared" si="237"/>
        <v>8.266483858904035</v>
      </c>
      <c r="BB277">
        <f t="shared" si="253"/>
        <v>18.346416441613961</v>
      </c>
      <c r="BC277">
        <f t="shared" si="254"/>
        <v>-1.1548151104791258</v>
      </c>
      <c r="BD277">
        <f t="shared" si="238"/>
        <v>-246.16603202399352</v>
      </c>
      <c r="BF277">
        <f t="shared" si="239"/>
        <v>-32.999254325738512</v>
      </c>
      <c r="BG277">
        <f t="shared" si="240"/>
        <v>-188.27156479459506</v>
      </c>
      <c r="BH277">
        <f t="shared" si="255"/>
        <v>-8.271564794595065</v>
      </c>
      <c r="BI277">
        <f t="shared" si="256"/>
        <v>-8.271564794595065</v>
      </c>
      <c r="BJ277">
        <f t="shared" si="241"/>
        <v>0</v>
      </c>
      <c r="BK277">
        <f t="shared" si="257"/>
        <v>0</v>
      </c>
      <c r="BM277">
        <f t="shared" si="258"/>
        <v>-51.345670767352473</v>
      </c>
      <c r="BN277">
        <f t="shared" si="242"/>
        <v>-122.10553277060158</v>
      </c>
      <c r="BQ277" s="47">
        <f t="shared" si="259"/>
        <v>35.248377241899092</v>
      </c>
      <c r="BR277" s="529"/>
      <c r="BS277" s="529"/>
      <c r="BT277" s="529">
        <v>46773.514000000003</v>
      </c>
      <c r="BU277" s="529">
        <v>0.78233600000000003</v>
      </c>
      <c r="BV277" s="529">
        <v>-137.57599999999999</v>
      </c>
      <c r="BY277" s="529"/>
      <c r="BZ277" s="529"/>
      <c r="CA277" s="529"/>
      <c r="CC277" s="529"/>
    </row>
    <row r="278" spans="1:81">
      <c r="A278">
        <f t="shared" si="211"/>
        <v>320000</v>
      </c>
      <c r="B278">
        <f t="shared" si="243"/>
        <v>320</v>
      </c>
      <c r="C278">
        <f t="shared" si="212"/>
        <v>1.8940056943437165</v>
      </c>
      <c r="D278">
        <f t="shared" si="213"/>
        <v>1.0145742887495608</v>
      </c>
      <c r="F278">
        <f t="shared" si="214"/>
        <v>9.342753500852385E-5</v>
      </c>
      <c r="G278">
        <f t="shared" si="215"/>
        <v>2.9143643935223267E-3</v>
      </c>
      <c r="H278">
        <f t="shared" si="216"/>
        <v>-3.1386782856064781</v>
      </c>
      <c r="J278">
        <f t="shared" si="217"/>
        <v>15</v>
      </c>
      <c r="M278">
        <f t="shared" si="218"/>
        <v>4.7061775562061408E-3</v>
      </c>
      <c r="N278">
        <f t="shared" si="219"/>
        <v>-1.5707963250000001</v>
      </c>
      <c r="O278">
        <f t="shared" si="220"/>
        <v>155.92673307200522</v>
      </c>
      <c r="P278">
        <f t="shared" si="221"/>
        <v>1.5643830143665065</v>
      </c>
      <c r="Q278">
        <f t="shared" si="222"/>
        <v>121.69322253727719</v>
      </c>
      <c r="R278">
        <f t="shared" si="223"/>
        <v>1.5625788498169135</v>
      </c>
      <c r="S278">
        <f t="shared" si="224"/>
        <v>0.50361352824096628</v>
      </c>
      <c r="T278">
        <f t="shared" si="225"/>
        <v>-1.0430199580065374</v>
      </c>
      <c r="U278">
        <f t="shared" si="226"/>
        <v>0.35031096888332969</v>
      </c>
      <c r="V278">
        <f t="shared" si="227"/>
        <v>-1.212893236732157</v>
      </c>
      <c r="X278">
        <f t="shared" si="244"/>
        <v>-27.572923325287391</v>
      </c>
      <c r="Y278">
        <f t="shared" si="228"/>
        <v>-161.79478183913963</v>
      </c>
      <c r="Z278">
        <f t="shared" si="245"/>
        <v>18.205218160860369</v>
      </c>
      <c r="AC278">
        <v>1</v>
      </c>
      <c r="AD278">
        <f t="shared" si="229"/>
        <v>155.92352640480001</v>
      </c>
      <c r="AE278">
        <f t="shared" si="230"/>
        <v>-2.5707233772968227E-2</v>
      </c>
      <c r="AF278">
        <f t="shared" si="231"/>
        <v>9.6147814734720005E-3</v>
      </c>
      <c r="AG278">
        <f t="shared" si="246"/>
        <v>1955.9961188499415</v>
      </c>
      <c r="AH278">
        <f t="shared" si="247"/>
        <v>-5333.7925180919437</v>
      </c>
      <c r="AJ278">
        <f t="shared" si="232"/>
        <v>22100</v>
      </c>
      <c r="AK278">
        <f t="shared" si="233"/>
        <v>37911.674471973121</v>
      </c>
      <c r="AL278">
        <v>1</v>
      </c>
      <c r="AM278">
        <f t="shared" si="234"/>
        <v>121.68911377566721</v>
      </c>
      <c r="AN278">
        <f t="shared" si="248"/>
        <v>313.0165990582492</v>
      </c>
      <c r="AO278">
        <f t="shared" si="249"/>
        <v>-179.03806449857018</v>
      </c>
      <c r="AQ278">
        <f t="shared" si="235"/>
        <v>2.4414002895500744E-2</v>
      </c>
      <c r="AR278">
        <f t="shared" si="236"/>
        <v>-15.624961853120476</v>
      </c>
      <c r="AT278">
        <f t="shared" ref="AT278:AT341" si="261">-AR278*AH278+AG278*AQ278</f>
        <v>-83292.550932736835</v>
      </c>
      <c r="AU278">
        <f t="shared" ref="AU278:AU341" si="262">AQ278*AH278+AG278*AR278</f>
        <v>-30692.583967862738</v>
      </c>
      <c r="AV278">
        <f t="shared" si="250"/>
        <v>-2.7885403772270072</v>
      </c>
      <c r="AW278">
        <f t="shared" si="251"/>
        <v>-602.21710609625575</v>
      </c>
      <c r="AX278">
        <f t="shared" si="252"/>
        <v>-10887.88207453092</v>
      </c>
      <c r="AY278">
        <f t="shared" si="260"/>
        <v>-1.6260507931524177</v>
      </c>
      <c r="BA278">
        <f t="shared" si="237"/>
        <v>8.1404363526663399</v>
      </c>
      <c r="BB278">
        <f t="shared" si="253"/>
        <v>18.212953700919211</v>
      </c>
      <c r="BC278">
        <f t="shared" si="254"/>
        <v>-1.1624895840745895</v>
      </c>
      <c r="BD278">
        <f t="shared" si="238"/>
        <v>-246.60574697150059</v>
      </c>
      <c r="BF278">
        <f t="shared" si="239"/>
        <v>-33.308097698863683</v>
      </c>
      <c r="BG278">
        <f t="shared" si="240"/>
        <v>-188.30794137733648</v>
      </c>
      <c r="BH278">
        <f t="shared" si="255"/>
        <v>-8.3079413773364763</v>
      </c>
      <c r="BI278">
        <f t="shared" si="256"/>
        <v>-8.3079413773364763</v>
      </c>
      <c r="BJ278">
        <f t="shared" si="241"/>
        <v>0</v>
      </c>
      <c r="BK278">
        <f t="shared" si="257"/>
        <v>0</v>
      </c>
      <c r="BM278">
        <f t="shared" si="258"/>
        <v>-51.521051399782891</v>
      </c>
      <c r="BN278">
        <f t="shared" si="242"/>
        <v>-121.70219440583587</v>
      </c>
      <c r="BQ278" s="47">
        <f t="shared" si="259"/>
        <v>35.114914501204353</v>
      </c>
      <c r="BR278" s="529"/>
      <c r="BS278" s="529"/>
      <c r="BT278" s="529">
        <v>47863.008999999998</v>
      </c>
      <c r="BU278" s="529">
        <v>0.81724300000000005</v>
      </c>
      <c r="BV278" s="529">
        <v>-138.25</v>
      </c>
      <c r="BY278" s="529"/>
      <c r="BZ278" s="529"/>
      <c r="CA278" s="529"/>
      <c r="CC278" s="529"/>
    </row>
    <row r="279" spans="1:81">
      <c r="A279">
        <f t="shared" si="211"/>
        <v>325000</v>
      </c>
      <c r="B279">
        <f t="shared" si="243"/>
        <v>325</v>
      </c>
      <c r="C279">
        <f t="shared" si="212"/>
        <v>1.9153957878087755</v>
      </c>
      <c r="D279">
        <f t="shared" si="213"/>
        <v>1.0215022192915006</v>
      </c>
      <c r="F279">
        <f t="shared" si="214"/>
        <v>9.0574703372679413E-5</v>
      </c>
      <c r="G279">
        <f t="shared" si="215"/>
        <v>2.8695199334200124E-3</v>
      </c>
      <c r="H279">
        <f t="shared" si="216"/>
        <v>-3.1387231300665803</v>
      </c>
      <c r="J279">
        <f t="shared" si="217"/>
        <v>15</v>
      </c>
      <c r="M279">
        <f t="shared" si="218"/>
        <v>4.6337748245721998E-3</v>
      </c>
      <c r="N279">
        <f t="shared" si="219"/>
        <v>-1.5707963250000001</v>
      </c>
      <c r="O279">
        <f t="shared" si="220"/>
        <v>158.36298883972987</v>
      </c>
      <c r="P279">
        <f t="shared" si="221"/>
        <v>1.5644816780682231</v>
      </c>
      <c r="Q279">
        <f t="shared" si="222"/>
        <v>123.59455173039017</v>
      </c>
      <c r="R279">
        <f t="shared" si="223"/>
        <v>1.562705266979092</v>
      </c>
      <c r="S279">
        <f t="shared" si="224"/>
        <v>0.49779680941670512</v>
      </c>
      <c r="T279">
        <f t="shared" si="225"/>
        <v>-1.0497397136993503</v>
      </c>
      <c r="U279">
        <f t="shared" si="226"/>
        <v>0.345569581837263</v>
      </c>
      <c r="V279">
        <f t="shared" si="227"/>
        <v>-1.2179506337701207</v>
      </c>
      <c r="X279">
        <f t="shared" si="244"/>
        <v>-27.829354683792609</v>
      </c>
      <c r="Y279">
        <f t="shared" si="228"/>
        <v>-162.06229501953487</v>
      </c>
      <c r="Z279">
        <f t="shared" si="245"/>
        <v>17.937704980465128</v>
      </c>
      <c r="AC279">
        <v>1</v>
      </c>
      <c r="AD279">
        <f t="shared" si="229"/>
        <v>158.35983150487502</v>
      </c>
      <c r="AE279">
        <f t="shared" si="230"/>
        <v>-2.651686100849384E-2</v>
      </c>
      <c r="AF279">
        <f t="shared" si="231"/>
        <v>9.7650124339950014E-3</v>
      </c>
      <c r="AG279">
        <f t="shared" si="246"/>
        <v>1903.4064272676412</v>
      </c>
      <c r="AH279">
        <f t="shared" si="247"/>
        <v>-5271.1006793333727</v>
      </c>
      <c r="AJ279">
        <f t="shared" si="232"/>
        <v>22100</v>
      </c>
      <c r="AK279">
        <f t="shared" si="233"/>
        <v>38504.044385597699</v>
      </c>
      <c r="AL279">
        <v>1</v>
      </c>
      <c r="AM279">
        <f t="shared" si="234"/>
        <v>123.59050617841201</v>
      </c>
      <c r="AN279">
        <f t="shared" si="248"/>
        <v>312.97168025143884</v>
      </c>
      <c r="AO279">
        <f t="shared" si="249"/>
        <v>-176.28399618573758</v>
      </c>
      <c r="AQ279">
        <f t="shared" si="235"/>
        <v>2.3668583032939568E-2</v>
      </c>
      <c r="AR279">
        <f t="shared" si="236"/>
        <v>-15.384578971410718</v>
      </c>
      <c r="AT279">
        <f t="shared" si="261"/>
        <v>-81048.613734391736</v>
      </c>
      <c r="AU279">
        <f t="shared" si="262"/>
        <v>-29407.865979093545</v>
      </c>
      <c r="AV279">
        <f t="shared" si="250"/>
        <v>-2.7935231489670036</v>
      </c>
      <c r="AW279">
        <f t="shared" si="251"/>
        <v>-567.4940862989514</v>
      </c>
      <c r="AX279">
        <f t="shared" si="252"/>
        <v>-10738.102651535819</v>
      </c>
      <c r="AY279">
        <f t="shared" si="260"/>
        <v>-1.6235958441211216</v>
      </c>
      <c r="BA279">
        <f t="shared" si="237"/>
        <v>8.0180605670436691</v>
      </c>
      <c r="BB279">
        <f t="shared" si="253"/>
        <v>18.081386650246912</v>
      </c>
      <c r="BC279">
        <f t="shared" si="254"/>
        <v>-1.169927304845882</v>
      </c>
      <c r="BD279">
        <f t="shared" si="238"/>
        <v>-247.03189698137942</v>
      </c>
      <c r="BF279">
        <f t="shared" si="239"/>
        <v>-33.611479199926862</v>
      </c>
      <c r="BG279">
        <f t="shared" si="240"/>
        <v>-188.33971960425012</v>
      </c>
      <c r="BH279">
        <f t="shared" si="255"/>
        <v>-8.3397196042501207</v>
      </c>
      <c r="BI279">
        <f t="shared" si="256"/>
        <v>-8.3397196042501207</v>
      </c>
      <c r="BJ279">
        <f t="shared" si="241"/>
        <v>0</v>
      </c>
      <c r="BK279">
        <f t="shared" si="257"/>
        <v>0</v>
      </c>
      <c r="BM279">
        <f t="shared" si="258"/>
        <v>-51.692865850173774</v>
      </c>
      <c r="BN279">
        <f t="shared" si="242"/>
        <v>-121.30782262287072</v>
      </c>
      <c r="BQ279" s="47">
        <f t="shared" si="259"/>
        <v>34.983347450532051</v>
      </c>
      <c r="BR279" s="529"/>
      <c r="BS279" s="529"/>
      <c r="BT279" s="529">
        <v>48977.881999999998</v>
      </c>
      <c r="BU279" s="529">
        <v>0.86195100000000002</v>
      </c>
      <c r="BV279" s="529">
        <v>-138.07900000000001</v>
      </c>
      <c r="BY279" s="529"/>
      <c r="BZ279" s="529"/>
      <c r="CA279" s="529"/>
      <c r="CC279" s="529"/>
    </row>
    <row r="280" spans="1:81">
      <c r="A280">
        <f>A279+5000</f>
        <v>330000</v>
      </c>
      <c r="B280">
        <f t="shared" si="243"/>
        <v>330</v>
      </c>
      <c r="C280">
        <f t="shared" si="212"/>
        <v>1.9368757799779597</v>
      </c>
      <c r="D280">
        <f t="shared" si="213"/>
        <v>1.0282768072320181</v>
      </c>
      <c r="F280">
        <f t="shared" si="214"/>
        <v>8.7850575757471031E-5</v>
      </c>
      <c r="G280">
        <f t="shared" si="215"/>
        <v>2.8260347555663962E-3</v>
      </c>
      <c r="H280">
        <f t="shared" si="216"/>
        <v>-3.138766615244434</v>
      </c>
      <c r="J280">
        <f t="shared" si="217"/>
        <v>15</v>
      </c>
      <c r="M280">
        <f t="shared" si="218"/>
        <v>4.5635661151089855E-3</v>
      </c>
      <c r="N280">
        <f t="shared" si="219"/>
        <v>-1.5707963250000001</v>
      </c>
      <c r="O280">
        <f t="shared" si="220"/>
        <v>160.79924610233019</v>
      </c>
      <c r="P280">
        <f t="shared" si="221"/>
        <v>1.5645773520782256</v>
      </c>
      <c r="Q280">
        <f t="shared" si="222"/>
        <v>125.49588283885387</v>
      </c>
      <c r="R280">
        <f t="shared" si="223"/>
        <v>1.5628278535651938</v>
      </c>
      <c r="S280">
        <f t="shared" si="224"/>
        <v>0.49209145764719603</v>
      </c>
      <c r="T280">
        <f t="shared" si="225"/>
        <v>-1.0563057272449812</v>
      </c>
      <c r="U280">
        <f t="shared" si="226"/>
        <v>0.34094645412788566</v>
      </c>
      <c r="V280">
        <f t="shared" si="227"/>
        <v>-1.2228728353356884</v>
      </c>
      <c r="X280">
        <f t="shared" si="244"/>
        <v>-28.082250460702124</v>
      </c>
      <c r="Y280">
        <f t="shared" si="228"/>
        <v>-162.32235206908186</v>
      </c>
      <c r="Z280">
        <f t="shared" si="245"/>
        <v>17.677647930918141</v>
      </c>
      <c r="AC280">
        <v>1</v>
      </c>
      <c r="AD280">
        <f t="shared" si="229"/>
        <v>160.79613660495002</v>
      </c>
      <c r="AE280">
        <f t="shared" si="230"/>
        <v>-2.7339040604260158E-2</v>
      </c>
      <c r="AF280">
        <f t="shared" si="231"/>
        <v>9.9152433945180005E-3</v>
      </c>
      <c r="AG280">
        <f t="shared" si="246"/>
        <v>1852.8184758003624</v>
      </c>
      <c r="AH280">
        <f t="shared" si="247"/>
        <v>-5209.5826080062197</v>
      </c>
      <c r="AJ280">
        <f t="shared" si="232"/>
        <v>22100</v>
      </c>
      <c r="AK280">
        <f t="shared" si="233"/>
        <v>39096.414299222284</v>
      </c>
      <c r="AL280">
        <v>1</v>
      </c>
      <c r="AM280">
        <f t="shared" si="234"/>
        <v>125.49189858115682</v>
      </c>
      <c r="AN280">
        <f t="shared" si="248"/>
        <v>312.9287875278203</v>
      </c>
      <c r="AO280">
        <f t="shared" si="249"/>
        <v>-173.61336834331399</v>
      </c>
      <c r="AQ280">
        <f t="shared" si="235"/>
        <v>2.29567884371248E-2</v>
      </c>
      <c r="AR280">
        <f t="shared" si="236"/>
        <v>-15.151480368502368</v>
      </c>
      <c r="AT280">
        <f t="shared" si="261"/>
        <v>-78890.35385153626</v>
      </c>
      <c r="AU280">
        <f t="shared" si="262"/>
        <v>-28192.538048265393</v>
      </c>
      <c r="AV280">
        <f t="shared" si="250"/>
        <v>-2.7983729864915392</v>
      </c>
      <c r="AW280">
        <f t="shared" si="251"/>
        <v>-534.69187604770855</v>
      </c>
      <c r="AX280">
        <f t="shared" si="252"/>
        <v>-10592.203190475302</v>
      </c>
      <c r="AY280">
        <f t="shared" si="260"/>
        <v>-1.6212332747260387</v>
      </c>
      <c r="BA280">
        <f t="shared" si="237"/>
        <v>7.8992059573814268</v>
      </c>
      <c r="BB280">
        <f t="shared" si="253"/>
        <v>17.95166874818996</v>
      </c>
      <c r="BC280">
        <f t="shared" si="254"/>
        <v>-1.1771397117655005</v>
      </c>
      <c r="BD280">
        <f t="shared" si="238"/>
        <v>-247.44513745847669</v>
      </c>
      <c r="BF280">
        <f t="shared" si="239"/>
        <v>-33.909578458598972</v>
      </c>
      <c r="BG280">
        <f t="shared" si="240"/>
        <v>-188.36729630113723</v>
      </c>
      <c r="BH280">
        <f t="shared" si="255"/>
        <v>-8.3672963011372303</v>
      </c>
      <c r="BI280">
        <f t="shared" si="256"/>
        <v>-8.3672963011372303</v>
      </c>
      <c r="BJ280">
        <f t="shared" si="241"/>
        <v>0</v>
      </c>
      <c r="BK280">
        <f t="shared" si="257"/>
        <v>0</v>
      </c>
      <c r="BM280">
        <f t="shared" si="258"/>
        <v>-51.861247206788931</v>
      </c>
      <c r="BN280">
        <f t="shared" si="242"/>
        <v>-120.92215884266054</v>
      </c>
      <c r="BQ280" s="47">
        <f t="shared" si="259"/>
        <v>34.853629548475091</v>
      </c>
      <c r="BR280" s="529"/>
      <c r="BS280" s="529"/>
      <c r="BT280" s="529">
        <v>50118.722999999998</v>
      </c>
      <c r="BU280" s="529">
        <v>0.950021</v>
      </c>
      <c r="BV280" s="529">
        <v>-137.59100000000001</v>
      </c>
      <c r="BY280" s="529"/>
      <c r="BZ280" s="529"/>
      <c r="CA280" s="529"/>
      <c r="CC280" s="529"/>
    </row>
    <row r="281" spans="1:81">
      <c r="A281">
        <f t="shared" si="211"/>
        <v>335000</v>
      </c>
      <c r="B281">
        <f t="shared" si="243"/>
        <v>335</v>
      </c>
      <c r="C281">
        <f t="shared" si="212"/>
        <v>1.9584427128551172</v>
      </c>
      <c r="D281">
        <f t="shared" si="213"/>
        <v>1.0349024863007956</v>
      </c>
      <c r="F281">
        <f t="shared" si="214"/>
        <v>8.5247524906767851E-5</v>
      </c>
      <c r="G281">
        <f t="shared" si="215"/>
        <v>2.7838479756071713E-3</v>
      </c>
      <c r="H281">
        <f t="shared" si="216"/>
        <v>-3.1388088020243932</v>
      </c>
      <c r="J281">
        <f t="shared" si="217"/>
        <v>15</v>
      </c>
      <c r="M281">
        <f t="shared" si="218"/>
        <v>4.4954531880178061E-3</v>
      </c>
      <c r="N281">
        <f t="shared" si="219"/>
        <v>-1.5707963250000001</v>
      </c>
      <c r="O281">
        <f t="shared" si="220"/>
        <v>163.235504792874</v>
      </c>
      <c r="P281">
        <f t="shared" si="221"/>
        <v>1.5646701702564527</v>
      </c>
      <c r="Q281">
        <f t="shared" si="222"/>
        <v>127.39721577691178</v>
      </c>
      <c r="R281">
        <f t="shared" si="223"/>
        <v>1.5629467810791335</v>
      </c>
      <c r="S281">
        <f t="shared" si="224"/>
        <v>0.48649513844677267</v>
      </c>
      <c r="T281">
        <f t="shared" si="225"/>
        <v>-1.0627226680089792</v>
      </c>
      <c r="U281">
        <f t="shared" si="226"/>
        <v>0.33643756127115587</v>
      </c>
      <c r="V281">
        <f t="shared" si="227"/>
        <v>-1.2276649618106097</v>
      </c>
      <c r="X281">
        <f t="shared" si="244"/>
        <v>-28.331701323817772</v>
      </c>
      <c r="Y281">
        <f t="shared" si="228"/>
        <v>-162.5752458573418</v>
      </c>
      <c r="Z281">
        <f t="shared" si="245"/>
        <v>17.424754142658202</v>
      </c>
      <c r="AC281">
        <v>1</v>
      </c>
      <c r="AD281">
        <f t="shared" si="229"/>
        <v>163.23244170502502</v>
      </c>
      <c r="AE281">
        <f t="shared" si="230"/>
        <v>-2.8173772560267187E-2</v>
      </c>
      <c r="AF281">
        <f t="shared" si="231"/>
        <v>1.0065474355041001E-2</v>
      </c>
      <c r="AG281">
        <f t="shared" si="246"/>
        <v>1804.1368161080165</v>
      </c>
      <c r="AH281">
        <f t="shared" si="247"/>
        <v>-5149.2198476144968</v>
      </c>
      <c r="AJ281">
        <f t="shared" si="232"/>
        <v>22100</v>
      </c>
      <c r="AK281">
        <f t="shared" si="233"/>
        <v>39688.784212846862</v>
      </c>
      <c r="AL281">
        <v>1</v>
      </c>
      <c r="AM281">
        <f t="shared" si="234"/>
        <v>127.39329098390159</v>
      </c>
      <c r="AN281">
        <f t="shared" si="248"/>
        <v>312.88780084703967</v>
      </c>
      <c r="AO281">
        <f t="shared" si="249"/>
        <v>-171.02244577311492</v>
      </c>
      <c r="AQ281">
        <f t="shared" si="235"/>
        <v>2.2276626694972834E-2</v>
      </c>
      <c r="AR281">
        <f t="shared" si="236"/>
        <v>-14.925339885631798</v>
      </c>
      <c r="AT281">
        <f t="shared" si="261"/>
        <v>-76813.666289128436</v>
      </c>
      <c r="AU281">
        <f t="shared" si="262"/>
        <v>-27042.06242890939</v>
      </c>
      <c r="AV281">
        <f t="shared" si="250"/>
        <v>-2.803094908938808</v>
      </c>
      <c r="AW281">
        <f t="shared" si="251"/>
        <v>-503.67450644665189</v>
      </c>
      <c r="AX281">
        <f t="shared" si="252"/>
        <v>-10450.040490922855</v>
      </c>
      <c r="AY281">
        <f t="shared" si="260"/>
        <v>-1.6189573864945026</v>
      </c>
      <c r="BA281">
        <f t="shared" si="237"/>
        <v>7.7837294355941244</v>
      </c>
      <c r="BB281">
        <f t="shared" si="253"/>
        <v>17.823754626730338</v>
      </c>
      <c r="BC281">
        <f t="shared" si="254"/>
        <v>-1.1841375224443054</v>
      </c>
      <c r="BD281">
        <f t="shared" si="238"/>
        <v>-247.84608247666193</v>
      </c>
      <c r="BF281">
        <f t="shared" si="239"/>
        <v>-34.202567175848124</v>
      </c>
      <c r="BG281">
        <f t="shared" si="240"/>
        <v>-188.39103499628524</v>
      </c>
      <c r="BH281">
        <f t="shared" si="255"/>
        <v>-8.3910349962852422</v>
      </c>
      <c r="BI281">
        <f t="shared" si="256"/>
        <v>-8.3910349962852422</v>
      </c>
      <c r="BJ281">
        <f t="shared" si="241"/>
        <v>0</v>
      </c>
      <c r="BK281">
        <f t="shared" si="257"/>
        <v>0</v>
      </c>
      <c r="BM281">
        <f t="shared" si="258"/>
        <v>-52.026321802578465</v>
      </c>
      <c r="BN281">
        <f t="shared" si="242"/>
        <v>-120.54495251962332</v>
      </c>
      <c r="BQ281" s="47">
        <f t="shared" si="259"/>
        <v>34.725715427015473</v>
      </c>
      <c r="BR281" s="529"/>
      <c r="BS281" s="529"/>
      <c r="BT281" s="529">
        <v>51286.137999999999</v>
      </c>
      <c r="BU281" s="529">
        <v>1.0492999999999999</v>
      </c>
      <c r="BV281" s="529">
        <v>-137.08699999999999</v>
      </c>
      <c r="BY281" s="529"/>
      <c r="BZ281" s="529"/>
      <c r="CA281" s="529"/>
      <c r="CC281" s="529"/>
    </row>
    <row r="282" spans="1:81">
      <c r="A282">
        <f t="shared" si="211"/>
        <v>340000</v>
      </c>
      <c r="B282">
        <f t="shared" si="243"/>
        <v>340</v>
      </c>
      <c r="C282">
        <f t="shared" si="212"/>
        <v>1.980093745600406</v>
      </c>
      <c r="D282">
        <f t="shared" si="213"/>
        <v>1.0413835497800674</v>
      </c>
      <c r="F282">
        <f t="shared" si="214"/>
        <v>8.2758480328550584E-5</v>
      </c>
      <c r="G282">
        <f t="shared" si="215"/>
        <v>2.7429022921288638E-3</v>
      </c>
      <c r="H282">
        <f t="shared" si="216"/>
        <v>-3.1388497477078712</v>
      </c>
      <c r="J282">
        <f t="shared" si="217"/>
        <v>15</v>
      </c>
      <c r="M282">
        <f t="shared" si="218"/>
        <v>4.4293435823116621E-3</v>
      </c>
      <c r="N282">
        <f t="shared" si="219"/>
        <v>-1.5707963250000001</v>
      </c>
      <c r="O282">
        <f t="shared" si="220"/>
        <v>165.67176484836617</v>
      </c>
      <c r="P282">
        <f t="shared" si="221"/>
        <v>1.5647602585892231</v>
      </c>
      <c r="Q282">
        <f t="shared" si="222"/>
        <v>129.2985504638514</v>
      </c>
      <c r="R282">
        <f t="shared" si="223"/>
        <v>1.5630622109373964</v>
      </c>
      <c r="S282">
        <f t="shared" si="224"/>
        <v>0.48100553357988918</v>
      </c>
      <c r="T282">
        <f t="shared" si="225"/>
        <v>-1.0689950448700043</v>
      </c>
      <c r="U282">
        <f t="shared" si="226"/>
        <v>0.33203903976943377</v>
      </c>
      <c r="V282">
        <f t="shared" si="227"/>
        <v>-1.2323318904143914</v>
      </c>
      <c r="X282">
        <f t="shared" si="244"/>
        <v>-28.577794708491304</v>
      </c>
      <c r="Y282">
        <f t="shared" si="228"/>
        <v>-162.8212549973353</v>
      </c>
      <c r="Z282">
        <f t="shared" si="245"/>
        <v>17.178745002664698</v>
      </c>
      <c r="AC282">
        <v>1</v>
      </c>
      <c r="AD282">
        <f t="shared" si="229"/>
        <v>165.66874680510003</v>
      </c>
      <c r="AE282">
        <f t="shared" si="230"/>
        <v>-2.9021056876514923E-2</v>
      </c>
      <c r="AF282">
        <f t="shared" si="231"/>
        <v>1.0215705315564002E-2</v>
      </c>
      <c r="AG282">
        <f t="shared" si="246"/>
        <v>1757.2712954840797</v>
      </c>
      <c r="AH282">
        <f t="shared" si="247"/>
        <v>-5089.9931632219141</v>
      </c>
      <c r="AJ282">
        <f t="shared" si="232"/>
        <v>22100</v>
      </c>
      <c r="AK282">
        <f t="shared" si="233"/>
        <v>40281.154126471447</v>
      </c>
      <c r="AL282">
        <v>1</v>
      </c>
      <c r="AM282">
        <f t="shared" si="234"/>
        <v>129.2946833866464</v>
      </c>
      <c r="AN282">
        <f t="shared" si="248"/>
        <v>312.84860892877094</v>
      </c>
      <c r="AO282">
        <f t="shared" si="249"/>
        <v>-168.50771292674369</v>
      </c>
      <c r="AQ282">
        <f t="shared" si="235"/>
        <v>2.1626250808281122E-2</v>
      </c>
      <c r="AR282">
        <f t="shared" si="236"/>
        <v>-14.705850549631164</v>
      </c>
      <c r="AT282">
        <f t="shared" si="261"/>
        <v>-74814.675567211525</v>
      </c>
      <c r="AU282">
        <f t="shared" si="262"/>
        <v>-25952.246515305891</v>
      </c>
      <c r="AV282">
        <f t="shared" si="250"/>
        <v>-2.8076936982397784</v>
      </c>
      <c r="AW282">
        <f t="shared" si="251"/>
        <v>-474.31752975018395</v>
      </c>
      <c r="AX282">
        <f t="shared" si="252"/>
        <v>-10311.478143810407</v>
      </c>
      <c r="AY282">
        <f t="shared" si="260"/>
        <v>-1.6167629098595355</v>
      </c>
      <c r="BA282">
        <f t="shared" si="237"/>
        <v>7.6714949846868183</v>
      </c>
      <c r="BB282">
        <f t="shared" si="253"/>
        <v>17.697600109053138</v>
      </c>
      <c r="BC282">
        <f t="shared" si="254"/>
        <v>-1.1909307883802429</v>
      </c>
      <c r="BD282">
        <f t="shared" si="238"/>
        <v>-248.23530794434589</v>
      </c>
      <c r="BF282">
        <f t="shared" si="239"/>
        <v>-34.490609525213038</v>
      </c>
      <c r="BG282">
        <f t="shared" si="240"/>
        <v>-188.41126889428148</v>
      </c>
      <c r="BH282">
        <f t="shared" si="255"/>
        <v>-8.4112688942814771</v>
      </c>
      <c r="BI282">
        <f t="shared" si="256"/>
        <v>-8.4112688942814771</v>
      </c>
      <c r="BJ282">
        <f t="shared" si="241"/>
        <v>0</v>
      </c>
      <c r="BK282">
        <f t="shared" si="257"/>
        <v>0</v>
      </c>
      <c r="BM282">
        <f t="shared" si="258"/>
        <v>-52.188209634266173</v>
      </c>
      <c r="BN282">
        <f t="shared" si="242"/>
        <v>-120.17596094993557</v>
      </c>
      <c r="BQ282" s="47">
        <f t="shared" si="259"/>
        <v>34.59956090933828</v>
      </c>
      <c r="BR282" s="529"/>
      <c r="BS282" s="529"/>
      <c r="BT282" s="529">
        <v>52480.745999999999</v>
      </c>
      <c r="BU282" s="529">
        <v>1.1752400000000001</v>
      </c>
      <c r="BV282" s="529">
        <v>-136.553</v>
      </c>
      <c r="BY282" s="529"/>
      <c r="BZ282" s="529"/>
      <c r="CA282" s="529"/>
      <c r="CC282" s="529"/>
    </row>
    <row r="283" spans="1:81">
      <c r="A283">
        <f t="shared" si="211"/>
        <v>345000</v>
      </c>
      <c r="B283">
        <f t="shared" si="243"/>
        <v>345</v>
      </c>
      <c r="C283">
        <f t="shared" si="212"/>
        <v>2.0018261494337692</v>
      </c>
      <c r="D283">
        <f t="shared" si="213"/>
        <v>1.0477241542008504</v>
      </c>
      <c r="F283">
        <f t="shared" si="214"/>
        <v>8.0376880225980121E-5</v>
      </c>
      <c r="G283">
        <f t="shared" si="215"/>
        <v>2.7031437268971122E-3</v>
      </c>
      <c r="H283">
        <f t="shared" si="216"/>
        <v>-3.1388895062731033</v>
      </c>
      <c r="J283">
        <f t="shared" si="217"/>
        <v>15</v>
      </c>
      <c r="M283">
        <f t="shared" si="218"/>
        <v>4.3651501970607687E-3</v>
      </c>
      <c r="N283">
        <f t="shared" si="219"/>
        <v>-1.5707963250000001</v>
      </c>
      <c r="O283">
        <f t="shared" si="220"/>
        <v>168.10802620946328</v>
      </c>
      <c r="P283">
        <f t="shared" si="221"/>
        <v>1.5648477357597435</v>
      </c>
      <c r="Q283">
        <f t="shared" si="222"/>
        <v>131.19988682363899</v>
      </c>
      <c r="R283">
        <f t="shared" si="223"/>
        <v>1.5631742951999243</v>
      </c>
      <c r="S283">
        <f t="shared" si="224"/>
        <v>0.47562034553410909</v>
      </c>
      <c r="T283">
        <f t="shared" si="225"/>
        <v>-1.0751272113592938</v>
      </c>
      <c r="U283">
        <f t="shared" si="226"/>
        <v>0.32774718059534153</v>
      </c>
      <c r="V283">
        <f t="shared" si="227"/>
        <v>-1.2368782686576785</v>
      </c>
      <c r="X283">
        <f t="shared" si="244"/>
        <v>-28.820614960101196</v>
      </c>
      <c r="Y283">
        <f t="shared" si="228"/>
        <v>-163.06064463937435</v>
      </c>
      <c r="Z283">
        <f t="shared" si="245"/>
        <v>16.939355360625655</v>
      </c>
      <c r="AC283">
        <v>1</v>
      </c>
      <c r="AD283">
        <f t="shared" si="229"/>
        <v>168.10505190517503</v>
      </c>
      <c r="AE283">
        <f t="shared" si="230"/>
        <v>-2.9880893553003347E-2</v>
      </c>
      <c r="AF283">
        <f t="shared" si="231"/>
        <v>1.0365936276087001E-2</v>
      </c>
      <c r="AG283">
        <f t="shared" si="246"/>
        <v>1712.1367346670947</v>
      </c>
      <c r="AH283">
        <f t="shared" si="247"/>
        <v>-5031.8827096305422</v>
      </c>
      <c r="AJ283">
        <f t="shared" si="232"/>
        <v>22100</v>
      </c>
      <c r="AK283">
        <f t="shared" si="233"/>
        <v>40873.524040096025</v>
      </c>
      <c r="AL283">
        <v>1</v>
      </c>
      <c r="AM283">
        <f t="shared" si="234"/>
        <v>131.19607578939119</v>
      </c>
      <c r="AN283">
        <f t="shared" si="248"/>
        <v>312.81110849665583</v>
      </c>
      <c r="AO283">
        <f t="shared" si="249"/>
        <v>-166.06585799470312</v>
      </c>
      <c r="AQ283">
        <f t="shared" si="235"/>
        <v>2.1003946641573953E-2</v>
      </c>
      <c r="AR283">
        <f t="shared" si="236"/>
        <v>-14.492723182686026</v>
      </c>
      <c r="AT283">
        <f t="shared" si="261"/>
        <v>-72889.721569801506</v>
      </c>
      <c r="AU283">
        <f t="shared" si="262"/>
        <v>-24919.213142377896</v>
      </c>
      <c r="AV283">
        <f t="shared" si="250"/>
        <v>-2.8121739121400933</v>
      </c>
      <c r="AW283">
        <f t="shared" si="251"/>
        <v>-446.50689587583599</v>
      </c>
      <c r="AX283">
        <f t="shared" si="252"/>
        <v>-10176.386133322136</v>
      </c>
      <c r="AY283">
        <f t="shared" si="260"/>
        <v>-1.6146449668318843</v>
      </c>
      <c r="BA283">
        <f t="shared" si="237"/>
        <v>7.5623732875956549</v>
      </c>
      <c r="BB283">
        <f t="shared" si="253"/>
        <v>17.573162216789935</v>
      </c>
      <c r="BC283">
        <f t="shared" si="254"/>
        <v>-1.197528945308209</v>
      </c>
      <c r="BD283">
        <f t="shared" si="238"/>
        <v>-248.61335448931536</v>
      </c>
      <c r="BF283">
        <f t="shared" si="239"/>
        <v>-34.773862534373329</v>
      </c>
      <c r="BG283">
        <f t="shared" si="240"/>
        <v>-188.42830356395285</v>
      </c>
      <c r="BH283">
        <f t="shared" si="255"/>
        <v>-8.4283035639528521</v>
      </c>
      <c r="BI283">
        <f t="shared" si="256"/>
        <v>-8.4283035639528521</v>
      </c>
      <c r="BJ283">
        <f t="shared" si="241"/>
        <v>0</v>
      </c>
      <c r="BK283">
        <f t="shared" si="257"/>
        <v>0</v>
      </c>
      <c r="BM283">
        <f t="shared" si="258"/>
        <v>-52.347024751163261</v>
      </c>
      <c r="BN283">
        <f t="shared" si="242"/>
        <v>-119.8149490746375</v>
      </c>
      <c r="BQ283" s="47">
        <f t="shared" si="259"/>
        <v>34.47512301707507</v>
      </c>
      <c r="BR283" s="529"/>
      <c r="BS283" s="529"/>
      <c r="BT283" s="529">
        <v>53703.18</v>
      </c>
      <c r="BU283" s="529">
        <v>1.3152900000000001</v>
      </c>
      <c r="BV283" s="529">
        <v>-136.001</v>
      </c>
      <c r="BY283" s="529"/>
      <c r="BZ283" s="529"/>
      <c r="CA283" s="529"/>
      <c r="CC283" s="529"/>
    </row>
    <row r="284" spans="1:81">
      <c r="A284">
        <f t="shared" si="211"/>
        <v>350000</v>
      </c>
      <c r="B284">
        <f t="shared" si="243"/>
        <v>350</v>
      </c>
      <c r="C284">
        <f t="shared" si="212"/>
        <v>2.023637302756665</v>
      </c>
      <c r="D284">
        <f t="shared" si="213"/>
        <v>1.0539283230795249</v>
      </c>
      <c r="F284">
        <f t="shared" si="214"/>
        <v>7.8096628201597477E-5</v>
      </c>
      <c r="G284">
        <f t="shared" si="215"/>
        <v>2.6645213873728005E-3</v>
      </c>
      <c r="H284">
        <f t="shared" si="216"/>
        <v>-3.1389281286126276</v>
      </c>
      <c r="J284">
        <f t="shared" si="217"/>
        <v>15</v>
      </c>
      <c r="M284">
        <f t="shared" si="218"/>
        <v>4.3027909085313291E-3</v>
      </c>
      <c r="N284">
        <f t="shared" si="219"/>
        <v>-1.5707963250000001</v>
      </c>
      <c r="O284">
        <f t="shared" si="220"/>
        <v>170.54428882021276</v>
      </c>
      <c r="P284">
        <f t="shared" si="221"/>
        <v>1.5649327136697238</v>
      </c>
      <c r="Q284">
        <f t="shared" si="222"/>
        <v>133.1012247845851</v>
      </c>
      <c r="R284">
        <f t="shared" si="223"/>
        <v>1.5632831772383609</v>
      </c>
      <c r="S284">
        <f t="shared" si="224"/>
        <v>0.47033730138341429</v>
      </c>
      <c r="T284">
        <f t="shared" si="225"/>
        <v>-1.0811233707460881</v>
      </c>
      <c r="U284">
        <f t="shared" si="226"/>
        <v>0.32355842284856534</v>
      </c>
      <c r="V284">
        <f t="shared" si="227"/>
        <v>-1.2413085269777102</v>
      </c>
      <c r="X284">
        <f t="shared" si="244"/>
        <v>-29.060243469160412</v>
      </c>
      <c r="Y284">
        <f t="shared" si="228"/>
        <v>-163.29366721773647</v>
      </c>
      <c r="Z284">
        <f t="shared" si="245"/>
        <v>16.70633278226353</v>
      </c>
      <c r="AC284">
        <v>1</v>
      </c>
      <c r="AD284">
        <f t="shared" si="229"/>
        <v>170.54135700525003</v>
      </c>
      <c r="AE284">
        <f t="shared" si="230"/>
        <v>-3.0753282589732495E-2</v>
      </c>
      <c r="AF284">
        <f t="shared" si="231"/>
        <v>1.0516167236610002E-2</v>
      </c>
      <c r="AG284">
        <f t="shared" si="246"/>
        <v>1668.6526257210255</v>
      </c>
      <c r="AH284">
        <f t="shared" si="247"/>
        <v>-4974.868178281522</v>
      </c>
      <c r="AJ284">
        <f t="shared" si="232"/>
        <v>22100</v>
      </c>
      <c r="AK284">
        <f t="shared" si="233"/>
        <v>41465.893953720602</v>
      </c>
      <c r="AL284">
        <v>1</v>
      </c>
      <c r="AM284">
        <f t="shared" si="234"/>
        <v>133.09746819213601</v>
      </c>
      <c r="AN284">
        <f t="shared" si="248"/>
        <v>312.77520359729129</v>
      </c>
      <c r="AO284">
        <f t="shared" si="249"/>
        <v>-163.69375835873336</v>
      </c>
      <c r="AQ284">
        <f t="shared" si="235"/>
        <v>2.0408121616078335E-2</v>
      </c>
      <c r="AR284">
        <f t="shared" si="236"/>
        <v>-14.285685131254834</v>
      </c>
      <c r="AT284">
        <f t="shared" si="261"/>
        <v>-71035.346298708464</v>
      </c>
      <c r="AU284">
        <f t="shared" si="262"/>
        <v>-23939.373719298521</v>
      </c>
      <c r="AV284">
        <f t="shared" si="250"/>
        <v>-2.8165398964410242</v>
      </c>
      <c r="AW284">
        <f t="shared" si="251"/>
        <v>-420.13795183919717</v>
      </c>
      <c r="AX284">
        <f t="shared" si="252"/>
        <v>-10044.64046761341</v>
      </c>
      <c r="AY284">
        <f t="shared" si="260"/>
        <v>-1.61259903730485</v>
      </c>
      <c r="BA284">
        <f t="shared" si="237"/>
        <v>7.456241371384575</v>
      </c>
      <c r="BB284">
        <f t="shared" si="253"/>
        <v>17.450399168688048</v>
      </c>
      <c r="BC284">
        <f t="shared" si="254"/>
        <v>-1.2039408591361742</v>
      </c>
      <c r="BD284">
        <f t="shared" si="238"/>
        <v>-248.98073009067912</v>
      </c>
      <c r="BF284">
        <f t="shared" si="239"/>
        <v>-35.052476447508312</v>
      </c>
      <c r="BG284">
        <f t="shared" si="240"/>
        <v>-188.44241936982817</v>
      </c>
      <c r="BH284">
        <f t="shared" si="255"/>
        <v>-8.4424193698281726</v>
      </c>
      <c r="BI284">
        <f t="shared" si="256"/>
        <v>-8.4424193698281726</v>
      </c>
      <c r="BJ284">
        <f t="shared" si="241"/>
        <v>0</v>
      </c>
      <c r="BK284">
        <f t="shared" si="257"/>
        <v>0</v>
      </c>
      <c r="BM284">
        <f t="shared" si="258"/>
        <v>-52.502875616196363</v>
      </c>
      <c r="BN284">
        <f t="shared" si="242"/>
        <v>-119.46168927914906</v>
      </c>
      <c r="BQ284" s="47">
        <f t="shared" si="259"/>
        <v>34.352359968973182</v>
      </c>
      <c r="BR284" s="529"/>
      <c r="BS284" s="529"/>
      <c r="BT284" s="529">
        <v>54954.087</v>
      </c>
      <c r="BU284" s="529">
        <v>1.4637500000000001</v>
      </c>
      <c r="BV284" s="529">
        <v>-135.524</v>
      </c>
      <c r="BY284" s="529"/>
      <c r="BZ284" s="529"/>
      <c r="CA284" s="529"/>
      <c r="CC284" s="529"/>
    </row>
    <row r="285" spans="1:81">
      <c r="A285">
        <f t="shared" si="211"/>
        <v>355000</v>
      </c>
      <c r="B285">
        <f t="shared" si="243"/>
        <v>355</v>
      </c>
      <c r="C285">
        <f t="shared" si="212"/>
        <v>2.0455246864851477</v>
      </c>
      <c r="D285">
        <f t="shared" si="213"/>
        <v>1.0599999506726703</v>
      </c>
      <c r="F285">
        <f t="shared" si="214"/>
        <v>7.5912054200557048E-5</v>
      </c>
      <c r="G285">
        <f t="shared" si="215"/>
        <v>2.6269872493082389E-3</v>
      </c>
      <c r="H285">
        <f t="shared" si="216"/>
        <v>-3.1389656627506919</v>
      </c>
      <c r="J285">
        <f t="shared" si="217"/>
        <v>15</v>
      </c>
      <c r="M285">
        <f t="shared" si="218"/>
        <v>4.2421882196787752E-3</v>
      </c>
      <c r="N285">
        <f t="shared" si="219"/>
        <v>-1.5707963250000001</v>
      </c>
      <c r="O285">
        <f t="shared" si="220"/>
        <v>172.98055262781418</v>
      </c>
      <c r="P285">
        <f t="shared" si="221"/>
        <v>1.5650152979169136</v>
      </c>
      <c r="Q285">
        <f t="shared" si="222"/>
        <v>135.00256427903898</v>
      </c>
      <c r="R285">
        <f t="shared" si="223"/>
        <v>1.5633889923478348</v>
      </c>
      <c r="S285">
        <f t="shared" si="224"/>
        <v>0.46515415610372268</v>
      </c>
      <c r="T285">
        <f t="shared" si="225"/>
        <v>-1.086987581051915</v>
      </c>
      <c r="U285">
        <f t="shared" si="226"/>
        <v>0.31946934759933221</v>
      </c>
      <c r="V285">
        <f t="shared" si="227"/>
        <v>-1.2456268906069832</v>
      </c>
      <c r="X285">
        <f t="shared" si="244"/>
        <v>-29.296758799503703</v>
      </c>
      <c r="Y285">
        <f t="shared" si="228"/>
        <v>-163.5205631528934</v>
      </c>
      <c r="Z285">
        <f t="shared" si="245"/>
        <v>16.479436847106598</v>
      </c>
      <c r="AC285">
        <v>1</v>
      </c>
      <c r="AD285">
        <f t="shared" si="229"/>
        <v>172.97766210532501</v>
      </c>
      <c r="AE285">
        <f t="shared" si="230"/>
        <v>-3.1638223986702352E-2</v>
      </c>
      <c r="AF285">
        <f t="shared" si="231"/>
        <v>1.0666398197133001E-2</v>
      </c>
      <c r="AG285">
        <f t="shared" si="246"/>
        <v>1626.7428488665655</v>
      </c>
      <c r="AH285">
        <f t="shared" si="247"/>
        <v>-4918.9289253526322</v>
      </c>
      <c r="AJ285">
        <f t="shared" si="232"/>
        <v>22100</v>
      </c>
      <c r="AK285">
        <f t="shared" si="233"/>
        <v>42058.26386734518</v>
      </c>
      <c r="AL285">
        <v>1</v>
      </c>
      <c r="AM285">
        <f t="shared" si="234"/>
        <v>134.9988605948808</v>
      </c>
      <c r="AN285">
        <f t="shared" si="248"/>
        <v>312.7408049858696</v>
      </c>
      <c r="AO285">
        <f t="shared" si="249"/>
        <v>-161.38846727303644</v>
      </c>
      <c r="AQ285">
        <f t="shared" si="235"/>
        <v>1.9837294510425488E-2</v>
      </c>
      <c r="AR285">
        <f t="shared" si="236"/>
        <v>-14.084479102402097</v>
      </c>
      <c r="AT285">
        <f t="shared" si="261"/>
        <v>-69248.281478344667</v>
      </c>
      <c r="AU285">
        <f t="shared" si="262"/>
        <v>-23009.403901611266</v>
      </c>
      <c r="AV285">
        <f t="shared" si="250"/>
        <v>-2.8207957965069665</v>
      </c>
      <c r="AW285">
        <f t="shared" si="251"/>
        <v>-395.11454928334115</v>
      </c>
      <c r="AX285">
        <f t="shared" si="252"/>
        <v>-9916.1228357334985</v>
      </c>
      <c r="AY285">
        <f t="shared" si="260"/>
        <v>-1.6106209286062905</v>
      </c>
      <c r="BA285">
        <f t="shared" si="237"/>
        <v>7.3529822673769978</v>
      </c>
      <c r="BB285">
        <f t="shared" si="253"/>
        <v>17.329270372366658</v>
      </c>
      <c r="BC285">
        <f t="shared" si="254"/>
        <v>-1.2101748679006761</v>
      </c>
      <c r="BD285">
        <f t="shared" si="238"/>
        <v>-249.33791248274076</v>
      </c>
      <c r="BF285">
        <f t="shared" si="239"/>
        <v>-35.326595069041325</v>
      </c>
      <c r="BG285">
        <f t="shared" si="240"/>
        <v>-188.45387367333112</v>
      </c>
      <c r="BH285">
        <f t="shared" si="255"/>
        <v>-8.4538736733311168</v>
      </c>
      <c r="BI285">
        <f t="shared" si="256"/>
        <v>-8.4538736733311168</v>
      </c>
      <c r="BJ285">
        <f t="shared" si="241"/>
        <v>0</v>
      </c>
      <c r="BK285">
        <f t="shared" si="257"/>
        <v>0</v>
      </c>
      <c r="BM285">
        <f t="shared" si="258"/>
        <v>-52.655865441407983</v>
      </c>
      <c r="BN285">
        <f t="shared" si="242"/>
        <v>-119.11596119059034</v>
      </c>
      <c r="BQ285" s="47">
        <f t="shared" si="259"/>
        <v>34.231231172651789</v>
      </c>
      <c r="BR285" s="529"/>
      <c r="BS285" s="529"/>
      <c r="BT285" s="529">
        <v>56234.133000000002</v>
      </c>
      <c r="BU285" s="529">
        <v>1.62296</v>
      </c>
      <c r="BV285" s="529">
        <v>-134.983</v>
      </c>
      <c r="BY285" s="529"/>
      <c r="BZ285" s="529"/>
      <c r="CA285" s="529"/>
      <c r="CC285" s="529"/>
    </row>
    <row r="286" spans="1:81">
      <c r="A286">
        <f t="shared" si="211"/>
        <v>360000</v>
      </c>
      <c r="B286">
        <f t="shared" si="243"/>
        <v>360</v>
      </c>
      <c r="C286">
        <f t="shared" si="212"/>
        <v>2.0674858795872111</v>
      </c>
      <c r="D286">
        <f t="shared" si="213"/>
        <v>1.0659428057310878</v>
      </c>
      <c r="F286">
        <f t="shared" si="214"/>
        <v>7.3817879225103884E-5</v>
      </c>
      <c r="G286">
        <f t="shared" si="215"/>
        <v>2.59049595746999E-3</v>
      </c>
      <c r="H286">
        <f t="shared" si="216"/>
        <v>-3.1390021540425304</v>
      </c>
      <c r="J286">
        <f t="shared" si="217"/>
        <v>15</v>
      </c>
      <c r="M286">
        <f t="shared" si="218"/>
        <v>4.1832689388499027E-3</v>
      </c>
      <c r="N286">
        <f t="shared" si="219"/>
        <v>-1.5707963250000001</v>
      </c>
      <c r="O286">
        <f t="shared" si="220"/>
        <v>175.41681758240043</v>
      </c>
      <c r="P286">
        <f t="shared" si="221"/>
        <v>1.5650955882328477</v>
      </c>
      <c r="Q286">
        <f t="shared" si="222"/>
        <v>136.903905243108</v>
      </c>
      <c r="R286">
        <f t="shared" si="223"/>
        <v>1.5634918683077661</v>
      </c>
      <c r="S286">
        <f t="shared" si="224"/>
        <v>0.4600686953969515</v>
      </c>
      <c r="T286">
        <f t="shared" si="225"/>
        <v>-1.0927237599795951</v>
      </c>
      <c r="U286">
        <f t="shared" si="226"/>
        <v>0.31547667192824791</v>
      </c>
      <c r="V286">
        <f t="shared" si="227"/>
        <v>-1.2498373907233546</v>
      </c>
      <c r="X286">
        <f t="shared" si="244"/>
        <v>-29.530236809968294</v>
      </c>
      <c r="Y286">
        <f t="shared" si="228"/>
        <v>-163.74156151189112</v>
      </c>
      <c r="Z286">
        <f t="shared" si="245"/>
        <v>16.258438488108879</v>
      </c>
      <c r="AC286">
        <v>1</v>
      </c>
      <c r="AD286">
        <f t="shared" si="229"/>
        <v>175.41396720540001</v>
      </c>
      <c r="AE286">
        <f t="shared" si="230"/>
        <v>-3.2535717743912916E-2</v>
      </c>
      <c r="AF286">
        <f t="shared" si="231"/>
        <v>1.0816629157656001E-2</v>
      </c>
      <c r="AG286">
        <f t="shared" si="246"/>
        <v>1586.3354071723538</v>
      </c>
      <c r="AH286">
        <f t="shared" si="247"/>
        <v>-4864.0440832434151</v>
      </c>
      <c r="AJ286">
        <f t="shared" si="232"/>
        <v>22100</v>
      </c>
      <c r="AK286">
        <f t="shared" si="233"/>
        <v>42650.633780969758</v>
      </c>
      <c r="AL286">
        <v>1</v>
      </c>
      <c r="AM286">
        <f t="shared" si="234"/>
        <v>136.90025299762561</v>
      </c>
      <c r="AN286">
        <f t="shared" si="248"/>
        <v>312.70782957112004</v>
      </c>
      <c r="AO286">
        <f t="shared" si="249"/>
        <v>-159.14720165496524</v>
      </c>
      <c r="AQ286">
        <f t="shared" si="235"/>
        <v>1.9290086245975606E-2</v>
      </c>
      <c r="AR286">
        <f t="shared" si="236"/>
        <v>-13.888862097102436</v>
      </c>
      <c r="AT286">
        <f t="shared" si="261"/>
        <v>-67525.436959575425</v>
      </c>
      <c r="AU286">
        <f t="shared" si="262"/>
        <v>-22126.221539837657</v>
      </c>
      <c r="AV286">
        <f t="shared" si="250"/>
        <v>-2.8249455680844715</v>
      </c>
      <c r="AW286">
        <f t="shared" si="251"/>
        <v>-371.34824722222248</v>
      </c>
      <c r="AX286">
        <f t="shared" si="252"/>
        <v>-9790.7202884303661</v>
      </c>
      <c r="AY286">
        <f t="shared" si="260"/>
        <v>-1.6087067479558652</v>
      </c>
      <c r="BA286">
        <f t="shared" si="237"/>
        <v>7.2524846874504414</v>
      </c>
      <c r="BB286">
        <f t="shared" si="253"/>
        <v>17.209736410541126</v>
      </c>
      <c r="BC286">
        <f t="shared" si="254"/>
        <v>-1.2162388201286063</v>
      </c>
      <c r="BD286">
        <f t="shared" si="238"/>
        <v>-249.68535135296713</v>
      </c>
      <c r="BF286">
        <f t="shared" si="239"/>
        <v>-35.596356089439219</v>
      </c>
      <c r="BG286">
        <f t="shared" si="240"/>
        <v>-188.46290282707682</v>
      </c>
      <c r="BH286">
        <f t="shared" si="255"/>
        <v>-8.4629028270768174</v>
      </c>
      <c r="BI286">
        <f t="shared" si="256"/>
        <v>-8.4629028270768174</v>
      </c>
      <c r="BJ286">
        <f t="shared" si="241"/>
        <v>0</v>
      </c>
      <c r="BK286">
        <f t="shared" si="257"/>
        <v>0</v>
      </c>
      <c r="BM286">
        <f t="shared" si="258"/>
        <v>-52.806092499980352</v>
      </c>
      <c r="BN286">
        <f t="shared" si="242"/>
        <v>-118.77755147410969</v>
      </c>
      <c r="BQ286" s="47">
        <f t="shared" si="259"/>
        <v>34.111697210826264</v>
      </c>
      <c r="BR286" s="529"/>
      <c r="BS286" s="529"/>
      <c r="BT286" s="529">
        <v>57543.993999999999</v>
      </c>
      <c r="BU286" s="529">
        <v>1.78169</v>
      </c>
      <c r="BV286" s="529">
        <v>-134.52199999999999</v>
      </c>
      <c r="BY286" s="529"/>
      <c r="BZ286" s="529"/>
      <c r="CA286" s="529"/>
      <c r="CC286" s="529"/>
    </row>
    <row r="287" spans="1:81">
      <c r="A287">
        <f t="shared" si="211"/>
        <v>365000</v>
      </c>
      <c r="B287">
        <f t="shared" si="243"/>
        <v>365</v>
      </c>
      <c r="C287">
        <f t="shared" si="212"/>
        <v>2.089518554817186</v>
      </c>
      <c r="D287">
        <f t="shared" si="213"/>
        <v>1.0717605352366439</v>
      </c>
      <c r="F287">
        <f t="shared" si="214"/>
        <v>7.1809183409789692E-5</v>
      </c>
      <c r="G287">
        <f t="shared" si="215"/>
        <v>2.5550046427491148E-3</v>
      </c>
      <c r="H287">
        <f t="shared" si="216"/>
        <v>-3.1390376453572513</v>
      </c>
      <c r="J287">
        <f t="shared" si="217"/>
        <v>15</v>
      </c>
      <c r="M287">
        <f t="shared" si="218"/>
        <v>4.1259638848930554E-3</v>
      </c>
      <c r="N287">
        <f t="shared" si="219"/>
        <v>-1.5707963250000001</v>
      </c>
      <c r="O287">
        <f t="shared" si="220"/>
        <v>177.85308363683666</v>
      </c>
      <c r="P287">
        <f t="shared" si="221"/>
        <v>1.5651736788846156</v>
      </c>
      <c r="Q287">
        <f t="shared" si="222"/>
        <v>138.80524761640015</v>
      </c>
      <c r="R287">
        <f t="shared" si="223"/>
        <v>1.5635919258965865</v>
      </c>
      <c r="S287">
        <f t="shared" si="224"/>
        <v>0.4550787380748435</v>
      </c>
      <c r="T287">
        <f t="shared" si="225"/>
        <v>-1.0983356897454186</v>
      </c>
      <c r="U287">
        <f t="shared" si="226"/>
        <v>0.31157724316883401</v>
      </c>
      <c r="V287">
        <f t="shared" si="227"/>
        <v>-1.2539438749270064</v>
      </c>
      <c r="X287">
        <f t="shared" si="244"/>
        <v>-29.760750769951166</v>
      </c>
      <c r="Y287">
        <f t="shared" si="228"/>
        <v>-163.95688062936148</v>
      </c>
      <c r="Z287">
        <f t="shared" si="245"/>
        <v>16.043119370638522</v>
      </c>
      <c r="AC287">
        <v>1</v>
      </c>
      <c r="AD287">
        <f t="shared" si="229"/>
        <v>177.85027230547502</v>
      </c>
      <c r="AE287">
        <f t="shared" si="230"/>
        <v>-3.3445763861364185E-2</v>
      </c>
      <c r="AF287">
        <f t="shared" si="231"/>
        <v>1.0966860118179001E-2</v>
      </c>
      <c r="AG287">
        <f t="shared" si="246"/>
        <v>1547.3621780497463</v>
      </c>
      <c r="AH287">
        <f t="shared" si="247"/>
        <v>-4810.1926573872743</v>
      </c>
      <c r="AJ287">
        <f t="shared" si="232"/>
        <v>22100</v>
      </c>
      <c r="AK287">
        <f t="shared" si="233"/>
        <v>43243.003694594343</v>
      </c>
      <c r="AL287">
        <v>1</v>
      </c>
      <c r="AM287">
        <f t="shared" si="234"/>
        <v>138.8016454003704</v>
      </c>
      <c r="AN287">
        <f t="shared" si="248"/>
        <v>312.67619991309817</v>
      </c>
      <c r="AO287">
        <f t="shared" si="249"/>
        <v>-156.96733087883669</v>
      </c>
      <c r="AQ287">
        <f t="shared" si="235"/>
        <v>1.8765211549612405E-2</v>
      </c>
      <c r="AR287">
        <f t="shared" si="236"/>
        <v>-13.698604431217055</v>
      </c>
      <c r="AT287">
        <f t="shared" si="261"/>
        <v>-65863.889872878077</v>
      </c>
      <c r="AU287">
        <f t="shared" si="262"/>
        <v>-21286.966671740192</v>
      </c>
      <c r="AV287">
        <f t="shared" si="250"/>
        <v>-2.8289929874753446</v>
      </c>
      <c r="AW287">
        <f t="shared" si="251"/>
        <v>-348.75759878879933</v>
      </c>
      <c r="AX287">
        <f t="shared" si="252"/>
        <v>-9668.3249407742151</v>
      </c>
      <c r="AY287">
        <f t="shared" si="260"/>
        <v>-1.6068528775241069</v>
      </c>
      <c r="BA287">
        <f t="shared" si="237"/>
        <v>7.1546427164564426</v>
      </c>
      <c r="BB287">
        <f t="shared" si="253"/>
        <v>17.091759022864416</v>
      </c>
      <c r="BC287">
        <f t="shared" si="254"/>
        <v>-1.2221401099512377</v>
      </c>
      <c r="BD287">
        <f t="shared" si="238"/>
        <v>-250.02347035387379</v>
      </c>
      <c r="BF287">
        <f t="shared" si="239"/>
        <v>-35.861891393784155</v>
      </c>
      <c r="BG287">
        <f t="shared" si="240"/>
        <v>-188.46972398313071</v>
      </c>
      <c r="BH287">
        <f t="shared" si="255"/>
        <v>-8.4697239831307058</v>
      </c>
      <c r="BI287">
        <f t="shared" si="256"/>
        <v>-8.4697239831307058</v>
      </c>
      <c r="BJ287">
        <f t="shared" si="241"/>
        <v>0</v>
      </c>
      <c r="BK287">
        <f t="shared" si="257"/>
        <v>0</v>
      </c>
      <c r="BM287">
        <f t="shared" si="258"/>
        <v>-52.953650416648571</v>
      </c>
      <c r="BN287">
        <f t="shared" si="242"/>
        <v>-118.4462536292569</v>
      </c>
      <c r="BQ287" s="47">
        <f t="shared" si="259"/>
        <v>33.993719823149547</v>
      </c>
      <c r="BR287" s="529"/>
      <c r="BS287" s="529"/>
      <c r="BT287" s="529">
        <v>58884.366000000002</v>
      </c>
      <c r="BU287" s="529">
        <v>1.9421999999999999</v>
      </c>
      <c r="BV287" s="529">
        <v>-134.059</v>
      </c>
      <c r="BY287" s="529"/>
      <c r="BZ287" s="529"/>
      <c r="CA287" s="529"/>
      <c r="CC287" s="529"/>
    </row>
    <row r="288" spans="1:81">
      <c r="A288">
        <f t="shared" si="211"/>
        <v>370000</v>
      </c>
      <c r="B288">
        <f t="shared" si="243"/>
        <v>370</v>
      </c>
      <c r="C288">
        <f t="shared" si="212"/>
        <v>2.1116204746399267</v>
      </c>
      <c r="D288">
        <f t="shared" si="213"/>
        <v>1.077456668107962</v>
      </c>
      <c r="F288">
        <f t="shared" si="214"/>
        <v>6.9881377096517766E-5</v>
      </c>
      <c r="G288">
        <f t="shared" si="215"/>
        <v>2.520472754107782E-3</v>
      </c>
      <c r="H288">
        <f t="shared" si="216"/>
        <v>-3.1390721772458923</v>
      </c>
      <c r="J288">
        <f t="shared" si="217"/>
        <v>15</v>
      </c>
      <c r="M288">
        <f t="shared" si="218"/>
        <v>4.0702076161782839E-3</v>
      </c>
      <c r="N288">
        <f t="shared" si="219"/>
        <v>-1.5707963250000001</v>
      </c>
      <c r="O288">
        <f t="shared" si="220"/>
        <v>180.28935074653572</v>
      </c>
      <c r="P288">
        <f t="shared" si="221"/>
        <v>1.5652496590440572</v>
      </c>
      <c r="Q288">
        <f t="shared" si="222"/>
        <v>140.70659134178774</v>
      </c>
      <c r="R288">
        <f t="shared" si="223"/>
        <v>1.5636892793647277</v>
      </c>
      <c r="S288">
        <f t="shared" si="224"/>
        <v>0.45018213804905821</v>
      </c>
      <c r="T288">
        <f t="shared" si="225"/>
        <v>-1.103827021805212</v>
      </c>
      <c r="U288">
        <f t="shared" si="226"/>
        <v>0.3077680333563399</v>
      </c>
      <c r="V288">
        <f t="shared" si="227"/>
        <v>-1.2579500170869711</v>
      </c>
      <c r="X288">
        <f t="shared" si="244"/>
        <v>-29.988371469198469</v>
      </c>
      <c r="Y288">
        <f t="shared" si="228"/>
        <v>-164.16672869152501</v>
      </c>
      <c r="Z288">
        <f t="shared" si="245"/>
        <v>15.833271308474991</v>
      </c>
      <c r="AC288">
        <v>1</v>
      </c>
      <c r="AD288">
        <f t="shared" si="229"/>
        <v>180.28657740555002</v>
      </c>
      <c r="AE288">
        <f t="shared" si="230"/>
        <v>-3.4368362339056158E-2</v>
      </c>
      <c r="AF288">
        <f t="shared" si="231"/>
        <v>1.1117091078702001E-2</v>
      </c>
      <c r="AG288">
        <f t="shared" si="246"/>
        <v>1509.7586805347735</v>
      </c>
      <c r="AH288">
        <f t="shared" si="247"/>
        <v>-4757.3536101072823</v>
      </c>
      <c r="AJ288">
        <f t="shared" si="232"/>
        <v>22100</v>
      </c>
      <c r="AK288">
        <f t="shared" si="233"/>
        <v>43835.373608218921</v>
      </c>
      <c r="AL288">
        <v>1</v>
      </c>
      <c r="AM288">
        <f t="shared" si="234"/>
        <v>140.70303780311519</v>
      </c>
      <c r="AN288">
        <f t="shared" si="248"/>
        <v>312.6458437681506</v>
      </c>
      <c r="AO288">
        <f t="shared" si="249"/>
        <v>-154.8463664780198</v>
      </c>
      <c r="AQ288">
        <f t="shared" si="235"/>
        <v>1.8261471399796569E-2</v>
      </c>
      <c r="AR288">
        <f t="shared" si="236"/>
        <v>-13.51348883584946</v>
      </c>
      <c r="AT288">
        <f t="shared" si="261"/>
        <v>-64260.874483407701</v>
      </c>
      <c r="AU288">
        <f t="shared" si="262"/>
        <v>-20488.983351123163</v>
      </c>
      <c r="AV288">
        <f t="shared" si="250"/>
        <v>-2.8329416611039453</v>
      </c>
      <c r="AW288">
        <f t="shared" si="251"/>
        <v>-327.26751221614302</v>
      </c>
      <c r="AX288">
        <f t="shared" si="252"/>
        <v>-9548.833694759589</v>
      </c>
      <c r="AY288">
        <f t="shared" si="260"/>
        <v>-1.6050559518238792</v>
      </c>
      <c r="BA288">
        <f t="shared" si="237"/>
        <v>7.0593555205291718</v>
      </c>
      <c r="BB288">
        <f t="shared" si="253"/>
        <v>16.975301084339588</v>
      </c>
      <c r="BC288">
        <f t="shared" si="254"/>
        <v>-1.2278857092800661</v>
      </c>
      <c r="BD288">
        <f t="shared" si="238"/>
        <v>-250.35266894656502</v>
      </c>
      <c r="BF288">
        <f t="shared" si="239"/>
        <v>-36.123327353862955</v>
      </c>
      <c r="BG288">
        <f t="shared" si="240"/>
        <v>-188.4745367338567</v>
      </c>
      <c r="BH288">
        <f t="shared" si="255"/>
        <v>-8.474536733856695</v>
      </c>
      <c r="BI288">
        <f t="shared" si="256"/>
        <v>-8.474536733856695</v>
      </c>
      <c r="BJ288">
        <f t="shared" si="241"/>
        <v>0</v>
      </c>
      <c r="BK288">
        <f t="shared" si="257"/>
        <v>0</v>
      </c>
      <c r="BM288">
        <f t="shared" si="258"/>
        <v>-53.098628438202546</v>
      </c>
      <c r="BN288">
        <f t="shared" si="242"/>
        <v>-118.12186778729172</v>
      </c>
      <c r="BQ288" s="47">
        <f t="shared" si="259"/>
        <v>33.877261884624723</v>
      </c>
      <c r="BR288" s="529"/>
      <c r="BS288" s="529"/>
      <c r="BT288" s="529">
        <v>60255.959000000003</v>
      </c>
      <c r="BU288" s="529">
        <v>2.1075200000000001</v>
      </c>
      <c r="BV288" s="529">
        <v>-133.65100000000001</v>
      </c>
      <c r="BY288" s="529"/>
      <c r="BZ288" s="529"/>
      <c r="CA288" s="529"/>
      <c r="CC288" s="529"/>
    </row>
    <row r="289" spans="1:81">
      <c r="A289">
        <f t="shared" si="211"/>
        <v>375000</v>
      </c>
      <c r="B289">
        <f t="shared" si="243"/>
        <v>375</v>
      </c>
      <c r="C289">
        <f t="shared" si="212"/>
        <v>2.1337894873375509</v>
      </c>
      <c r="D289">
        <f t="shared" si="213"/>
        <v>1.0830346188631241</v>
      </c>
      <c r="F289">
        <f t="shared" si="214"/>
        <v>6.8030174591532486E-5</v>
      </c>
      <c r="G289">
        <f t="shared" si="215"/>
        <v>2.4868619039767419E-3</v>
      </c>
      <c r="H289">
        <f t="shared" si="216"/>
        <v>-3.1391057880960234</v>
      </c>
      <c r="J289">
        <f t="shared" si="217"/>
        <v>15</v>
      </c>
      <c r="M289">
        <f t="shared" si="218"/>
        <v>4.0159381812959064E-3</v>
      </c>
      <c r="N289">
        <f t="shared" si="219"/>
        <v>-1.5707963250000001</v>
      </c>
      <c r="O289">
        <f t="shared" si="220"/>
        <v>182.72561886928841</v>
      </c>
      <c r="P289">
        <f t="shared" si="221"/>
        <v>1.5653236131274244</v>
      </c>
      <c r="Q289">
        <f t="shared" si="222"/>
        <v>142.60793636518969</v>
      </c>
      <c r="R289">
        <f t="shared" si="223"/>
        <v>1.5637840368697795</v>
      </c>
      <c r="S289">
        <f t="shared" si="224"/>
        <v>0.4453767859697022</v>
      </c>
      <c r="T289">
        <f t="shared" si="225"/>
        <v>-1.1092012814669856</v>
      </c>
      <c r="U289">
        <f t="shared" si="226"/>
        <v>0.30404613388414847</v>
      </c>
      <c r="V289">
        <f t="shared" si="227"/>
        <v>-1.2618593265973144</v>
      </c>
      <c r="X289">
        <f t="shared" si="244"/>
        <v>-30.213167322157521</v>
      </c>
      <c r="Y289">
        <f t="shared" si="228"/>
        <v>-164.37130428542318</v>
      </c>
      <c r="Z289">
        <f t="shared" si="245"/>
        <v>15.628695714576821</v>
      </c>
      <c r="AC289">
        <v>1</v>
      </c>
      <c r="AD289">
        <f t="shared" si="229"/>
        <v>182.72288250562502</v>
      </c>
      <c r="AE289">
        <f t="shared" si="230"/>
        <v>-3.5303513176988842E-2</v>
      </c>
      <c r="AF289">
        <f t="shared" si="231"/>
        <v>1.1267322039225001E-2</v>
      </c>
      <c r="AG289">
        <f t="shared" si="246"/>
        <v>1473.46385738459</v>
      </c>
      <c r="AH289">
        <f t="shared" si="247"/>
        <v>-4705.5059330353924</v>
      </c>
      <c r="AJ289">
        <f t="shared" si="232"/>
        <v>22100</v>
      </c>
      <c r="AK289">
        <f t="shared" si="233"/>
        <v>44427.743521843498</v>
      </c>
      <c r="AL289">
        <v>1</v>
      </c>
      <c r="AM289">
        <f t="shared" si="234"/>
        <v>142.60443020585998</v>
      </c>
      <c r="AN289">
        <f t="shared" si="248"/>
        <v>312.61669367605759</v>
      </c>
      <c r="AO289">
        <f t="shared" si="249"/>
        <v>-152.78195267056046</v>
      </c>
      <c r="AQ289">
        <f t="shared" si="235"/>
        <v>1.7777746172895691E-2</v>
      </c>
      <c r="AR289">
        <f t="shared" si="236"/>
        <v>-13.333309629671769</v>
      </c>
      <c r="AT289">
        <f t="shared" si="261"/>
        <v>-62713.772702966919</v>
      </c>
      <c r="AU289">
        <f t="shared" si="262"/>
        <v>-19729.803128731823</v>
      </c>
      <c r="AV289">
        <f t="shared" si="250"/>
        <v>-2.8367950345164723</v>
      </c>
      <c r="AW289">
        <f t="shared" si="251"/>
        <v>-306.80867751835882</v>
      </c>
      <c r="AX289">
        <f t="shared" si="252"/>
        <v>-9432.1479802394679</v>
      </c>
      <c r="AY289">
        <f t="shared" si="260"/>
        <v>-1.6033128371947662</v>
      </c>
      <c r="BA289">
        <f t="shared" si="237"/>
        <v>6.9665270709004439</v>
      </c>
      <c r="BB289">
        <f t="shared" si="253"/>
        <v>16.860326581095656</v>
      </c>
      <c r="BC289">
        <f t="shared" si="254"/>
        <v>-1.2334821973217061</v>
      </c>
      <c r="BD289">
        <f t="shared" si="238"/>
        <v>-250.67332409181282</v>
      </c>
      <c r="BF289">
        <f t="shared" si="239"/>
        <v>-36.380785104531384</v>
      </c>
      <c r="BG289">
        <f t="shared" si="240"/>
        <v>-188.47752460199729</v>
      </c>
      <c r="BH289">
        <f t="shared" si="255"/>
        <v>-8.4775246019972883</v>
      </c>
      <c r="BI289">
        <f t="shared" si="256"/>
        <v>-8.4775246019972883</v>
      </c>
      <c r="BJ289">
        <f t="shared" si="241"/>
        <v>0</v>
      </c>
      <c r="BK289">
        <f t="shared" si="257"/>
        <v>0</v>
      </c>
      <c r="BM289">
        <f t="shared" si="258"/>
        <v>-53.241111685627033</v>
      </c>
      <c r="BN289">
        <f t="shared" si="242"/>
        <v>-117.80420051018447</v>
      </c>
      <c r="BQ289" s="47">
        <f t="shared" si="259"/>
        <v>33.762287381380794</v>
      </c>
      <c r="BR289" s="529"/>
      <c r="BS289" s="529"/>
      <c r="BT289" s="529">
        <v>61659.5</v>
      </c>
      <c r="BU289" s="529">
        <v>2.2781099999999999</v>
      </c>
      <c r="BV289" s="529">
        <v>-133.24799999999999</v>
      </c>
      <c r="BY289" s="529"/>
      <c r="BZ289" s="529"/>
      <c r="CA289" s="529"/>
      <c r="CC289" s="529"/>
    </row>
    <row r="290" spans="1:81">
      <c r="A290">
        <f t="shared" si="211"/>
        <v>380000</v>
      </c>
      <c r="B290">
        <f t="shared" si="243"/>
        <v>380</v>
      </c>
      <c r="C290">
        <f t="shared" si="212"/>
        <v>2.156023523291525</v>
      </c>
      <c r="D290">
        <f t="shared" si="213"/>
        <v>1.0884976912294302</v>
      </c>
      <c r="F290">
        <f t="shared" si="214"/>
        <v>6.6251570323870243E-5</v>
      </c>
      <c r="G290">
        <f t="shared" si="215"/>
        <v>2.4541357258640803E-3</v>
      </c>
      <c r="H290">
        <f t="shared" si="216"/>
        <v>-3.1391385142741361</v>
      </c>
      <c r="J290">
        <f t="shared" si="217"/>
        <v>15</v>
      </c>
      <c r="M290">
        <f t="shared" si="218"/>
        <v>3.9630968894367501E-3</v>
      </c>
      <c r="N290">
        <f t="shared" si="219"/>
        <v>-1.5707963250000001</v>
      </c>
      <c r="O290">
        <f t="shared" si="220"/>
        <v>185.16188796510696</v>
      </c>
      <c r="P290">
        <f t="shared" si="221"/>
        <v>1.5653956211082312</v>
      </c>
      <c r="Q290">
        <f t="shared" si="222"/>
        <v>144.50928263537102</v>
      </c>
      <c r="R290">
        <f t="shared" si="223"/>
        <v>1.5638763008772933</v>
      </c>
      <c r="S290">
        <f t="shared" si="224"/>
        <v>0.4406606105504946</v>
      </c>
      <c r="T290">
        <f t="shared" si="225"/>
        <v>-1.1144618723845601</v>
      </c>
      <c r="U290">
        <f t="shared" si="226"/>
        <v>0.30040875036725689</v>
      </c>
      <c r="V290">
        <f t="shared" si="227"/>
        <v>-1.2656751570805791</v>
      </c>
      <c r="X290">
        <f t="shared" si="244"/>
        <v>-30.435204467199522</v>
      </c>
      <c r="Y290">
        <f t="shared" si="228"/>
        <v>-164.57079691550004</v>
      </c>
      <c r="Z290">
        <f t="shared" si="245"/>
        <v>15.42920308449996</v>
      </c>
      <c r="AC290">
        <v>1</v>
      </c>
      <c r="AD290">
        <f t="shared" si="229"/>
        <v>185.15918760570003</v>
      </c>
      <c r="AE290">
        <f t="shared" si="230"/>
        <v>-3.625121637516223E-2</v>
      </c>
      <c r="AF290">
        <f t="shared" si="231"/>
        <v>1.1417552999748002E-2</v>
      </c>
      <c r="AG290">
        <f t="shared" si="246"/>
        <v>1438.4198710615146</v>
      </c>
      <c r="AH290">
        <f t="shared" si="247"/>
        <v>-4654.6287094403569</v>
      </c>
      <c r="AJ290">
        <f t="shared" si="232"/>
        <v>22100</v>
      </c>
      <c r="AK290">
        <f t="shared" si="233"/>
        <v>45020.113435468083</v>
      </c>
      <c r="AL290">
        <v>1</v>
      </c>
      <c r="AM290">
        <f t="shared" si="234"/>
        <v>144.5058226086048</v>
      </c>
      <c r="AN290">
        <f t="shared" si="248"/>
        <v>312.58868658494345</v>
      </c>
      <c r="AO290">
        <f t="shared" si="249"/>
        <v>-150.77185763252209</v>
      </c>
      <c r="AQ290">
        <f t="shared" si="235"/>
        <v>1.7312989416569571E-2</v>
      </c>
      <c r="AR290">
        <f t="shared" si="236"/>
        <v>-13.157871956592873</v>
      </c>
      <c r="AT290">
        <f t="shared" si="261"/>
        <v>-61220.105216293079</v>
      </c>
      <c r="AU290">
        <f t="shared" si="262"/>
        <v>-19007.130020830838</v>
      </c>
      <c r="AV290">
        <f t="shared" si="250"/>
        <v>-2.8405564008477988</v>
      </c>
      <c r="AW290">
        <f t="shared" si="251"/>
        <v>-287.31705140741161</v>
      </c>
      <c r="AX290">
        <f t="shared" si="252"/>
        <v>-9318.1735127135216</v>
      </c>
      <c r="AY290">
        <f t="shared" si="260"/>
        <v>-1.6016206131674013</v>
      </c>
      <c r="BA290">
        <f t="shared" si="237"/>
        <v>6.8760658827344052</v>
      </c>
      <c r="BB290">
        <f t="shared" si="253"/>
        <v>16.746800584183163</v>
      </c>
      <c r="BC290">
        <f t="shared" si="254"/>
        <v>-1.2389357876803975</v>
      </c>
      <c r="BD290">
        <f t="shared" si="238"/>
        <v>-250.98579180291614</v>
      </c>
      <c r="BF290">
        <f t="shared" si="239"/>
        <v>-36.634380805111107</v>
      </c>
      <c r="BG290">
        <f t="shared" si="240"/>
        <v>-188.47885639486663</v>
      </c>
      <c r="BH290">
        <f t="shared" si="255"/>
        <v>-8.4788563948666251</v>
      </c>
      <c r="BI290">
        <f t="shared" si="256"/>
        <v>-8.4788563948666251</v>
      </c>
      <c r="BJ290">
        <f t="shared" si="241"/>
        <v>0</v>
      </c>
      <c r="BK290">
        <f t="shared" si="257"/>
        <v>0</v>
      </c>
      <c r="BM290">
        <f t="shared" si="258"/>
        <v>-53.381181389294269</v>
      </c>
      <c r="BN290">
        <f t="shared" si="242"/>
        <v>-117.49306459195051</v>
      </c>
      <c r="BQ290" s="47">
        <f t="shared" si="259"/>
        <v>33.648761384468301</v>
      </c>
      <c r="BR290" s="529"/>
      <c r="BS290" s="529"/>
      <c r="BT290" s="529">
        <v>63095.733999999997</v>
      </c>
      <c r="BU290" s="529">
        <v>2.4499300000000002</v>
      </c>
      <c r="BV290" s="529">
        <v>-132.86600000000001</v>
      </c>
      <c r="BY290" s="529"/>
      <c r="BZ290" s="529"/>
      <c r="CA290" s="529"/>
      <c r="CC290" s="529"/>
    </row>
    <row r="291" spans="1:81">
      <c r="A291">
        <f t="shared" si="211"/>
        <v>385000</v>
      </c>
      <c r="B291">
        <f t="shared" si="243"/>
        <v>385</v>
      </c>
      <c r="C291">
        <f t="shared" si="212"/>
        <v>2.1783205914329979</v>
      </c>
      <c r="D291">
        <f t="shared" si="213"/>
        <v>1.0938490816919291</v>
      </c>
      <c r="F291">
        <f t="shared" si="214"/>
        <v>6.4541817157362871E-5</v>
      </c>
      <c r="G291">
        <f t="shared" si="215"/>
        <v>2.422259743064546E-3</v>
      </c>
      <c r="H291">
        <f t="shared" si="216"/>
        <v>-3.1391703902569357</v>
      </c>
      <c r="J291">
        <f t="shared" si="217"/>
        <v>15</v>
      </c>
      <c r="M291">
        <f t="shared" si="218"/>
        <v>3.911628098664844E-3</v>
      </c>
      <c r="N291">
        <f t="shared" si="219"/>
        <v>-1.5707963250000001</v>
      </c>
      <c r="O291">
        <f t="shared" si="220"/>
        <v>187.5981579960808</v>
      </c>
      <c r="P291">
        <f t="shared" si="221"/>
        <v>1.5654657588057246</v>
      </c>
      <c r="Q291">
        <f t="shared" si="222"/>
        <v>146.41063010375831</v>
      </c>
      <c r="R291">
        <f t="shared" si="223"/>
        <v>1.5639661685303592</v>
      </c>
      <c r="S291">
        <f t="shared" si="224"/>
        <v>0.43603157961513461</v>
      </c>
      <c r="T291">
        <f t="shared" si="225"/>
        <v>-1.1196120809280519</v>
      </c>
      <c r="U291">
        <f t="shared" si="226"/>
        <v>0.29685319771083019</v>
      </c>
      <c r="V291">
        <f t="shared" si="227"/>
        <v>-1.2694007145737247</v>
      </c>
      <c r="X291">
        <f t="shared" si="244"/>
        <v>-30.654546861000224</v>
      </c>
      <c r="Y291">
        <f t="shared" si="228"/>
        <v>-164.76538748953524</v>
      </c>
      <c r="Z291">
        <f t="shared" si="245"/>
        <v>15.234612510464757</v>
      </c>
      <c r="AC291">
        <v>1</v>
      </c>
      <c r="AD291">
        <f t="shared" si="229"/>
        <v>187.59549270577503</v>
      </c>
      <c r="AE291">
        <f t="shared" si="230"/>
        <v>-3.7211471933576316E-2</v>
      </c>
      <c r="AF291">
        <f t="shared" si="231"/>
        <v>1.1567783960271001E-2</v>
      </c>
      <c r="AG291">
        <f t="shared" si="246"/>
        <v>1404.5719127246823</v>
      </c>
      <c r="AH291">
        <f t="shared" si="247"/>
        <v>-4604.7011676552993</v>
      </c>
      <c r="AJ291">
        <f t="shared" si="232"/>
        <v>22100</v>
      </c>
      <c r="AK291">
        <f t="shared" si="233"/>
        <v>45612.483349092661</v>
      </c>
      <c r="AL291">
        <v>1</v>
      </c>
      <c r="AM291">
        <f t="shared" si="234"/>
        <v>146.40721501134959</v>
      </c>
      <c r="AN291">
        <f t="shared" si="248"/>
        <v>312.5617635100586</v>
      </c>
      <c r="AO291">
        <f t="shared" si="249"/>
        <v>-148.8139654510945</v>
      </c>
      <c r="AQ291">
        <f t="shared" si="235"/>
        <v>1.6866222185491338E-2</v>
      </c>
      <c r="AR291">
        <f t="shared" si="236"/>
        <v>-12.986991082828331</v>
      </c>
      <c r="AT291">
        <f t="shared" si="261"/>
        <v>-59777.523181473058</v>
      </c>
      <c r="AU291">
        <f t="shared" si="262"/>
        <v>-18318.826818738045</v>
      </c>
      <c r="AV291">
        <f t="shared" si="250"/>
        <v>-2.8442289087892321</v>
      </c>
      <c r="AW291">
        <f t="shared" si="251"/>
        <v>-268.73339390651114</v>
      </c>
      <c r="AX291">
        <f t="shared" si="252"/>
        <v>-9206.8200666401808</v>
      </c>
      <c r="AY291">
        <f t="shared" si="260"/>
        <v>-1.5999765555181131</v>
      </c>
      <c r="BA291">
        <f t="shared" si="237"/>
        <v>6.7878847684232317</v>
      </c>
      <c r="BB291">
        <f t="shared" si="253"/>
        <v>16.634689221932483</v>
      </c>
      <c r="BC291">
        <f t="shared" si="254"/>
        <v>-1.2442523532711189</v>
      </c>
      <c r="BD291">
        <f t="shared" si="238"/>
        <v>-251.29040857311702</v>
      </c>
      <c r="BF291">
        <f t="shared" si="239"/>
        <v>-36.884225886569055</v>
      </c>
      <c r="BG291">
        <f t="shared" si="240"/>
        <v>-188.47868743597377</v>
      </c>
      <c r="BH291">
        <f t="shared" si="255"/>
        <v>-8.4786874359737681</v>
      </c>
      <c r="BI291">
        <f t="shared" si="256"/>
        <v>-8.4786874359737681</v>
      </c>
      <c r="BJ291">
        <f t="shared" si="241"/>
        <v>0</v>
      </c>
      <c r="BK291">
        <f t="shared" si="257"/>
        <v>0</v>
      </c>
      <c r="BM291">
        <f t="shared" si="258"/>
        <v>-53.518915108501531</v>
      </c>
      <c r="BN291">
        <f t="shared" si="242"/>
        <v>-117.18827886285678</v>
      </c>
      <c r="BQ291" s="47">
        <f t="shared" si="259"/>
        <v>33.536650022217614</v>
      </c>
      <c r="BR291" s="529"/>
      <c r="BS291" s="529"/>
      <c r="BT291" s="529">
        <v>64565.423000000003</v>
      </c>
      <c r="BU291" s="529">
        <v>2.6258699999999999</v>
      </c>
      <c r="BV291" s="529">
        <v>-132.49799999999999</v>
      </c>
      <c r="BY291" s="529"/>
      <c r="BZ291" s="529"/>
      <c r="CA291" s="529"/>
      <c r="CC291" s="529"/>
    </row>
    <row r="292" spans="1:81">
      <c r="A292">
        <f t="shared" si="211"/>
        <v>390000</v>
      </c>
      <c r="B292">
        <f t="shared" si="243"/>
        <v>390</v>
      </c>
      <c r="C292">
        <f t="shared" si="212"/>
        <v>2.20067877585441</v>
      </c>
      <c r="D292">
        <f t="shared" si="213"/>
        <v>1.0990918829739054</v>
      </c>
      <c r="F292">
        <f t="shared" si="214"/>
        <v>6.2897406636709633E-5</v>
      </c>
      <c r="G292">
        <f t="shared" si="215"/>
        <v>2.391201247472731E-3</v>
      </c>
      <c r="H292">
        <f t="shared" si="216"/>
        <v>-3.1392014487525275</v>
      </c>
      <c r="J292">
        <f t="shared" si="217"/>
        <v>15</v>
      </c>
      <c r="M292">
        <f t="shared" si="218"/>
        <v>3.861479020476833E-3</v>
      </c>
      <c r="N292">
        <f t="shared" si="219"/>
        <v>-1.5707963250000001</v>
      </c>
      <c r="O292">
        <f t="shared" si="220"/>
        <v>190.03442892624344</v>
      </c>
      <c r="P292">
        <f t="shared" si="221"/>
        <v>1.5655340981511698</v>
      </c>
      <c r="Q292">
        <f t="shared" si="222"/>
        <v>148.31197872426884</v>
      </c>
      <c r="R292">
        <f t="shared" si="223"/>
        <v>1.5640537319907588</v>
      </c>
      <c r="S292">
        <f t="shared" si="224"/>
        <v>0.43148770089611316</v>
      </c>
      <c r="T292">
        <f t="shared" si="225"/>
        <v>-1.1246550804283757</v>
      </c>
      <c r="U292">
        <f t="shared" si="226"/>
        <v>0.29337689538064377</v>
      </c>
      <c r="V292">
        <f t="shared" si="227"/>
        <v>-1.2730390652295607</v>
      </c>
      <c r="X292">
        <f t="shared" si="244"/>
        <v>-30.871256368347204</v>
      </c>
      <c r="Y292">
        <f t="shared" si="228"/>
        <v>-164.95524877581863</v>
      </c>
      <c r="Z292">
        <f t="shared" si="245"/>
        <v>15.044751224181368</v>
      </c>
      <c r="AC292">
        <v>1</v>
      </c>
      <c r="AD292">
        <f t="shared" si="229"/>
        <v>190.03179780585003</v>
      </c>
      <c r="AE292">
        <f t="shared" si="230"/>
        <v>-3.8184279852231127E-2</v>
      </c>
      <c r="AF292">
        <f t="shared" si="231"/>
        <v>1.1718014920794001E-2</v>
      </c>
      <c r="AG292">
        <f t="shared" si="246"/>
        <v>1371.8680233964049</v>
      </c>
      <c r="AH292">
        <f t="shared" si="247"/>
        <v>-4555.7027266592913</v>
      </c>
      <c r="AJ292">
        <f t="shared" si="232"/>
        <v>22100</v>
      </c>
      <c r="AK292">
        <f t="shared" si="233"/>
        <v>46204.853262717239</v>
      </c>
      <c r="AL292">
        <v>1</v>
      </c>
      <c r="AM292">
        <f t="shared" si="234"/>
        <v>148.30860741409441</v>
      </c>
      <c r="AN292">
        <f t="shared" si="248"/>
        <v>312.53586922298024</v>
      </c>
      <c r="AO292">
        <f t="shared" si="249"/>
        <v>-146.90626869648878</v>
      </c>
      <c r="AQ292">
        <f t="shared" si="235"/>
        <v>1.6436527882104073E-2</v>
      </c>
      <c r="AR292">
        <f t="shared" si="236"/>
        <v>-12.820491748041176</v>
      </c>
      <c r="AT292">
        <f t="shared" si="261"/>
        <v>-58383.800466647008</v>
      </c>
      <c r="AU292">
        <f t="shared" si="262"/>
        <v>-17662.90260824448</v>
      </c>
      <c r="AV292">
        <f t="shared" si="250"/>
        <v>-2.847815570088549</v>
      </c>
      <c r="AW292">
        <f t="shared" si="251"/>
        <v>-251.0028509217228</v>
      </c>
      <c r="AX292">
        <f t="shared" si="252"/>
        <v>-9098.0012630715046</v>
      </c>
      <c r="AY292">
        <f t="shared" si="260"/>
        <v>-1.5983781208449315</v>
      </c>
      <c r="BA292">
        <f t="shared" si="237"/>
        <v>6.701900604738829</v>
      </c>
      <c r="BB292">
        <f t="shared" si="253"/>
        <v>16.523959651323299</v>
      </c>
      <c r="BC292">
        <f t="shared" si="254"/>
        <v>-1.2494374492436175</v>
      </c>
      <c r="BD292">
        <f t="shared" si="238"/>
        <v>-251.58749268905092</v>
      </c>
      <c r="BF292">
        <f t="shared" si="239"/>
        <v>-37.130427285212562</v>
      </c>
      <c r="BG292">
        <f t="shared" si="240"/>
        <v>-188.47716068599891</v>
      </c>
      <c r="BH292">
        <f t="shared" si="255"/>
        <v>-8.4771606859989106</v>
      </c>
      <c r="BI292">
        <f t="shared" si="256"/>
        <v>-8.4771606859989106</v>
      </c>
      <c r="BJ292">
        <f t="shared" si="241"/>
        <v>0</v>
      </c>
      <c r="BK292">
        <f t="shared" si="257"/>
        <v>0</v>
      </c>
      <c r="BM292">
        <f t="shared" si="258"/>
        <v>-53.654386936535865</v>
      </c>
      <c r="BN292">
        <f t="shared" si="242"/>
        <v>-116.88966799694798</v>
      </c>
      <c r="BQ292" s="47">
        <f t="shared" si="259"/>
        <v>33.425920451608434</v>
      </c>
      <c r="BR292" s="529"/>
      <c r="BS292" s="529"/>
      <c r="BT292" s="529">
        <v>66069.345000000001</v>
      </c>
      <c r="BU292" s="529">
        <v>2.7940900000000002</v>
      </c>
      <c r="BV292" s="529">
        <v>-132.279</v>
      </c>
      <c r="BY292" s="529"/>
      <c r="BZ292" s="529"/>
      <c r="CA292" s="529"/>
      <c r="CC292" s="529"/>
    </row>
    <row r="293" spans="1:81">
      <c r="A293">
        <f t="shared" si="211"/>
        <v>395000</v>
      </c>
      <c r="B293">
        <f t="shared" si="243"/>
        <v>395</v>
      </c>
      <c r="C293">
        <f t="shared" si="212"/>
        <v>2.2230962325755432</v>
      </c>
      <c r="D293">
        <f t="shared" si="213"/>
        <v>1.1042290874437986</v>
      </c>
      <c r="F293">
        <f t="shared" si="214"/>
        <v>6.1315050972982486E-5</v>
      </c>
      <c r="G293">
        <f t="shared" si="215"/>
        <v>2.3609291876043634E-3</v>
      </c>
      <c r="H293">
        <f t="shared" si="216"/>
        <v>-3.1392317208123957</v>
      </c>
      <c r="J293">
        <f t="shared" si="217"/>
        <v>15</v>
      </c>
      <c r="M293">
        <f t="shared" si="218"/>
        <v>3.8125995392049752E-3</v>
      </c>
      <c r="N293">
        <f t="shared" si="219"/>
        <v>-1.5707963250000001</v>
      </c>
      <c r="O293">
        <f t="shared" si="220"/>
        <v>192.47070072144942</v>
      </c>
      <c r="P293">
        <f t="shared" si="221"/>
        <v>1.5656007074339104</v>
      </c>
      <c r="Q293">
        <f t="shared" si="222"/>
        <v>150.213328453153</v>
      </c>
      <c r="R293">
        <f t="shared" si="223"/>
        <v>1.5641390787542078</v>
      </c>
      <c r="S293">
        <f t="shared" si="224"/>
        <v>0.42702702261417858</v>
      </c>
      <c r="T293">
        <f t="shared" si="225"/>
        <v>-1.1295939352940132</v>
      </c>
      <c r="U293">
        <f t="shared" si="226"/>
        <v>0.28997736287129938</v>
      </c>
      <c r="V293">
        <f t="shared" si="227"/>
        <v>-1.2765931425645343</v>
      </c>
      <c r="X293">
        <f t="shared" si="244"/>
        <v>-31.085392847625073</v>
      </c>
      <c r="Y293">
        <f t="shared" si="228"/>
        <v>-165.14054583334496</v>
      </c>
      <c r="Z293">
        <f t="shared" si="245"/>
        <v>14.859454166655041</v>
      </c>
      <c r="AC293">
        <v>1</v>
      </c>
      <c r="AD293">
        <f t="shared" si="229"/>
        <v>192.46810290592501</v>
      </c>
      <c r="AE293">
        <f t="shared" si="230"/>
        <v>-3.9169640131126636E-2</v>
      </c>
      <c r="AF293">
        <f t="shared" si="231"/>
        <v>1.1868245881317002E-2</v>
      </c>
      <c r="AG293">
        <f t="shared" si="246"/>
        <v>1340.2589265169661</v>
      </c>
      <c r="AH293">
        <f t="shared" si="247"/>
        <v>-4507.6130347463886</v>
      </c>
      <c r="AJ293">
        <f t="shared" si="232"/>
        <v>22100</v>
      </c>
      <c r="AK293">
        <f t="shared" si="233"/>
        <v>46797.223176341824</v>
      </c>
      <c r="AL293">
        <v>1</v>
      </c>
      <c r="AM293">
        <f t="shared" si="234"/>
        <v>150.2099998168392</v>
      </c>
      <c r="AN293">
        <f t="shared" si="248"/>
        <v>312.51095196817386</v>
      </c>
      <c r="AO293">
        <f t="shared" si="249"/>
        <v>-145.04686155781056</v>
      </c>
      <c r="AQ293">
        <f t="shared" si="235"/>
        <v>1.6023047551598221E-2</v>
      </c>
      <c r="AR293">
        <f t="shared" si="236"/>
        <v>-12.658207565762593</v>
      </c>
      <c r="AT293">
        <f t="shared" si="261"/>
        <v>-57036.826387445784</v>
      </c>
      <c r="AU293">
        <f t="shared" si="262"/>
        <v>-17037.501381717855</v>
      </c>
      <c r="AV293">
        <f t="shared" si="250"/>
        <v>-2.8513192666116853</v>
      </c>
      <c r="AW293">
        <f t="shared" si="251"/>
        <v>-234.0745777284863</v>
      </c>
      <c r="AX293">
        <f t="shared" si="252"/>
        <v>-8991.6343705239415</v>
      </c>
      <c r="AY293">
        <f t="shared" si="260"/>
        <v>-1.596822932514258</v>
      </c>
      <c r="BA293">
        <f t="shared" si="237"/>
        <v>6.6180341132083518</v>
      </c>
      <c r="BB293">
        <f t="shared" si="253"/>
        <v>16.414580028734058</v>
      </c>
      <c r="BC293">
        <f t="shared" si="254"/>
        <v>-1.2544963340974273</v>
      </c>
      <c r="BD293">
        <f t="shared" si="238"/>
        <v>-251.87734544054808</v>
      </c>
      <c r="BF293">
        <f t="shared" si="239"/>
        <v>-37.3730876636142</v>
      </c>
      <c r="BG293">
        <f t="shared" si="240"/>
        <v>-188.4744077638087</v>
      </c>
      <c r="BH293">
        <f t="shared" si="255"/>
        <v>-8.4744077638086992</v>
      </c>
      <c r="BI293">
        <f t="shared" si="256"/>
        <v>-8.4744077638086992</v>
      </c>
      <c r="BJ293">
        <f t="shared" si="241"/>
        <v>0</v>
      </c>
      <c r="BK293">
        <f t="shared" si="257"/>
        <v>0</v>
      </c>
      <c r="BM293">
        <f t="shared" si="258"/>
        <v>-53.787667692348251</v>
      </c>
      <c r="BN293">
        <f t="shared" si="242"/>
        <v>-116.59706232326062</v>
      </c>
      <c r="BQ293" s="47">
        <f t="shared" si="259"/>
        <v>33.316540829019189</v>
      </c>
      <c r="BR293" s="529"/>
      <c r="BS293" s="529"/>
      <c r="BT293" s="529">
        <v>67608.297999999995</v>
      </c>
      <c r="BU293" s="529">
        <v>2.9581400000000002</v>
      </c>
      <c r="BV293" s="529">
        <v>-132.03399999999999</v>
      </c>
      <c r="BY293" s="529"/>
      <c r="BZ293" s="529"/>
      <c r="CA293" s="529"/>
      <c r="CC293" s="529"/>
    </row>
    <row r="294" spans="1:81">
      <c r="A294">
        <f t="shared" si="211"/>
        <v>400000</v>
      </c>
      <c r="B294">
        <f t="shared" si="243"/>
        <v>400</v>
      </c>
      <c r="C294">
        <f t="shared" si="212"/>
        <v>2.2455711864573646</v>
      </c>
      <c r="D294">
        <f t="shared" si="213"/>
        <v>1.1092635904441681</v>
      </c>
      <c r="F294">
        <f t="shared" si="214"/>
        <v>5.9791666595691606E-5</v>
      </c>
      <c r="G294">
        <f t="shared" si="215"/>
        <v>2.3314140650196147E-3</v>
      </c>
      <c r="H294">
        <f t="shared" si="216"/>
        <v>-3.1392612359349807</v>
      </c>
      <c r="J294">
        <f t="shared" si="217"/>
        <v>15</v>
      </c>
      <c r="M294">
        <f t="shared" si="218"/>
        <v>3.7649420449649127E-3</v>
      </c>
      <c r="N294">
        <f t="shared" si="219"/>
        <v>-1.5707963250000001</v>
      </c>
      <c r="O294">
        <f t="shared" si="220"/>
        <v>194.90697334926045</v>
      </c>
      <c r="P294">
        <f t="shared" si="221"/>
        <v>1.5656656515289773</v>
      </c>
      <c r="Q294">
        <f t="shared" si="222"/>
        <v>152.11467924884866</v>
      </c>
      <c r="R294">
        <f t="shared" si="223"/>
        <v>1.5642222919419591</v>
      </c>
      <c r="S294">
        <f t="shared" si="224"/>
        <v>0.42264763386390714</v>
      </c>
      <c r="T294">
        <f t="shared" si="225"/>
        <v>-1.1344316049992396</v>
      </c>
      <c r="U294">
        <f t="shared" si="226"/>
        <v>0.28665221536737728</v>
      </c>
      <c r="V294">
        <f t="shared" si="227"/>
        <v>-1.2800657542817506</v>
      </c>
      <c r="X294">
        <f t="shared" si="244"/>
        <v>-31.297014232214128</v>
      </c>
      <c r="Y294">
        <f t="shared" si="228"/>
        <v>-165.3214364167028</v>
      </c>
      <c r="Z294">
        <f t="shared" si="245"/>
        <v>14.678563583297205</v>
      </c>
      <c r="AC294">
        <v>1</v>
      </c>
      <c r="AD294">
        <f t="shared" si="229"/>
        <v>194.90440800600001</v>
      </c>
      <c r="AE294">
        <f t="shared" si="230"/>
        <v>-4.0167552770262856E-2</v>
      </c>
      <c r="AF294">
        <f t="shared" si="231"/>
        <v>1.2018476841840001E-2</v>
      </c>
      <c r="AG294">
        <f t="shared" si="246"/>
        <v>1309.6978711472254</v>
      </c>
      <c r="AH294">
        <f t="shared" si="247"/>
        <v>-4460.4120021085746</v>
      </c>
      <c r="AJ294">
        <f t="shared" si="232"/>
        <v>22100</v>
      </c>
      <c r="AK294">
        <f t="shared" si="233"/>
        <v>47389.593089966402</v>
      </c>
      <c r="AL294">
        <v>1</v>
      </c>
      <c r="AM294">
        <f t="shared" si="234"/>
        <v>152.11139221958402</v>
      </c>
      <c r="AN294">
        <f t="shared" si="248"/>
        <v>312.48696320419475</v>
      </c>
      <c r="AO294">
        <f t="shared" si="249"/>
        <v>-143.23393349358028</v>
      </c>
      <c r="AQ294">
        <f t="shared" si="235"/>
        <v>1.5624975585975647E-2</v>
      </c>
      <c r="AR294">
        <f t="shared" si="236"/>
        <v>-12.499980468780517</v>
      </c>
      <c r="AT294">
        <f t="shared" si="261"/>
        <v>-55734.598911809706</v>
      </c>
      <c r="AU294">
        <f t="shared" si="262"/>
        <v>-16440.891637980079</v>
      </c>
      <c r="AV294">
        <f t="shared" si="250"/>
        <v>-2.8547427569936077</v>
      </c>
      <c r="AW294">
        <f t="shared" si="251"/>
        <v>-217.90139893382678</v>
      </c>
      <c r="AX294">
        <f t="shared" si="252"/>
        <v>-8887.6401180986286</v>
      </c>
      <c r="AY294">
        <f t="shared" si="260"/>
        <v>-1.5953087678436744</v>
      </c>
      <c r="BA294">
        <f t="shared" si="237"/>
        <v>6.5362096530696752</v>
      </c>
      <c r="BB294">
        <f t="shared" si="253"/>
        <v>16.30651948037395</v>
      </c>
      <c r="BC294">
        <f t="shared" si="254"/>
        <v>-1.2594339891499333</v>
      </c>
      <c r="BD294">
        <f t="shared" si="238"/>
        <v>-252.16025223607141</v>
      </c>
      <c r="BF294">
        <f t="shared" si="239"/>
        <v>-37.612305619455384</v>
      </c>
      <c r="BG294">
        <f t="shared" si="240"/>
        <v>-188.47054987709313</v>
      </c>
      <c r="BH294">
        <f t="shared" si="255"/>
        <v>-8.4705498770931342</v>
      </c>
      <c r="BI294">
        <f t="shared" si="256"/>
        <v>-8.4705498770931342</v>
      </c>
      <c r="BJ294">
        <f t="shared" si="241"/>
        <v>0</v>
      </c>
      <c r="BK294">
        <f t="shared" si="257"/>
        <v>0</v>
      </c>
      <c r="BM294">
        <f t="shared" si="258"/>
        <v>-53.918825099829334</v>
      </c>
      <c r="BN294">
        <f t="shared" si="242"/>
        <v>-116.31029764102173</v>
      </c>
      <c r="BQ294" s="47">
        <f t="shared" si="259"/>
        <v>33.208480280659089</v>
      </c>
      <c r="BR294" s="529"/>
      <c r="BS294" s="529"/>
      <c r="BT294" s="529">
        <v>69183.096999999994</v>
      </c>
      <c r="BU294" s="529">
        <v>3.15646</v>
      </c>
      <c r="BV294" s="529">
        <v>-131.40799999999999</v>
      </c>
      <c r="BY294" s="529"/>
      <c r="BZ294" s="529"/>
      <c r="CA294" s="529"/>
      <c r="CC294" s="529"/>
    </row>
    <row r="295" spans="1:81">
      <c r="A295">
        <f t="shared" si="211"/>
        <v>405000</v>
      </c>
      <c r="B295">
        <f t="shared" si="243"/>
        <v>405</v>
      </c>
      <c r="C295">
        <f t="shared" si="212"/>
        <v>2.2681019282571828</v>
      </c>
      <c r="D295">
        <f t="shared" si="213"/>
        <v>1.1141981935393073</v>
      </c>
      <c r="F295">
        <f t="shared" si="214"/>
        <v>5.8324359117629215E-5</v>
      </c>
      <c r="G295">
        <f t="shared" si="215"/>
        <v>2.3026278384219692E-3</v>
      </c>
      <c r="H295">
        <f t="shared" si="216"/>
        <v>-3.1392900221615783</v>
      </c>
      <c r="J295">
        <f t="shared" si="217"/>
        <v>15</v>
      </c>
      <c r="M295">
        <f t="shared" si="218"/>
        <v>3.7184612789776914E-3</v>
      </c>
      <c r="N295">
        <f t="shared" si="219"/>
        <v>-1.5707963250000001</v>
      </c>
      <c r="O295">
        <f t="shared" si="220"/>
        <v>197.34324677884015</v>
      </c>
      <c r="P295">
        <f t="shared" si="221"/>
        <v>1.5657289921078357</v>
      </c>
      <c r="Q295">
        <f t="shared" si="222"/>
        <v>154.01603107184599</v>
      </c>
      <c r="R295">
        <f t="shared" si="223"/>
        <v>1.5643034505708082</v>
      </c>
      <c r="S295">
        <f t="shared" si="224"/>
        <v>0.41834766482831209</v>
      </c>
      <c r="T295">
        <f t="shared" si="225"/>
        <v>-1.1391709479437921</v>
      </c>
      <c r="U295">
        <f t="shared" si="226"/>
        <v>0.28339915959214301</v>
      </c>
      <c r="V295">
        <f t="shared" si="227"/>
        <v>-1.2834595886962066</v>
      </c>
      <c r="X295">
        <f t="shared" si="244"/>
        <v>-31.506176608023328</v>
      </c>
      <c r="Y295">
        <f t="shared" si="228"/>
        <v>-165.49807135723103</v>
      </c>
      <c r="Z295">
        <f t="shared" si="245"/>
        <v>14.501928642768974</v>
      </c>
      <c r="AC295">
        <v>1</v>
      </c>
      <c r="AD295">
        <f t="shared" si="229"/>
        <v>197.34071310607501</v>
      </c>
      <c r="AE295">
        <f t="shared" si="230"/>
        <v>-4.117801776963978E-2</v>
      </c>
      <c r="AF295">
        <f t="shared" si="231"/>
        <v>1.2168707802363002E-2</v>
      </c>
      <c r="AG295">
        <f t="shared" si="246"/>
        <v>1280.1404851227396</v>
      </c>
      <c r="AH295">
        <f t="shared" si="247"/>
        <v>-4414.0798280643221</v>
      </c>
      <c r="AJ295">
        <f t="shared" si="232"/>
        <v>22100</v>
      </c>
      <c r="AK295">
        <f t="shared" si="233"/>
        <v>47981.963003590987</v>
      </c>
      <c r="AL295">
        <v>1</v>
      </c>
      <c r="AM295">
        <f t="shared" si="234"/>
        <v>154.01278462232881</v>
      </c>
      <c r="AN295">
        <f t="shared" si="248"/>
        <v>312.4638573671142</v>
      </c>
      <c r="AO295">
        <f t="shared" si="249"/>
        <v>-141.46576335244137</v>
      </c>
      <c r="AQ295">
        <f t="shared" si="235"/>
        <v>1.524155579704954E-2</v>
      </c>
      <c r="AR295">
        <f t="shared" si="236"/>
        <v>-12.345660195610128</v>
      </c>
      <c r="AT295">
        <f t="shared" si="261"/>
        <v>-54475.218300947243</v>
      </c>
      <c r="AU295">
        <f t="shared" si="262"/>
        <v>-15871.456875960919</v>
      </c>
      <c r="AV295">
        <f t="shared" si="250"/>
        <v>-2.8580886829041541</v>
      </c>
      <c r="AW295">
        <f t="shared" si="251"/>
        <v>-202.43950100097123</v>
      </c>
      <c r="AX295">
        <f t="shared" si="252"/>
        <v>-8785.9425199542366</v>
      </c>
      <c r="AY295">
        <f t="shared" si="260"/>
        <v>-1.5938335464006816</v>
      </c>
      <c r="BA295">
        <f t="shared" si="237"/>
        <v>6.4563550261624378</v>
      </c>
      <c r="BB295">
        <f t="shared" si="253"/>
        <v>16.199748072644478</v>
      </c>
      <c r="BC295">
        <f t="shared" si="254"/>
        <v>-1.2642551365034724</v>
      </c>
      <c r="BD295">
        <f t="shared" si="238"/>
        <v>-252.4364836321555</v>
      </c>
      <c r="BF295">
        <f t="shared" si="239"/>
        <v>-37.84817588295202</v>
      </c>
      <c r="BG295">
        <f t="shared" si="240"/>
        <v>-188.46569867122452</v>
      </c>
      <c r="BH295">
        <f t="shared" si="255"/>
        <v>-8.4656986712245157</v>
      </c>
      <c r="BI295">
        <f t="shared" si="256"/>
        <v>-8.4656986712245157</v>
      </c>
      <c r="BJ295">
        <f t="shared" si="241"/>
        <v>0</v>
      </c>
      <c r="BK295">
        <f t="shared" si="257"/>
        <v>0</v>
      </c>
      <c r="BM295">
        <f t="shared" si="258"/>
        <v>-54.047923955596502</v>
      </c>
      <c r="BN295">
        <f t="shared" si="242"/>
        <v>-116.02921503906904</v>
      </c>
      <c r="BQ295" s="47">
        <f t="shared" si="259"/>
        <v>33.101708872929613</v>
      </c>
      <c r="BR295" s="529"/>
      <c r="BS295" s="529"/>
      <c r="BT295" s="529">
        <v>70794.577999999994</v>
      </c>
      <c r="BU295" s="529">
        <v>3.32565</v>
      </c>
      <c r="BV295" s="529">
        <v>-131.172</v>
      </c>
      <c r="BY295" s="529"/>
      <c r="BZ295" s="529"/>
      <c r="CA295" s="529"/>
      <c r="CC295" s="529"/>
    </row>
    <row r="296" spans="1:81">
      <c r="A296">
        <f t="shared" si="211"/>
        <v>410000</v>
      </c>
      <c r="B296">
        <f t="shared" si="243"/>
        <v>410</v>
      </c>
      <c r="C296">
        <f t="shared" si="212"/>
        <v>2.2906868118188521</v>
      </c>
      <c r="D296">
        <f t="shared" si="213"/>
        <v>1.1190356076789774</v>
      </c>
      <c r="F296">
        <f t="shared" si="214"/>
        <v>5.6910409575487528E-5</v>
      </c>
      <c r="G296">
        <f t="shared" si="215"/>
        <v>2.2745438347771089E-3</v>
      </c>
      <c r="H296">
        <f t="shared" si="216"/>
        <v>-3.1393181061652231</v>
      </c>
      <c r="J296">
        <f t="shared" si="217"/>
        <v>15</v>
      </c>
      <c r="M296">
        <f t="shared" si="218"/>
        <v>3.6731141902096713E-3</v>
      </c>
      <c r="N296">
        <f t="shared" si="219"/>
        <v>-1.5707963250000001</v>
      </c>
      <c r="O296">
        <f t="shared" si="220"/>
        <v>199.77952098085629</v>
      </c>
      <c r="P296">
        <f t="shared" si="221"/>
        <v>1.5657907878337165</v>
      </c>
      <c r="Q296">
        <f t="shared" si="222"/>
        <v>155.91738388456233</v>
      </c>
      <c r="R296">
        <f t="shared" si="223"/>
        <v>1.5643826298033445</v>
      </c>
      <c r="S296">
        <f t="shared" si="224"/>
        <v>0.41412528684314165</v>
      </c>
      <c r="T296">
        <f t="shared" si="225"/>
        <v>-1.1438147251846418</v>
      </c>
      <c r="U296">
        <f t="shared" si="226"/>
        <v>0.28021598983802637</v>
      </c>
      <c r="V296">
        <f t="shared" si="227"/>
        <v>-1.2867772207874573</v>
      </c>
      <c r="X296">
        <f t="shared" si="244"/>
        <v>-31.712934287364924</v>
      </c>
      <c r="Y296">
        <f t="shared" si="228"/>
        <v>-165.67059492191999</v>
      </c>
      <c r="Z296">
        <f t="shared" si="245"/>
        <v>14.329405078080015</v>
      </c>
      <c r="AC296">
        <v>1</v>
      </c>
      <c r="AD296">
        <f t="shared" si="229"/>
        <v>199.77701820615002</v>
      </c>
      <c r="AE296">
        <f t="shared" si="230"/>
        <v>-4.2201035129257422E-2</v>
      </c>
      <c r="AF296">
        <f t="shared" si="231"/>
        <v>1.2318938762886002E-2</v>
      </c>
      <c r="AG296">
        <f t="shared" si="246"/>
        <v>1251.5446375058098</v>
      </c>
      <c r="AH296">
        <f t="shared" si="247"/>
        <v>-4368.5970235806772</v>
      </c>
      <c r="AJ296">
        <f t="shared" si="232"/>
        <v>22100</v>
      </c>
      <c r="AK296">
        <f t="shared" si="233"/>
        <v>48574.332917215565</v>
      </c>
      <c r="AL296">
        <v>1</v>
      </c>
      <c r="AM296">
        <f t="shared" si="234"/>
        <v>155.9141770250736</v>
      </c>
      <c r="AN296">
        <f t="shared" si="248"/>
        <v>312.44159165401265</v>
      </c>
      <c r="AO296">
        <f t="shared" si="249"/>
        <v>-139.74071392393128</v>
      </c>
      <c r="AQ296">
        <f t="shared" si="235"/>
        <v>1.4872077822608831E-2</v>
      </c>
      <c r="AR296">
        <f t="shared" si="236"/>
        <v>-12.195103814539241</v>
      </c>
      <c r="AT296">
        <f t="shared" si="261"/>
        <v>-53256.881157206037</v>
      </c>
      <c r="AU296">
        <f t="shared" si="262"/>
        <v>-15327.686897823542</v>
      </c>
      <c r="AV296">
        <f t="shared" si="250"/>
        <v>-2.8613595749529681</v>
      </c>
      <c r="AW296">
        <f t="shared" si="251"/>
        <v>-187.64815388167221</v>
      </c>
      <c r="AX296">
        <f t="shared" si="252"/>
        <v>-8686.4687103147426</v>
      </c>
      <c r="AY296">
        <f t="shared" si="260"/>
        <v>-1.5923953193098535</v>
      </c>
      <c r="BA296">
        <f t="shared" si="237"/>
        <v>6.3784012931184959</v>
      </c>
      <c r="BB296">
        <f t="shared" si="253"/>
        <v>16.094236782630919</v>
      </c>
      <c r="BC296">
        <f t="shared" si="254"/>
        <v>-1.2689642556431147</v>
      </c>
      <c r="BD296">
        <f t="shared" si="238"/>
        <v>-252.70629628438957</v>
      </c>
      <c r="BF296">
        <f t="shared" si="239"/>
        <v>-38.080789503496881</v>
      </c>
      <c r="BG296">
        <f t="shared" si="240"/>
        <v>-188.45995700406442</v>
      </c>
      <c r="BH296">
        <f t="shared" si="255"/>
        <v>-8.459957004064421</v>
      </c>
      <c r="BI296">
        <f t="shared" si="256"/>
        <v>-8.459957004064421</v>
      </c>
      <c r="BJ296">
        <f t="shared" si="241"/>
        <v>0</v>
      </c>
      <c r="BK296">
        <f t="shared" si="257"/>
        <v>0</v>
      </c>
      <c r="BM296">
        <f t="shared" si="258"/>
        <v>-54.175026286127796</v>
      </c>
      <c r="BN296">
        <f t="shared" si="242"/>
        <v>-115.75366071967485</v>
      </c>
      <c r="BQ296" s="47">
        <f t="shared" si="259"/>
        <v>32.996197582916061</v>
      </c>
      <c r="BR296" s="529"/>
      <c r="BS296" s="529"/>
      <c r="BT296" s="529">
        <v>72443.596000000005</v>
      </c>
      <c r="BU296" s="529">
        <v>3.4992100000000002</v>
      </c>
      <c r="BV296" s="529">
        <v>-130.929</v>
      </c>
      <c r="BY296" s="529"/>
      <c r="BZ296" s="529"/>
      <c r="CA296" s="529"/>
      <c r="CC296" s="529"/>
    </row>
    <row r="297" spans="1:81">
      <c r="A297">
        <f t="shared" si="211"/>
        <v>415000</v>
      </c>
      <c r="B297">
        <f t="shared" si="243"/>
        <v>415</v>
      </c>
      <c r="C297">
        <f t="shared" si="212"/>
        <v>2.3133242513919527</v>
      </c>
      <c r="D297">
        <f t="shared" si="213"/>
        <v>1.1237784562764852</v>
      </c>
      <c r="F297">
        <f t="shared" si="214"/>
        <v>5.5547261824013949E-5</v>
      </c>
      <c r="G297">
        <f t="shared" si="215"/>
        <v>2.247136666859505E-3</v>
      </c>
      <c r="H297">
        <f t="shared" si="216"/>
        <v>-3.1393455133331405</v>
      </c>
      <c r="J297">
        <f t="shared" si="217"/>
        <v>15</v>
      </c>
      <c r="M297">
        <f t="shared" si="218"/>
        <v>3.6288598023758193E-3</v>
      </c>
      <c r="N297">
        <f t="shared" si="219"/>
        <v>-1.5707963250000001</v>
      </c>
      <c r="O297">
        <f t="shared" si="220"/>
        <v>202.21579592739013</v>
      </c>
      <c r="P297">
        <f t="shared" si="221"/>
        <v>1.5658510945428241</v>
      </c>
      <c r="Q297">
        <f t="shared" si="222"/>
        <v>157.8187376512262</v>
      </c>
      <c r="R297">
        <f t="shared" si="223"/>
        <v>1.5644599011801115</v>
      </c>
      <c r="S297">
        <f t="shared" si="224"/>
        <v>0.40997871232943767</v>
      </c>
      <c r="T297">
        <f t="shared" si="225"/>
        <v>-1.1483656040410934</v>
      </c>
      <c r="U297">
        <f t="shared" si="226"/>
        <v>0.27710058417281663</v>
      </c>
      <c r="V297">
        <f t="shared" si="227"/>
        <v>-1.2900211179032752</v>
      </c>
      <c r="X297">
        <f t="shared" si="244"/>
        <v>-31.917339879365688</v>
      </c>
      <c r="Y297">
        <f t="shared" si="228"/>
        <v>-165.83914515144278</v>
      </c>
      <c r="Z297">
        <f t="shared" si="245"/>
        <v>14.160854848557221</v>
      </c>
      <c r="AC297">
        <v>1</v>
      </c>
      <c r="AD297">
        <f t="shared" si="229"/>
        <v>202.21332330622502</v>
      </c>
      <c r="AE297">
        <f t="shared" si="230"/>
        <v>-4.3236604849115762E-2</v>
      </c>
      <c r="AF297">
        <f t="shared" si="231"/>
        <v>1.2469169723409E-2</v>
      </c>
      <c r="AG297">
        <f t="shared" si="246"/>
        <v>1223.870309722807</v>
      </c>
      <c r="AH297">
        <f t="shared" si="247"/>
        <v>-4323.9444296624424</v>
      </c>
      <c r="AJ297">
        <f t="shared" si="232"/>
        <v>22100</v>
      </c>
      <c r="AK297">
        <f t="shared" si="233"/>
        <v>49166.702830840142</v>
      </c>
      <c r="AL297">
        <v>1</v>
      </c>
      <c r="AM297">
        <f t="shared" si="234"/>
        <v>157.81556942781839</v>
      </c>
      <c r="AN297">
        <f t="shared" si="248"/>
        <v>312.42012582462075</v>
      </c>
      <c r="AO297">
        <f t="shared" si="249"/>
        <v>-138.05722688305838</v>
      </c>
      <c r="AQ297">
        <f t="shared" si="235"/>
        <v>1.4515873833830985E-2</v>
      </c>
      <c r="AR297">
        <f t="shared" si="236"/>
        <v>-12.048175282079718</v>
      </c>
      <c r="AT297">
        <f t="shared" si="261"/>
        <v>-52077.874851540415</v>
      </c>
      <c r="AU297">
        <f t="shared" si="262"/>
        <v>-14808.169845879049</v>
      </c>
      <c r="AV297">
        <f t="shared" si="250"/>
        <v>-2.8645578582561031</v>
      </c>
      <c r="AW297">
        <f t="shared" si="251"/>
        <v>-173.48945870204611</v>
      </c>
      <c r="AX297">
        <f t="shared" si="252"/>
        <v>-8589.1487882653091</v>
      </c>
      <c r="AY297">
        <f t="shared" si="260"/>
        <v>-1.5909922594721471</v>
      </c>
      <c r="BA297">
        <f t="shared" si="237"/>
        <v>6.3022826002302246</v>
      </c>
      <c r="BB297">
        <f t="shared" si="253"/>
        <v>15.989957468885379</v>
      </c>
      <c r="BC297">
        <f t="shared" si="254"/>
        <v>-1.273565598783956</v>
      </c>
      <c r="BD297">
        <f t="shared" si="238"/>
        <v>-252.96993382675251</v>
      </c>
      <c r="BF297">
        <f t="shared" si="239"/>
        <v>-38.310234026124945</v>
      </c>
      <c r="BG297">
        <f t="shared" si="240"/>
        <v>-188.45341965366197</v>
      </c>
      <c r="BH297">
        <f t="shared" si="255"/>
        <v>-8.4534196536619675</v>
      </c>
      <c r="BI297">
        <f t="shared" si="256"/>
        <v>-8.4534196536619675</v>
      </c>
      <c r="BJ297">
        <f t="shared" si="241"/>
        <v>0</v>
      </c>
      <c r="BK297">
        <f t="shared" si="257"/>
        <v>0</v>
      </c>
      <c r="BM297">
        <f t="shared" si="258"/>
        <v>-54.300191495010324</v>
      </c>
      <c r="BN297">
        <f t="shared" si="242"/>
        <v>-115.48348582690946</v>
      </c>
      <c r="BQ297" s="47">
        <f t="shared" si="259"/>
        <v>32.891918269170517</v>
      </c>
      <c r="BR297" s="529"/>
      <c r="BS297" s="529"/>
      <c r="BT297" s="529">
        <v>74131.024000000005</v>
      </c>
      <c r="BU297" s="529">
        <v>3.6540400000000002</v>
      </c>
      <c r="BV297" s="529">
        <v>-130.88900000000001</v>
      </c>
      <c r="BY297" s="529"/>
      <c r="BZ297" s="529"/>
      <c r="CA297" s="529"/>
      <c r="CC297" s="529"/>
    </row>
    <row r="298" spans="1:81">
      <c r="A298">
        <f t="shared" si="211"/>
        <v>420000</v>
      </c>
      <c r="B298">
        <f t="shared" si="243"/>
        <v>420</v>
      </c>
      <c r="C298">
        <f t="shared" si="212"/>
        <v>2.3360127190740867</v>
      </c>
      <c r="D298">
        <f t="shared" si="213"/>
        <v>1.1284292781999852</v>
      </c>
      <c r="F298">
        <f t="shared" si="214"/>
        <v>5.4232510974487269E-5</v>
      </c>
      <c r="G298">
        <f t="shared" si="215"/>
        <v>2.2203821566908286E-3</v>
      </c>
      <c r="H298">
        <f t="shared" si="216"/>
        <v>-3.1393722678433096</v>
      </c>
      <c r="J298">
        <f t="shared" si="217"/>
        <v>15</v>
      </c>
      <c r="M298">
        <f t="shared" si="218"/>
        <v>3.5856590904427737E-3</v>
      </c>
      <c r="N298">
        <f t="shared" si="219"/>
        <v>-1.5707963250000001</v>
      </c>
      <c r="O298">
        <f t="shared" si="220"/>
        <v>204.6520715918524</v>
      </c>
      <c r="P298">
        <f t="shared" si="221"/>
        <v>1.5659099654126054</v>
      </c>
      <c r="Q298">
        <f t="shared" si="222"/>
        <v>159.72009233776936</v>
      </c>
      <c r="R298">
        <f t="shared" si="223"/>
        <v>1.5645353328351888</v>
      </c>
      <c r="S298">
        <f t="shared" si="224"/>
        <v>0.40590619461104677</v>
      </c>
      <c r="T298">
        <f t="shared" si="225"/>
        <v>-1.1528261615749131</v>
      </c>
      <c r="U298">
        <f t="shared" si="226"/>
        <v>0.27405090081533723</v>
      </c>
      <c r="V298">
        <f t="shared" si="227"/>
        <v>-1.2931936451363042</v>
      </c>
      <c r="X298">
        <f t="shared" si="244"/>
        <v>-32.119444357097805</v>
      </c>
      <c r="Y298">
        <f t="shared" si="228"/>
        <v>-166.00385417861685</v>
      </c>
      <c r="Z298">
        <f t="shared" si="245"/>
        <v>13.996145821383152</v>
      </c>
      <c r="AC298">
        <v>1</v>
      </c>
      <c r="AD298">
        <f t="shared" si="229"/>
        <v>204.6496284063</v>
      </c>
      <c r="AE298">
        <f t="shared" si="230"/>
        <v>-4.4284726929214806E-2</v>
      </c>
      <c r="AF298">
        <f t="shared" si="231"/>
        <v>1.2619400683932002E-2</v>
      </c>
      <c r="AG298">
        <f t="shared" si="246"/>
        <v>1197.0794748131573</v>
      </c>
      <c r="AH298">
        <f t="shared" si="247"/>
        <v>-4280.103232116343</v>
      </c>
      <c r="AJ298">
        <f t="shared" si="232"/>
        <v>22100</v>
      </c>
      <c r="AK298">
        <f t="shared" si="233"/>
        <v>49759.07274446472</v>
      </c>
      <c r="AL298">
        <v>1</v>
      </c>
      <c r="AM298">
        <f t="shared" si="234"/>
        <v>159.71696183056321</v>
      </c>
      <c r="AN298">
        <f t="shared" si="248"/>
        <v>312.399422019388</v>
      </c>
      <c r="AO298">
        <f t="shared" si="249"/>
        <v>-136.41381809587719</v>
      </c>
      <c r="AQ298">
        <f t="shared" si="235"/>
        <v>1.4172315515425856E-2</v>
      </c>
      <c r="AR298">
        <f t="shared" si="236"/>
        <v>-11.90474503295772</v>
      </c>
      <c r="AT298">
        <f t="shared" si="261"/>
        <v>-50936.572305069225</v>
      </c>
      <c r="AU298">
        <f t="shared" si="262"/>
        <v>-14311.584905281718</v>
      </c>
      <c r="AV298">
        <f t="shared" si="250"/>
        <v>-2.8676858576854096</v>
      </c>
      <c r="AW298">
        <f t="shared" si="251"/>
        <v>-159.92811879801243</v>
      </c>
      <c r="AX298">
        <f t="shared" si="252"/>
        <v>-8493.9156716528414</v>
      </c>
      <c r="AY298">
        <f t="shared" si="260"/>
        <v>-1.5896226526101134</v>
      </c>
      <c r="BA298">
        <f t="shared" si="237"/>
        <v>6.2279360163941382</v>
      </c>
      <c r="BB298">
        <f t="shared" si="253"/>
        <v>15.886882842630394</v>
      </c>
      <c r="BC298">
        <f t="shared" si="254"/>
        <v>-1.2780632050752962</v>
      </c>
      <c r="BD298">
        <f t="shared" si="238"/>
        <v>-253.22762768545226</v>
      </c>
      <c r="BF298">
        <f t="shared" si="239"/>
        <v>-38.536593658378678</v>
      </c>
      <c r="BG298">
        <f t="shared" si="240"/>
        <v>-188.44617396509113</v>
      </c>
      <c r="BH298">
        <f t="shared" si="255"/>
        <v>-8.4461739650911341</v>
      </c>
      <c r="BI298">
        <f t="shared" si="256"/>
        <v>-8.4461739650911341</v>
      </c>
      <c r="BJ298">
        <f t="shared" si="241"/>
        <v>0</v>
      </c>
      <c r="BK298">
        <f t="shared" si="257"/>
        <v>0</v>
      </c>
      <c r="BM298">
        <f t="shared" si="258"/>
        <v>-54.42347650100907</v>
      </c>
      <c r="BN298">
        <f t="shared" si="242"/>
        <v>-115.2185462796389</v>
      </c>
      <c r="BQ298" s="47">
        <f t="shared" si="259"/>
        <v>32.788843642915531</v>
      </c>
      <c r="BR298" s="529"/>
      <c r="BS298" s="529"/>
      <c r="BT298" s="529">
        <v>75857.758000000002</v>
      </c>
      <c r="BU298" s="529">
        <v>3.8307899999999999</v>
      </c>
      <c r="BV298" s="529">
        <v>-130.62200000000001</v>
      </c>
      <c r="BY298" s="529"/>
      <c r="BZ298" s="529"/>
      <c r="CA298" s="529"/>
      <c r="CC298" s="529"/>
    </row>
    <row r="299" spans="1:81">
      <c r="A299">
        <f t="shared" si="211"/>
        <v>425000</v>
      </c>
      <c r="B299">
        <f t="shared" si="243"/>
        <v>425</v>
      </c>
      <c r="C299">
        <f t="shared" si="212"/>
        <v>2.3587507423706588</v>
      </c>
      <c r="D299">
        <f t="shared" si="213"/>
        <v>1.1329905306764394</v>
      </c>
      <c r="F299">
        <f t="shared" si="214"/>
        <v>5.2963892779795304E-5</v>
      </c>
      <c r="G299">
        <f t="shared" si="215"/>
        <v>2.1942572643847526E-3</v>
      </c>
      <c r="H299">
        <f t="shared" si="216"/>
        <v>-3.1393983927356155</v>
      </c>
      <c r="J299">
        <f t="shared" si="217"/>
        <v>15</v>
      </c>
      <c r="M299">
        <f t="shared" si="218"/>
        <v>3.5434748658493298E-3</v>
      </c>
      <c r="N299">
        <f t="shared" si="219"/>
        <v>-1.5707963250000001</v>
      </c>
      <c r="O299">
        <f t="shared" si="220"/>
        <v>207.0883479489051</v>
      </c>
      <c r="P299">
        <f t="shared" si="221"/>
        <v>1.5659674511181378</v>
      </c>
      <c r="Q299">
        <f t="shared" si="222"/>
        <v>161.62144791172679</v>
      </c>
      <c r="R299">
        <f t="shared" si="223"/>
        <v>1.5646089896965552</v>
      </c>
      <c r="S299">
        <f t="shared" si="224"/>
        <v>0.40190602763206495</v>
      </c>
      <c r="T299">
        <f t="shared" si="225"/>
        <v>-1.1571988879475703</v>
      </c>
      <c r="U299">
        <f t="shared" si="226"/>
        <v>0.27106497467427171</v>
      </c>
      <c r="V299">
        <f t="shared" si="227"/>
        <v>-1.2962970703942602</v>
      </c>
      <c r="X299">
        <f t="shared" si="244"/>
        <v>-32.319297121601906</v>
      </c>
      <c r="Y299">
        <f t="shared" si="228"/>
        <v>-166.16484852851192</v>
      </c>
      <c r="Z299">
        <f t="shared" si="245"/>
        <v>13.835151471488075</v>
      </c>
      <c r="AC299">
        <v>1</v>
      </c>
      <c r="AD299">
        <f t="shared" si="229"/>
        <v>207.08593350637503</v>
      </c>
      <c r="AE299">
        <f t="shared" si="230"/>
        <v>-4.5345401369554561E-2</v>
      </c>
      <c r="AF299">
        <f t="shared" si="231"/>
        <v>1.2769631644455002E-2</v>
      </c>
      <c r="AG299">
        <f t="shared" si="246"/>
        <v>1171.1359842534625</v>
      </c>
      <c r="AH299">
        <f t="shared" si="247"/>
        <v>-4237.0549731398132</v>
      </c>
      <c r="AJ299">
        <f t="shared" si="232"/>
        <v>22100</v>
      </c>
      <c r="AK299">
        <f t="shared" si="233"/>
        <v>50351.442658089298</v>
      </c>
      <c r="AL299">
        <v>1</v>
      </c>
      <c r="AM299">
        <f t="shared" si="234"/>
        <v>161.618354233308</v>
      </c>
      <c r="AN299">
        <f t="shared" si="248"/>
        <v>312.37944459244409</v>
      </c>
      <c r="AO299">
        <f t="shared" si="249"/>
        <v>-134.80907325634266</v>
      </c>
      <c r="AQ299">
        <f t="shared" si="235"/>
        <v>1.384081129299475E-2</v>
      </c>
      <c r="AR299">
        <f t="shared" si="236"/>
        <v>-11.764689599045537</v>
      </c>
      <c r="AT299">
        <f t="shared" si="261"/>
        <v>-49831.427100925641</v>
      </c>
      <c r="AU299">
        <f t="shared" si="262"/>
        <v>-13836.695611335943</v>
      </c>
      <c r="AV299">
        <f t="shared" si="250"/>
        <v>-2.8707458028204575</v>
      </c>
      <c r="AW299">
        <f t="shared" si="251"/>
        <v>-146.931231703262</v>
      </c>
      <c r="AX299">
        <f t="shared" si="252"/>
        <v>-8400.7049594646542</v>
      </c>
      <c r="AY299">
        <f t="shared" si="260"/>
        <v>-1.5882848890616288</v>
      </c>
      <c r="BA299">
        <f t="shared" si="237"/>
        <v>6.1553013795497638</v>
      </c>
      <c r="BB299">
        <f t="shared" si="253"/>
        <v>15.784986439485039</v>
      </c>
      <c r="BC299">
        <f t="shared" si="254"/>
        <v>-1.2824609137588288</v>
      </c>
      <c r="BD299">
        <f t="shared" si="238"/>
        <v>-253.4795978328346</v>
      </c>
      <c r="BF299">
        <f t="shared" si="239"/>
        <v>-38.759949428120891</v>
      </c>
      <c r="BG299">
        <f t="shared" si="240"/>
        <v>-188.43830044205154</v>
      </c>
      <c r="BH299">
        <f t="shared" si="255"/>
        <v>-8.4383004420515419</v>
      </c>
      <c r="BI299">
        <f t="shared" si="256"/>
        <v>-8.4383004420515419</v>
      </c>
      <c r="BJ299">
        <f t="shared" si="241"/>
        <v>0</v>
      </c>
      <c r="BK299">
        <f t="shared" si="257"/>
        <v>0</v>
      </c>
      <c r="BM299">
        <f t="shared" si="258"/>
        <v>-54.544935867605929</v>
      </c>
      <c r="BN299">
        <f t="shared" si="242"/>
        <v>-114.95870260921693</v>
      </c>
      <c r="BQ299" s="47">
        <f t="shared" si="259"/>
        <v>32.686947239770177</v>
      </c>
      <c r="BR299" s="529"/>
      <c r="BS299" s="529"/>
      <c r="BT299" s="529">
        <v>77624.712</v>
      </c>
      <c r="BU299" s="529">
        <v>4.0309799999999996</v>
      </c>
      <c r="BV299" s="529">
        <v>-130.36099999999999</v>
      </c>
      <c r="BY299" s="529"/>
      <c r="BZ299" s="529"/>
      <c r="CA299" s="529"/>
      <c r="CC299" s="529"/>
    </row>
    <row r="300" spans="1:81">
      <c r="A300">
        <f t="shared" ref="A300:A363" si="263">A299+5000</f>
        <v>430000</v>
      </c>
      <c r="B300">
        <f t="shared" si="243"/>
        <v>430</v>
      </c>
      <c r="C300">
        <f t="shared" si="212"/>
        <v>2.3815369018666934</v>
      </c>
      <c r="D300">
        <f t="shared" si="213"/>
        <v>1.1374645921081703</v>
      </c>
      <c r="F300">
        <f t="shared" si="214"/>
        <v>5.1739273878562489E-5</v>
      </c>
      <c r="G300">
        <f t="shared" si="215"/>
        <v>2.1687400219579231E-3</v>
      </c>
      <c r="H300">
        <f t="shared" si="216"/>
        <v>-3.1394239099780421</v>
      </c>
      <c r="J300">
        <f t="shared" si="217"/>
        <v>15</v>
      </c>
      <c r="M300">
        <f t="shared" si="218"/>
        <v>3.5022716697348027E-3</v>
      </c>
      <c r="N300">
        <f t="shared" si="219"/>
        <v>-1.5707963250000001</v>
      </c>
      <c r="O300">
        <f t="shared" si="220"/>
        <v>209.52462497438859</v>
      </c>
      <c r="P300">
        <f t="shared" si="221"/>
        <v>1.5660235999776111</v>
      </c>
      <c r="Q300">
        <f t="shared" si="222"/>
        <v>163.52280434214336</v>
      </c>
      <c r="R300">
        <f t="shared" si="223"/>
        <v>1.564680933672477</v>
      </c>
      <c r="S300">
        <f t="shared" si="224"/>
        <v>0.3979765455876525</v>
      </c>
      <c r="T300">
        <f t="shared" si="225"/>
        <v>-1.1614861896569992</v>
      </c>
      <c r="U300">
        <f t="shared" si="226"/>
        <v>0.26814091404378593</v>
      </c>
      <c r="V300">
        <f t="shared" si="227"/>
        <v>-1.2993335691828689</v>
      </c>
      <c r="X300">
        <f t="shared" si="244"/>
        <v>-32.516946062964642</v>
      </c>
      <c r="Y300">
        <f t="shared" si="228"/>
        <v>-166.32224940134657</v>
      </c>
      <c r="Z300">
        <f t="shared" si="245"/>
        <v>13.677750598653432</v>
      </c>
      <c r="AC300">
        <v>1</v>
      </c>
      <c r="AD300">
        <f t="shared" si="229"/>
        <v>209.52223860645</v>
      </c>
      <c r="AE300">
        <f t="shared" si="230"/>
        <v>-4.6418628170135007E-2</v>
      </c>
      <c r="AF300">
        <f t="shared" si="231"/>
        <v>1.2919862604978002E-2</v>
      </c>
      <c r="AG300">
        <f t="shared" si="246"/>
        <v>1146.0054618553202</v>
      </c>
      <c r="AH300">
        <f t="shared" si="247"/>
        <v>-4194.7815601324046</v>
      </c>
      <c r="AJ300">
        <f t="shared" si="232"/>
        <v>22100</v>
      </c>
      <c r="AK300">
        <f t="shared" si="233"/>
        <v>50943.812571713883</v>
      </c>
      <c r="AL300">
        <v>1</v>
      </c>
      <c r="AM300">
        <f t="shared" si="234"/>
        <v>163.51974663605282</v>
      </c>
      <c r="AN300">
        <f t="shared" si="248"/>
        <v>312.36015995807514</v>
      </c>
      <c r="AO300">
        <f t="shared" si="249"/>
        <v>-133.24164382748737</v>
      </c>
      <c r="AQ300">
        <f t="shared" si="235"/>
        <v>1.3520803784743395E-2</v>
      </c>
      <c r="AR300">
        <f t="shared" si="236"/>
        <v>-11.627891254879319</v>
      </c>
      <c r="AT300">
        <f t="shared" si="261"/>
        <v>-48760.968904206624</v>
      </c>
      <c r="AU300">
        <f t="shared" si="262"/>
        <v>-13382.343706345824</v>
      </c>
      <c r="AV300">
        <f t="shared" si="250"/>
        <v>-2.8737398326214389</v>
      </c>
      <c r="AW300">
        <f t="shared" si="251"/>
        <v>-134.46809996185951</v>
      </c>
      <c r="AX300">
        <f t="shared" si="252"/>
        <v>-8309.4548021098162</v>
      </c>
      <c r="AY300">
        <f t="shared" si="260"/>
        <v>-1.5869774562526757</v>
      </c>
      <c r="BA300">
        <f t="shared" si="237"/>
        <v>6.0843211520579157</v>
      </c>
      <c r="BB300">
        <f t="shared" si="253"/>
        <v>15.68424259179265</v>
      </c>
      <c r="BC300">
        <f t="shared" si="254"/>
        <v>-1.2867623763687632</v>
      </c>
      <c r="BD300">
        <f t="shared" si="238"/>
        <v>-253.72605348639883</v>
      </c>
      <c r="BF300">
        <f t="shared" si="239"/>
        <v>-38.980379332814877</v>
      </c>
      <c r="BG300">
        <f t="shared" si="240"/>
        <v>-188.42987328829989</v>
      </c>
      <c r="BH300">
        <f t="shared" si="255"/>
        <v>-8.4298732882998877</v>
      </c>
      <c r="BI300">
        <f t="shared" si="256"/>
        <v>-8.4298732882998877</v>
      </c>
      <c r="BJ300">
        <f t="shared" si="241"/>
        <v>0</v>
      </c>
      <c r="BK300">
        <f t="shared" si="257"/>
        <v>0</v>
      </c>
      <c r="BM300">
        <f t="shared" si="258"/>
        <v>-54.66462192460753</v>
      </c>
      <c r="BN300">
        <f t="shared" si="242"/>
        <v>-114.7038198019011</v>
      </c>
      <c r="BQ300" s="47">
        <f t="shared" si="259"/>
        <v>32.586203392077792</v>
      </c>
      <c r="BR300" s="529"/>
      <c r="BS300" s="529"/>
      <c r="BT300" s="529">
        <v>79432.823000000004</v>
      </c>
      <c r="BU300" s="529">
        <v>4.23407</v>
      </c>
      <c r="BV300" s="529">
        <v>-130.17400000000001</v>
      </c>
      <c r="BY300" s="529"/>
      <c r="BZ300" s="529"/>
      <c r="CA300" s="529"/>
      <c r="CC300" s="529"/>
    </row>
    <row r="301" spans="1:81">
      <c r="A301">
        <f t="shared" si="263"/>
        <v>435000</v>
      </c>
      <c r="B301">
        <f t="shared" si="243"/>
        <v>435</v>
      </c>
      <c r="C301">
        <f t="shared" si="212"/>
        <v>2.4043698290055002</v>
      </c>
      <c r="D301">
        <f t="shared" si="213"/>
        <v>1.1418537648023395</v>
      </c>
      <c r="F301">
        <f t="shared" si="214"/>
        <v>5.0556642819782018E-5</v>
      </c>
      <c r="G301">
        <f t="shared" si="215"/>
        <v>2.1438094717073307E-3</v>
      </c>
      <c r="H301">
        <f t="shared" si="216"/>
        <v>-3.139448840528293</v>
      </c>
      <c r="J301">
        <f t="shared" si="217"/>
        <v>15</v>
      </c>
      <c r="M301">
        <f t="shared" si="218"/>
        <v>3.4620156735309542E-3</v>
      </c>
      <c r="N301">
        <f t="shared" si="219"/>
        <v>-1.5707963250000001</v>
      </c>
      <c r="O301">
        <f t="shared" si="220"/>
        <v>211.96090264525409</v>
      </c>
      <c r="P301">
        <f t="shared" si="221"/>
        <v>1.5660784580877725</v>
      </c>
      <c r="Q301">
        <f t="shared" si="222"/>
        <v>165.42416159948704</v>
      </c>
      <c r="R301">
        <f t="shared" si="223"/>
        <v>1.5647512238250409</v>
      </c>
      <c r="S301">
        <f t="shared" si="224"/>
        <v>0.39411612248025335</v>
      </c>
      <c r="T301">
        <f t="shared" si="225"/>
        <v>-1.165690392656543</v>
      </c>
      <c r="U301">
        <f t="shared" si="226"/>
        <v>0.26527689744961797</v>
      </c>
      <c r="V301">
        <f t="shared" si="227"/>
        <v>-1.3023052291194579</v>
      </c>
      <c r="X301">
        <f t="shared" si="244"/>
        <v>-32.71243761860341</v>
      </c>
      <c r="Y301">
        <f t="shared" si="228"/>
        <v>-166.47617293924006</v>
      </c>
      <c r="Z301">
        <f t="shared" si="245"/>
        <v>13.523827060759942</v>
      </c>
      <c r="AC301">
        <v>1</v>
      </c>
      <c r="AD301">
        <f t="shared" si="229"/>
        <v>211.95854370652503</v>
      </c>
      <c r="AE301">
        <f t="shared" si="230"/>
        <v>-4.7504407330956178E-2</v>
      </c>
      <c r="AF301">
        <f t="shared" si="231"/>
        <v>1.3070093565501002E-2</v>
      </c>
      <c r="AG301">
        <f t="shared" si="246"/>
        <v>1121.6552042685371</v>
      </c>
      <c r="AH301">
        <f t="shared" si="247"/>
        <v>-4153.2652720821325</v>
      </c>
      <c r="AJ301">
        <f t="shared" si="232"/>
        <v>22100</v>
      </c>
      <c r="AK301">
        <f t="shared" si="233"/>
        <v>51536.182485338461</v>
      </c>
      <c r="AL301">
        <v>1</v>
      </c>
      <c r="AM301">
        <f t="shared" si="234"/>
        <v>165.42113903879761</v>
      </c>
      <c r="AN301">
        <f t="shared" si="248"/>
        <v>312.34153644947872</v>
      </c>
      <c r="AO301">
        <f t="shared" si="249"/>
        <v>-131.7102432624435</v>
      </c>
      <c r="AQ301">
        <f t="shared" si="235"/>
        <v>1.3211767457038635E-2</v>
      </c>
      <c r="AR301">
        <f t="shared" si="236"/>
        <v>-11.494237687623613</v>
      </c>
      <c r="AT301">
        <f t="shared" si="261"/>
        <v>-47723.799169339014</v>
      </c>
      <c r="AU301">
        <f t="shared" si="262"/>
        <v>-12947.443496384725</v>
      </c>
      <c r="AV301">
        <f t="shared" si="250"/>
        <v>-2.8766699998403205</v>
      </c>
      <c r="AW301">
        <f t="shared" si="251"/>
        <v>-122.51005887405429</v>
      </c>
      <c r="AX301">
        <f t="shared" si="252"/>
        <v>-8220.1057790737777</v>
      </c>
      <c r="AY301">
        <f t="shared" si="260"/>
        <v>-1.5856989317867356</v>
      </c>
      <c r="BA301">
        <f t="shared" si="237"/>
        <v>6.0149402844883433</v>
      </c>
      <c r="BB301">
        <f t="shared" si="253"/>
        <v>15.584626401610599</v>
      </c>
      <c r="BC301">
        <f t="shared" si="254"/>
        <v>-1.2909710680535849</v>
      </c>
      <c r="BD301">
        <f t="shared" si="238"/>
        <v>-253.96719375748643</v>
      </c>
      <c r="BF301">
        <f t="shared" si="239"/>
        <v>-39.197958480762722</v>
      </c>
      <c r="BG301">
        <f t="shared" si="240"/>
        <v>-188.42096090348213</v>
      </c>
      <c r="BH301">
        <f t="shared" si="255"/>
        <v>-8.4209609034821256</v>
      </c>
      <c r="BI301">
        <f t="shared" si="256"/>
        <v>-8.4209609034821256</v>
      </c>
      <c r="BJ301">
        <f t="shared" si="241"/>
        <v>0</v>
      </c>
      <c r="BK301">
        <f t="shared" si="257"/>
        <v>0</v>
      </c>
      <c r="BM301">
        <f t="shared" si="258"/>
        <v>-54.782584882373314</v>
      </c>
      <c r="BN301">
        <f t="shared" si="242"/>
        <v>-114.45376714599573</v>
      </c>
      <c r="BQ301" s="47">
        <f t="shared" si="259"/>
        <v>32.486587201895738</v>
      </c>
      <c r="BR301" s="529"/>
      <c r="BS301" s="529"/>
      <c r="BT301" s="529">
        <v>81283.051999999996</v>
      </c>
      <c r="BU301" s="529">
        <v>4.4202000000000004</v>
      </c>
      <c r="BV301" s="529">
        <v>-130.05699999999999</v>
      </c>
      <c r="BY301" s="529"/>
      <c r="BZ301" s="529"/>
      <c r="CA301" s="529"/>
      <c r="CC301" s="529"/>
    </row>
    <row r="302" spans="1:81">
      <c r="A302">
        <f t="shared" si="263"/>
        <v>440000</v>
      </c>
      <c r="B302">
        <f t="shared" si="243"/>
        <v>440</v>
      </c>
      <c r="C302">
        <f t="shared" si="212"/>
        <v>2.4272482039691612</v>
      </c>
      <c r="D302">
        <f t="shared" si="213"/>
        <v>1.1461602776140474</v>
      </c>
      <c r="F302">
        <f t="shared" si="214"/>
        <v>4.9414101797394704E-5</v>
      </c>
      <c r="G302">
        <f t="shared" si="215"/>
        <v>2.1194456087907194E-3</v>
      </c>
      <c r="H302">
        <f t="shared" si="216"/>
        <v>-3.1394732043912095</v>
      </c>
      <c r="J302">
        <f t="shared" si="217"/>
        <v>15</v>
      </c>
      <c r="M302">
        <f t="shared" si="218"/>
        <v>3.4226745863317385E-3</v>
      </c>
      <c r="N302">
        <f t="shared" si="219"/>
        <v>-1.5707963250000001</v>
      </c>
      <c r="O302">
        <f t="shared" si="220"/>
        <v>214.39718093950043</v>
      </c>
      <c r="P302">
        <f t="shared" si="221"/>
        <v>1.5661320694501411</v>
      </c>
      <c r="Q302">
        <f t="shared" si="222"/>
        <v>167.3255196555682</v>
      </c>
      <c r="R302">
        <f t="shared" si="223"/>
        <v>1.5648199165318564</v>
      </c>
      <c r="S302">
        <f t="shared" si="224"/>
        <v>0.39032317161199137</v>
      </c>
      <c r="T302">
        <f t="shared" si="225"/>
        <v>-1.169813745358939</v>
      </c>
      <c r="U302">
        <f t="shared" si="226"/>
        <v>0.26247117063938308</v>
      </c>
      <c r="V302">
        <f t="shared" si="227"/>
        <v>-1.3052140541939405</v>
      </c>
      <c r="X302">
        <f t="shared" si="244"/>
        <v>-32.905816828902687</v>
      </c>
      <c r="Y302">
        <f t="shared" si="228"/>
        <v>-166.62673047781922</v>
      </c>
      <c r="Z302">
        <f t="shared" si="245"/>
        <v>13.373269522180777</v>
      </c>
      <c r="AC302">
        <v>1</v>
      </c>
      <c r="AD302">
        <f t="shared" si="229"/>
        <v>214.39484880660001</v>
      </c>
      <c r="AE302">
        <f t="shared" si="230"/>
        <v>-4.860273885201806E-2</v>
      </c>
      <c r="AF302">
        <f t="shared" si="231"/>
        <v>1.3220324526024001E-2</v>
      </c>
      <c r="AG302">
        <f t="shared" si="246"/>
        <v>1098.0540876526597</v>
      </c>
      <c r="AH302">
        <f t="shared" si="247"/>
        <v>-4112.4887638385699</v>
      </c>
      <c r="AJ302">
        <f t="shared" si="232"/>
        <v>22100</v>
      </c>
      <c r="AK302">
        <f t="shared" si="233"/>
        <v>52128.552398963038</v>
      </c>
      <c r="AL302">
        <v>1</v>
      </c>
      <c r="AM302">
        <f t="shared" si="234"/>
        <v>167.3225314415424</v>
      </c>
      <c r="AN302">
        <f t="shared" si="248"/>
        <v>312.32354418869028</v>
      </c>
      <c r="AO302">
        <f t="shared" si="249"/>
        <v>-130.21364348305528</v>
      </c>
      <c r="AQ302">
        <f t="shared" si="235"/>
        <v>1.2913206465384214E-2</v>
      </c>
      <c r="AR302">
        <f t="shared" si="236"/>
        <v>-11.363621689538107</v>
      </c>
      <c r="AT302">
        <f t="shared" si="261"/>
        <v>-46718.587115593706</v>
      </c>
      <c r="AU302">
        <f t="shared" si="262"/>
        <v>-12530.976663229761</v>
      </c>
      <c r="AV302">
        <f t="shared" si="250"/>
        <v>-2.8795382751863658</v>
      </c>
      <c r="AW302">
        <f t="shared" si="251"/>
        <v>-111.03031949184277</v>
      </c>
      <c r="AX302">
        <f t="shared" si="252"/>
        <v>-8132.6007834587344</v>
      </c>
      <c r="AY302">
        <f t="shared" si="260"/>
        <v>-1.584447977094622</v>
      </c>
      <c r="BA302">
        <f t="shared" si="237"/>
        <v>5.9471060873128447</v>
      </c>
      <c r="BB302">
        <f t="shared" si="253"/>
        <v>15.486113714406697</v>
      </c>
      <c r="BC302">
        <f t="shared" si="254"/>
        <v>-1.2950902980917438</v>
      </c>
      <c r="BD302">
        <f t="shared" si="238"/>
        <v>-254.20320825378616</v>
      </c>
      <c r="BF302">
        <f t="shared" si="239"/>
        <v>-39.412759224766546</v>
      </c>
      <c r="BG302">
        <f t="shared" si="240"/>
        <v>-188.41162633748937</v>
      </c>
      <c r="BH302">
        <f t="shared" si="255"/>
        <v>-8.4116263374893663</v>
      </c>
      <c r="BI302">
        <f t="shared" si="256"/>
        <v>-8.4116263374893663</v>
      </c>
      <c r="BJ302">
        <f t="shared" si="241"/>
        <v>0</v>
      </c>
      <c r="BK302">
        <f t="shared" si="257"/>
        <v>0</v>
      </c>
      <c r="BM302">
        <f t="shared" si="258"/>
        <v>-54.898872939173238</v>
      </c>
      <c r="BN302">
        <f t="shared" si="242"/>
        <v>-114.20841808370324</v>
      </c>
      <c r="BQ302" s="47">
        <f t="shared" si="259"/>
        <v>32.388074514691837</v>
      </c>
      <c r="BR302" s="529"/>
      <c r="BS302" s="529"/>
      <c r="BT302" s="529">
        <v>83176.376999999993</v>
      </c>
      <c r="BU302" s="529">
        <v>4.5639399999999997</v>
      </c>
      <c r="BV302" s="529">
        <v>-130.11600000000001</v>
      </c>
      <c r="BY302" s="529"/>
      <c r="BZ302" s="529"/>
      <c r="CA302" s="529"/>
      <c r="CC302" s="529"/>
    </row>
    <row r="303" spans="1:81">
      <c r="A303">
        <f t="shared" si="263"/>
        <v>445000</v>
      </c>
      <c r="B303">
        <f t="shared" si="243"/>
        <v>445</v>
      </c>
      <c r="C303">
        <f t="shared" si="212"/>
        <v>2.45017075365607</v>
      </c>
      <c r="D303">
        <f t="shared" si="213"/>
        <v>1.1503862885040472</v>
      </c>
      <c r="F303">
        <f t="shared" si="214"/>
        <v>4.8309859031352773E-5</v>
      </c>
      <c r="G303">
        <f t="shared" si="215"/>
        <v>2.0956293276793137E-3</v>
      </c>
      <c r="H303">
        <f t="shared" si="216"/>
        <v>-3.1394970206723207</v>
      </c>
      <c r="J303">
        <f t="shared" si="217"/>
        <v>15</v>
      </c>
      <c r="M303">
        <f t="shared" si="218"/>
        <v>3.384217568507787E-3</v>
      </c>
      <c r="N303">
        <f t="shared" si="219"/>
        <v>-1.5707963250000001</v>
      </c>
      <c r="O303">
        <f t="shared" si="220"/>
        <v>216.83345983611522</v>
      </c>
      <c r="P303">
        <f t="shared" si="221"/>
        <v>1.5661844760887105</v>
      </c>
      <c r="Q303">
        <f t="shared" si="222"/>
        <v>169.22687848346405</v>
      </c>
      <c r="R303">
        <f t="shared" si="223"/>
        <v>1.564887065636859</v>
      </c>
      <c r="S303">
        <f t="shared" si="224"/>
        <v>0.38659614502286749</v>
      </c>
      <c r="T303">
        <f t="shared" si="225"/>
        <v>-1.1738584215283641</v>
      </c>
      <c r="U303">
        <f t="shared" si="226"/>
        <v>0.25972204371094387</v>
      </c>
      <c r="V303">
        <f t="shared" si="227"/>
        <v>-1.308061968792815</v>
      </c>
      <c r="X303">
        <f t="shared" si="244"/>
        <v>-33.097127390337633</v>
      </c>
      <c r="Y303">
        <f t="shared" si="228"/>
        <v>-166.77402878361679</v>
      </c>
      <c r="Z303">
        <f t="shared" si="245"/>
        <v>13.225971216383215</v>
      </c>
      <c r="AC303">
        <v>1</v>
      </c>
      <c r="AD303">
        <f t="shared" si="229"/>
        <v>216.83115390667504</v>
      </c>
      <c r="AE303">
        <f t="shared" si="230"/>
        <v>-4.9713622733320639E-2</v>
      </c>
      <c r="AF303">
        <f t="shared" si="231"/>
        <v>1.3370555486547002E-2</v>
      </c>
      <c r="AG303">
        <f t="shared" si="246"/>
        <v>1075.1724801090231</v>
      </c>
      <c r="AH303">
        <f t="shared" si="247"/>
        <v>-4072.4350685485824</v>
      </c>
      <c r="AJ303">
        <f t="shared" si="232"/>
        <v>22100</v>
      </c>
      <c r="AK303">
        <f t="shared" si="233"/>
        <v>52720.922312587616</v>
      </c>
      <c r="AL303">
        <v>1</v>
      </c>
      <c r="AM303">
        <f t="shared" si="234"/>
        <v>169.22392384428721</v>
      </c>
      <c r="AN303">
        <f t="shared" si="248"/>
        <v>312.30615496667895</v>
      </c>
      <c r="AO303">
        <f t="shared" si="249"/>
        <v>-128.75067159582852</v>
      </c>
      <c r="AQ303">
        <f t="shared" si="235"/>
        <v>1.2624652664243575E-2</v>
      </c>
      <c r="AR303">
        <f t="shared" si="236"/>
        <v>-11.235940871176782</v>
      </c>
      <c r="AT303">
        <f t="shared" si="261"/>
        <v>-45744.06595280311</v>
      </c>
      <c r="AU303">
        <f t="shared" si="262"/>
        <v>-12131.987491059588</v>
      </c>
      <c r="AV303">
        <f t="shared" si="250"/>
        <v>-2.8823465512611133</v>
      </c>
      <c r="AW303">
        <f t="shared" si="251"/>
        <v>-100.00382536413382</v>
      </c>
      <c r="AX303">
        <f t="shared" si="252"/>
        <v>-8046.8849129598202</v>
      </c>
      <c r="AY303">
        <f t="shared" si="260"/>
        <v>-1.5832233315941766</v>
      </c>
      <c r="BA303">
        <f t="shared" si="237"/>
        <v>5.8807681100263451</v>
      </c>
      <c r="BB303">
        <f t="shared" si="253"/>
        <v>15.388681093493886</v>
      </c>
      <c r="BC303">
        <f t="shared" si="254"/>
        <v>-1.2991232196669367</v>
      </c>
      <c r="BD303">
        <f t="shared" si="238"/>
        <v>-254.434277639416</v>
      </c>
      <c r="BF303">
        <f t="shared" si="239"/>
        <v>-39.624851288650532</v>
      </c>
      <c r="BG303">
        <f t="shared" si="240"/>
        <v>-188.40192770706213</v>
      </c>
      <c r="BH303">
        <f t="shared" si="255"/>
        <v>-8.4019277070621285</v>
      </c>
      <c r="BI303">
        <f t="shared" si="256"/>
        <v>-8.4019277070621285</v>
      </c>
      <c r="BJ303">
        <f t="shared" si="241"/>
        <v>0</v>
      </c>
      <c r="BK303">
        <f t="shared" si="257"/>
        <v>0</v>
      </c>
      <c r="BM303">
        <f t="shared" si="258"/>
        <v>-55.013532382144419</v>
      </c>
      <c r="BN303">
        <f t="shared" si="242"/>
        <v>-113.96765006764618</v>
      </c>
      <c r="BQ303" s="47">
        <f t="shared" si="259"/>
        <v>32.290641893779018</v>
      </c>
      <c r="BR303" s="529"/>
      <c r="BS303" s="529"/>
      <c r="BT303" s="529">
        <v>85113.804000000004</v>
      </c>
      <c r="BU303" s="529">
        <v>4.7605300000000002</v>
      </c>
      <c r="BV303" s="529">
        <v>-129.97300000000001</v>
      </c>
      <c r="BY303" s="529"/>
      <c r="BZ303" s="529"/>
      <c r="CA303" s="529"/>
      <c r="CC303" s="529"/>
    </row>
    <row r="304" spans="1:81">
      <c r="A304">
        <f t="shared" si="263"/>
        <v>450000</v>
      </c>
      <c r="B304">
        <f t="shared" si="243"/>
        <v>450</v>
      </c>
      <c r="C304">
        <f t="shared" si="212"/>
        <v>2.4731362497509184</v>
      </c>
      <c r="D304">
        <f t="shared" si="213"/>
        <v>1.1545338870123083</v>
      </c>
      <c r="F304">
        <f t="shared" si="214"/>
        <v>4.7242221738018008E-5</v>
      </c>
      <c r="G304">
        <f t="shared" si="215"/>
        <v>2.0723423721815707E-3</v>
      </c>
      <c r="H304">
        <f t="shared" si="216"/>
        <v>-3.1395203076278184</v>
      </c>
      <c r="J304">
        <f t="shared" si="217"/>
        <v>15</v>
      </c>
      <c r="M304">
        <f t="shared" si="218"/>
        <v>3.3466151510799223E-3</v>
      </c>
      <c r="N304">
        <f t="shared" si="219"/>
        <v>-1.5707963250000001</v>
      </c>
      <c r="O304">
        <f t="shared" si="220"/>
        <v>219.26973931501993</v>
      </c>
      <c r="P304">
        <f t="shared" si="221"/>
        <v>1.5662357181598086</v>
      </c>
      <c r="Q304">
        <f t="shared" si="222"/>
        <v>171.12823805744833</v>
      </c>
      <c r="R304">
        <f t="shared" si="223"/>
        <v>1.5649527225910598</v>
      </c>
      <c r="S304">
        <f t="shared" si="224"/>
        <v>0.38293353288335097</v>
      </c>
      <c r="T304">
        <f t="shared" si="225"/>
        <v>-1.177826523063668</v>
      </c>
      <c r="U304">
        <f t="shared" si="226"/>
        <v>0.25702788837283569</v>
      </c>
      <c r="V304">
        <f t="shared" si="227"/>
        <v>-1.3108508215007757</v>
      </c>
      <c r="X304">
        <f t="shared" si="244"/>
        <v>-33.286411706213244</v>
      </c>
      <c r="Y304">
        <f t="shared" si="228"/>
        <v>-166.91817027813434</v>
      </c>
      <c r="Z304">
        <f t="shared" si="245"/>
        <v>13.08182972186566</v>
      </c>
      <c r="AC304">
        <v>1</v>
      </c>
      <c r="AD304">
        <f t="shared" si="229"/>
        <v>219.26745900675002</v>
      </c>
      <c r="AE304">
        <f t="shared" si="230"/>
        <v>-5.083705897486393E-2</v>
      </c>
      <c r="AF304">
        <f t="shared" si="231"/>
        <v>1.3520786447070001E-2</v>
      </c>
      <c r="AG304">
        <f t="shared" si="246"/>
        <v>1052.9821594930377</v>
      </c>
      <c r="AH304">
        <f t="shared" si="247"/>
        <v>-4033.0875984986865</v>
      </c>
      <c r="AJ304">
        <f t="shared" si="232"/>
        <v>22100</v>
      </c>
      <c r="AK304">
        <f t="shared" si="233"/>
        <v>53313.292226212208</v>
      </c>
      <c r="AL304">
        <v>1</v>
      </c>
      <c r="AM304">
        <f t="shared" si="234"/>
        <v>171.125316247032</v>
      </c>
      <c r="AN304">
        <f t="shared" si="248"/>
        <v>312.28934213271816</v>
      </c>
      <c r="AO304">
        <f t="shared" si="249"/>
        <v>-127.32020682676266</v>
      </c>
      <c r="AQ304">
        <f t="shared" si="235"/>
        <v>1.2345663770785468E-2</v>
      </c>
      <c r="AR304">
        <f t="shared" si="236"/>
        <v>-11.111097393706922</v>
      </c>
      <c r="AT304">
        <f t="shared" si="261"/>
        <v>-44799.029340572728</v>
      </c>
      <c r="AU304">
        <f t="shared" si="262"/>
        <v>-11749.578471412166</v>
      </c>
      <c r="AV304">
        <f t="shared" si="250"/>
        <v>-2.8850966462768963</v>
      </c>
      <c r="AW304">
        <f t="shared" si="251"/>
        <v>-89.407121692980297</v>
      </c>
      <c r="AX304">
        <f t="shared" si="252"/>
        <v>-7962.9053668615161</v>
      </c>
      <c r="AY304">
        <f t="shared" si="260"/>
        <v>-1.5820238073142463</v>
      </c>
      <c r="BA304">
        <f t="shared" si="237"/>
        <v>5.815878027244362</v>
      </c>
      <c r="BB304">
        <f t="shared" si="253"/>
        <v>15.292305795223935</v>
      </c>
      <c r="BC304">
        <f t="shared" si="254"/>
        <v>-1.30307283896265</v>
      </c>
      <c r="BD304">
        <f t="shared" si="238"/>
        <v>-254.66057415600238</v>
      </c>
      <c r="BF304">
        <f t="shared" si="239"/>
        <v>-39.834301887057293</v>
      </c>
      <c r="BG304">
        <f t="shared" si="240"/>
        <v>-188.39191857800813</v>
      </c>
      <c r="BH304">
        <f t="shared" si="255"/>
        <v>-8.3919185780081307</v>
      </c>
      <c r="BI304">
        <f t="shared" si="256"/>
        <v>-8.3919185780081307</v>
      </c>
      <c r="BJ304">
        <f t="shared" si="241"/>
        <v>0</v>
      </c>
      <c r="BK304">
        <f t="shared" si="257"/>
        <v>0</v>
      </c>
      <c r="BM304">
        <f t="shared" si="258"/>
        <v>-55.126607682281232</v>
      </c>
      <c r="BN304">
        <f t="shared" si="242"/>
        <v>-113.73134442200576</v>
      </c>
      <c r="BQ304" s="47">
        <f t="shared" si="259"/>
        <v>32.19426659550907</v>
      </c>
      <c r="BR304" s="529"/>
      <c r="BS304" s="529"/>
      <c r="BT304" s="529">
        <v>87096.358999999997</v>
      </c>
      <c r="BU304" s="529">
        <v>4.9475499999999997</v>
      </c>
      <c r="BV304" s="529">
        <v>-129.96199999999999</v>
      </c>
      <c r="BY304" s="529"/>
      <c r="BZ304" s="529"/>
      <c r="CA304" s="529"/>
      <c r="CC304" s="529"/>
    </row>
    <row r="305" spans="1:81">
      <c r="A305">
        <f t="shared" si="263"/>
        <v>455000</v>
      </c>
      <c r="B305">
        <f t="shared" si="243"/>
        <v>455</v>
      </c>
      <c r="C305">
        <f t="shared" si="212"/>
        <v>2.4961435068827624</v>
      </c>
      <c r="D305">
        <f t="shared" si="213"/>
        <v>1.1586050966488797</v>
      </c>
      <c r="F305">
        <f t="shared" si="214"/>
        <v>4.6209589638365448E-5</v>
      </c>
      <c r="G305">
        <f t="shared" si="215"/>
        <v>2.0495672887631592E-3</v>
      </c>
      <c r="H305">
        <f t="shared" si="216"/>
        <v>-3.1395430827112372</v>
      </c>
      <c r="J305">
        <f t="shared" si="217"/>
        <v>15</v>
      </c>
      <c r="M305">
        <f t="shared" si="218"/>
        <v>3.3098391604087143E-3</v>
      </c>
      <c r="N305">
        <f t="shared" si="219"/>
        <v>-1.5707963250000001</v>
      </c>
      <c r="O305">
        <f t="shared" si="220"/>
        <v>221.70601935701862</v>
      </c>
      <c r="P305">
        <f t="shared" si="221"/>
        <v>1.5662858340547099</v>
      </c>
      <c r="Q305">
        <f t="shared" si="222"/>
        <v>173.02959835292555</v>
      </c>
      <c r="R305">
        <f t="shared" si="223"/>
        <v>1.5650169365840156</v>
      </c>
      <c r="S305">
        <f t="shared" si="224"/>
        <v>0.37933386284902448</v>
      </c>
      <c r="T305">
        <f t="shared" si="225"/>
        <v>-1.1817200826760059</v>
      </c>
      <c r="U305">
        <f t="shared" si="226"/>
        <v>0.25438713533088952</v>
      </c>
      <c r="V305">
        <f t="shared" si="227"/>
        <v>-1.3135823886935656</v>
      </c>
      <c r="X305">
        <f t="shared" si="244"/>
        <v>-33.473710935139962</v>
      </c>
      <c r="Y305">
        <f t="shared" si="228"/>
        <v>-167.05925324939139</v>
      </c>
      <c r="Z305">
        <f t="shared" si="245"/>
        <v>12.940746750608611</v>
      </c>
      <c r="AC305">
        <v>1</v>
      </c>
      <c r="AD305">
        <f t="shared" si="229"/>
        <v>221.70376410682499</v>
      </c>
      <c r="AE305">
        <f t="shared" si="230"/>
        <v>-5.1973047576647925E-2</v>
      </c>
      <c r="AF305">
        <f t="shared" si="231"/>
        <v>1.3671017407593002E-2</v>
      </c>
      <c r="AG305">
        <f t="shared" si="246"/>
        <v>1031.456236252219</v>
      </c>
      <c r="AH305">
        <f t="shared" si="247"/>
        <v>-3994.4301445799533</v>
      </c>
      <c r="AJ305">
        <f t="shared" si="232"/>
        <v>22100</v>
      </c>
      <c r="AK305">
        <f t="shared" si="233"/>
        <v>53905.662139836786</v>
      </c>
      <c r="AL305">
        <v>1</v>
      </c>
      <c r="AM305">
        <f t="shared" si="234"/>
        <v>173.02670864977679</v>
      </c>
      <c r="AN305">
        <f t="shared" si="248"/>
        <v>312.27308049221642</v>
      </c>
      <c r="AO305">
        <f t="shared" si="249"/>
        <v>-125.92117765823254</v>
      </c>
      <c r="AQ305">
        <f t="shared" si="235"/>
        <v>1.207582166909592E-2</v>
      </c>
      <c r="AR305">
        <f t="shared" si="236"/>
        <v>-10.988997718877286</v>
      </c>
      <c r="AT305">
        <f t="shared" si="261"/>
        <v>-43882.328065435322</v>
      </c>
      <c r="AU305">
        <f t="shared" si="262"/>
        <v>-11382.906253392994</v>
      </c>
      <c r="AV305">
        <f t="shared" si="250"/>
        <v>-2.8877903075720859</v>
      </c>
      <c r="AW305">
        <f t="shared" si="251"/>
        <v>-79.218235705073937</v>
      </c>
      <c r="AX305">
        <f t="shared" si="252"/>
        <v>-7880.6113486699924</v>
      </c>
      <c r="AY305">
        <f t="shared" si="260"/>
        <v>-1.5808482839418048</v>
      </c>
      <c r="BA305">
        <f t="shared" si="237"/>
        <v>5.7523895313509561</v>
      </c>
      <c r="BB305">
        <f t="shared" si="253"/>
        <v>15.196965744952294</v>
      </c>
      <c r="BC305">
        <f t="shared" si="254"/>
        <v>-1.3069420236302811</v>
      </c>
      <c r="BD305">
        <f t="shared" si="238"/>
        <v>-254.88226210786769</v>
      </c>
      <c r="BF305">
        <f t="shared" si="239"/>
        <v>-40.041175838907535</v>
      </c>
      <c r="BG305">
        <f t="shared" si="240"/>
        <v>-188.38164831607779</v>
      </c>
      <c r="BH305">
        <f t="shared" si="255"/>
        <v>-8.3816483160777864</v>
      </c>
      <c r="BI305">
        <f t="shared" si="256"/>
        <v>-8.3816483160777864</v>
      </c>
      <c r="BJ305">
        <f t="shared" si="241"/>
        <v>0</v>
      </c>
      <c r="BK305">
        <f t="shared" si="257"/>
        <v>0</v>
      </c>
      <c r="BM305">
        <f t="shared" si="258"/>
        <v>-55.238141583859822</v>
      </c>
      <c r="BN305">
        <f t="shared" si="242"/>
        <v>-113.49938620821014</v>
      </c>
      <c r="BQ305" s="47">
        <f t="shared" si="259"/>
        <v>32.098926545237433</v>
      </c>
      <c r="BR305" s="529"/>
      <c r="BS305" s="529"/>
      <c r="BT305" s="529">
        <v>89125.093999999997</v>
      </c>
      <c r="BU305" s="529">
        <v>5.2143100000000002</v>
      </c>
      <c r="BV305" s="529">
        <v>-129.73099999999999</v>
      </c>
      <c r="BY305" s="529"/>
      <c r="BZ305" s="529"/>
      <c r="CA305" s="529"/>
      <c r="CC305" s="529"/>
    </row>
    <row r="306" spans="1:81">
      <c r="A306">
        <f t="shared" si="263"/>
        <v>460000</v>
      </c>
      <c r="B306">
        <f t="shared" si="243"/>
        <v>460</v>
      </c>
      <c r="C306">
        <f t="shared" si="212"/>
        <v>2.5191913808669573</v>
      </c>
      <c r="D306">
        <f t="shared" si="213"/>
        <v>1.1626018772036708</v>
      </c>
      <c r="F306">
        <f t="shared" si="214"/>
        <v>4.52104489574775E-5</v>
      </c>
      <c r="G306">
        <f t="shared" si="215"/>
        <v>2.0272873829122666E-3</v>
      </c>
      <c r="H306">
        <f t="shared" si="216"/>
        <v>-3.1395653626170881</v>
      </c>
      <c r="J306">
        <f t="shared" si="217"/>
        <v>15</v>
      </c>
      <c r="M306">
        <f t="shared" si="218"/>
        <v>3.2738626477955765E-3</v>
      </c>
      <c r="N306">
        <f t="shared" si="219"/>
        <v>-1.5707963250000001</v>
      </c>
      <c r="O306">
        <f t="shared" si="220"/>
        <v>224.14229994374986</v>
      </c>
      <c r="P306">
        <f t="shared" si="221"/>
        <v>1.5663348604955609</v>
      </c>
      <c r="Q306">
        <f t="shared" si="222"/>
        <v>174.93095934636958</v>
      </c>
      <c r="R306">
        <f t="shared" si="223"/>
        <v>1.5650797546667261</v>
      </c>
      <c r="S306">
        <f t="shared" si="224"/>
        <v>0.37579569938410196</v>
      </c>
      <c r="T306">
        <f t="shared" si="225"/>
        <v>-1.1855410664641277</v>
      </c>
      <c r="U306">
        <f t="shared" si="226"/>
        <v>0.25179827179536857</v>
      </c>
      <c r="V306">
        <f t="shared" si="227"/>
        <v>-1.3162583779348092</v>
      </c>
      <c r="X306">
        <f t="shared" si="244"/>
        <v>-33.659065037360094</v>
      </c>
      <c r="Y306">
        <f t="shared" si="228"/>
        <v>-167.19737205172413</v>
      </c>
      <c r="Z306">
        <f t="shared" si="245"/>
        <v>12.80262794827587</v>
      </c>
      <c r="AC306">
        <v>1</v>
      </c>
      <c r="AD306">
        <f t="shared" si="229"/>
        <v>224.14006920690002</v>
      </c>
      <c r="AE306">
        <f t="shared" si="230"/>
        <v>-5.3121588538672639E-2</v>
      </c>
      <c r="AF306">
        <f t="shared" si="231"/>
        <v>1.3821248368116001E-2</v>
      </c>
      <c r="AG306">
        <f t="shared" si="246"/>
        <v>1010.5690809594975</v>
      </c>
      <c r="AH306">
        <f t="shared" si="247"/>
        <v>-3956.4468745661447</v>
      </c>
      <c r="AJ306">
        <f t="shared" si="232"/>
        <v>22100</v>
      </c>
      <c r="AK306">
        <f t="shared" si="233"/>
        <v>54498.032053461364</v>
      </c>
      <c r="AL306">
        <v>1</v>
      </c>
      <c r="AM306">
        <f t="shared" si="234"/>
        <v>174.92810105252161</v>
      </c>
      <c r="AN306">
        <f t="shared" si="248"/>
        <v>312.25734621227986</v>
      </c>
      <c r="AO306">
        <f t="shared" si="249"/>
        <v>-124.55255915255159</v>
      </c>
      <c r="AQ306">
        <f t="shared" si="235"/>
        <v>1.1814730842709308E-2</v>
      </c>
      <c r="AR306">
        <f t="shared" si="236"/>
        <v>-10.869552375292562</v>
      </c>
      <c r="AT306">
        <f t="shared" si="261"/>
        <v>-42992.866921469773</v>
      </c>
      <c r="AU306">
        <f t="shared" si="262"/>
        <v>-11031.177909257005</v>
      </c>
      <c r="AV306">
        <f t="shared" si="250"/>
        <v>-2.8904292149353723</v>
      </c>
      <c r="AW306">
        <f t="shared" si="251"/>
        <v>-69.416567169070049</v>
      </c>
      <c r="AX306">
        <f t="shared" si="252"/>
        <v>-7799.9539740253713</v>
      </c>
      <c r="AY306">
        <f t="shared" si="260"/>
        <v>-1.5796957042550954</v>
      </c>
      <c r="BA306">
        <f t="shared" si="237"/>
        <v>5.6902582312957612</v>
      </c>
      <c r="BB306">
        <f t="shared" si="253"/>
        <v>15.102639513778557</v>
      </c>
      <c r="BC306">
        <f t="shared" si="254"/>
        <v>-1.3107335106802769</v>
      </c>
      <c r="BD306">
        <f t="shared" si="238"/>
        <v>-255.09949831415918</v>
      </c>
      <c r="BF306">
        <f t="shared" si="239"/>
        <v>-40.245535674889766</v>
      </c>
      <c r="BG306">
        <f t="shared" si="240"/>
        <v>-188.3711624092528</v>
      </c>
      <c r="BH306">
        <f t="shared" si="255"/>
        <v>-8.3711624092528041</v>
      </c>
      <c r="BI306">
        <f t="shared" si="256"/>
        <v>-8.3711624092528041</v>
      </c>
      <c r="BJ306">
        <f t="shared" si="241"/>
        <v>0</v>
      </c>
      <c r="BK306">
        <f t="shared" si="257"/>
        <v>0</v>
      </c>
      <c r="BM306">
        <f t="shared" si="258"/>
        <v>-55.348175188668321</v>
      </c>
      <c r="BN306">
        <f t="shared" si="242"/>
        <v>-113.27166409509364</v>
      </c>
      <c r="BQ306" s="47">
        <f t="shared" si="259"/>
        <v>32.004600314063694</v>
      </c>
      <c r="BR306" s="529"/>
      <c r="BS306" s="529"/>
      <c r="BT306" s="529">
        <v>91201.084000000003</v>
      </c>
      <c r="BU306" s="529">
        <v>5.4050900000000004</v>
      </c>
      <c r="BV306" s="529">
        <v>-129.68299999999999</v>
      </c>
      <c r="BY306" s="529"/>
      <c r="BZ306" s="529"/>
      <c r="CA306" s="529"/>
      <c r="CC306" s="529"/>
    </row>
    <row r="307" spans="1:81">
      <c r="A307">
        <f t="shared" si="263"/>
        <v>465000</v>
      </c>
      <c r="B307">
        <f t="shared" si="243"/>
        <v>465</v>
      </c>
      <c r="C307">
        <f t="shared" si="212"/>
        <v>2.5422787670269775</v>
      </c>
      <c r="D307">
        <f t="shared" si="213"/>
        <v>1.1665261269769003</v>
      </c>
      <c r="F307">
        <f t="shared" si="214"/>
        <v>4.4243366873291237E-5</v>
      </c>
      <c r="G307">
        <f t="shared" si="215"/>
        <v>2.0054866783209492E-3</v>
      </c>
      <c r="H307">
        <f t="shared" si="216"/>
        <v>-3.1395871633216794</v>
      </c>
      <c r="J307">
        <f t="shared" si="217"/>
        <v>15</v>
      </c>
      <c r="M307">
        <f t="shared" si="218"/>
        <v>3.2386598236257315E-3</v>
      </c>
      <c r="N307">
        <f t="shared" si="219"/>
        <v>-1.5707963250000001</v>
      </c>
      <c r="O307">
        <f t="shared" si="220"/>
        <v>226.57858105764203</v>
      </c>
      <c r="P307">
        <f t="shared" si="221"/>
        <v>1.5663828326251126</v>
      </c>
      <c r="Q307">
        <f t="shared" si="222"/>
        <v>176.83232101526602</v>
      </c>
      <c r="R307">
        <f t="shared" si="223"/>
        <v>1.5651412218666021</v>
      </c>
      <c r="S307">
        <f t="shared" si="224"/>
        <v>0.37231764305988013</v>
      </c>
      <c r="T307">
        <f t="shared" si="225"/>
        <v>-1.1892913763906037</v>
      </c>
      <c r="U307">
        <f t="shared" si="226"/>
        <v>0.24925983910311811</v>
      </c>
      <c r="V307">
        <f t="shared" si="227"/>
        <v>-1.3188804311887175</v>
      </c>
      <c r="X307">
        <f t="shared" si="244"/>
        <v>-33.842512819032791</v>
      </c>
      <c r="Y307">
        <f t="shared" si="228"/>
        <v>-167.33261729455262</v>
      </c>
      <c r="Z307">
        <f t="shared" si="245"/>
        <v>12.66738270544738</v>
      </c>
      <c r="AC307">
        <v>1</v>
      </c>
      <c r="AD307">
        <f t="shared" si="229"/>
        <v>226.576374306975</v>
      </c>
      <c r="AE307">
        <f t="shared" si="230"/>
        <v>-5.4282681860938042E-2</v>
      </c>
      <c r="AF307">
        <f t="shared" si="231"/>
        <v>1.3971479328639003E-2</v>
      </c>
      <c r="AG307">
        <f t="shared" si="246"/>
        <v>990.29625623391905</v>
      </c>
      <c r="AH307">
        <f t="shared" si="247"/>
        <v>-3919.1223303737097</v>
      </c>
      <c r="AJ307">
        <f t="shared" si="232"/>
        <v>22100</v>
      </c>
      <c r="AK307">
        <f t="shared" si="233"/>
        <v>55090.401967085942</v>
      </c>
      <c r="AL307">
        <v>1</v>
      </c>
      <c r="AM307">
        <f t="shared" si="234"/>
        <v>176.8294934552664</v>
      </c>
      <c r="AN307">
        <f t="shared" si="248"/>
        <v>312.24211673434343</v>
      </c>
      <c r="AO307">
        <f t="shared" si="249"/>
        <v>-123.21337044816811</v>
      </c>
      <c r="AQ307">
        <f t="shared" si="235"/>
        <v>1.1562016924480374E-2</v>
      </c>
      <c r="AR307">
        <f t="shared" si="236"/>
        <v>-10.752675739766747</v>
      </c>
      <c r="AT307">
        <f t="shared" si="261"/>
        <v>-42129.601780912679</v>
      </c>
      <c r="AU307">
        <f t="shared" si="262"/>
        <v>-10693.647488301185</v>
      </c>
      <c r="AV307">
        <f t="shared" si="250"/>
        <v>-2.8930149837506032</v>
      </c>
      <c r="AW307">
        <f t="shared" si="251"/>
        <v>-59.982788101004694</v>
      </c>
      <c r="AX307">
        <f t="shared" si="252"/>
        <v>-7720.8861835639964</v>
      </c>
      <c r="AY307">
        <f t="shared" si="260"/>
        <v>-1.578565069909218</v>
      </c>
      <c r="BA307">
        <f t="shared" si="237"/>
        <v>5.6294415571626226</v>
      </c>
      <c r="BB307">
        <f t="shared" si="253"/>
        <v>15.009306296061373</v>
      </c>
      <c r="BC307">
        <f t="shared" si="254"/>
        <v>-1.3144499138413852</v>
      </c>
      <c r="BD307">
        <f t="shared" si="238"/>
        <v>-255.31243253050306</v>
      </c>
      <c r="BF307">
        <f t="shared" si="239"/>
        <v>-40.447441739324944</v>
      </c>
      <c r="BG307">
        <f t="shared" si="240"/>
        <v>-188.36050276394349</v>
      </c>
      <c r="BH307">
        <f t="shared" si="255"/>
        <v>-8.3605027639434866</v>
      </c>
      <c r="BI307">
        <f t="shared" si="256"/>
        <v>-8.3605027639434866</v>
      </c>
      <c r="BJ307">
        <f t="shared" si="241"/>
        <v>0</v>
      </c>
      <c r="BK307">
        <f t="shared" si="257"/>
        <v>0</v>
      </c>
      <c r="BM307">
        <f t="shared" si="258"/>
        <v>-55.456748035386319</v>
      </c>
      <c r="BN307">
        <f t="shared" si="242"/>
        <v>-113.04807023344043</v>
      </c>
      <c r="BQ307" s="47">
        <f t="shared" si="259"/>
        <v>31.911267096346513</v>
      </c>
      <c r="BR307" s="529"/>
      <c r="BS307" s="529"/>
      <c r="BT307" s="529">
        <v>93325.43</v>
      </c>
      <c r="BU307" s="529">
        <v>5.6014999999999997</v>
      </c>
      <c r="BV307" s="529">
        <v>-129.64400000000001</v>
      </c>
      <c r="BY307" s="529"/>
      <c r="BZ307" s="529"/>
      <c r="CA307" s="529"/>
      <c r="CC307" s="529"/>
    </row>
    <row r="308" spans="1:81">
      <c r="A308">
        <f t="shared" si="263"/>
        <v>470000</v>
      </c>
      <c r="B308">
        <f t="shared" si="243"/>
        <v>470</v>
      </c>
      <c r="C308">
        <f t="shared" si="212"/>
        <v>2.5654045985922971</v>
      </c>
      <c r="D308">
        <f t="shared" si="213"/>
        <v>1.1703796849320804</v>
      </c>
      <c r="F308">
        <f t="shared" si="214"/>
        <v>4.330698637656526E-5</v>
      </c>
      <c r="G308">
        <f t="shared" si="215"/>
        <v>1.9841498786727168E-3</v>
      </c>
      <c r="H308">
        <f t="shared" si="216"/>
        <v>-3.1396085001213274</v>
      </c>
      <c r="J308">
        <f t="shared" si="217"/>
        <v>15</v>
      </c>
      <c r="M308">
        <f t="shared" si="218"/>
        <v>3.2042059957148191E-3</v>
      </c>
      <c r="N308">
        <f t="shared" si="219"/>
        <v>-1.5707963250000001</v>
      </c>
      <c r="O308">
        <f t="shared" si="220"/>
        <v>229.01486268187111</v>
      </c>
      <c r="P308">
        <f t="shared" si="221"/>
        <v>1.5664297840907284</v>
      </c>
      <c r="Q308">
        <f t="shared" si="222"/>
        <v>178.73368333805863</v>
      </c>
      <c r="R308">
        <f t="shared" si="223"/>
        <v>1.5652013812950969</v>
      </c>
      <c r="S308">
        <f t="shared" si="224"/>
        <v>0.36889832983349963</v>
      </c>
      <c r="T308">
        <f t="shared" si="225"/>
        <v>-1.1929728526622778</v>
      </c>
      <c r="U308">
        <f t="shared" si="226"/>
        <v>0.24677043044941854</v>
      </c>
      <c r="V308">
        <f t="shared" si="227"/>
        <v>-1.3214501278597912</v>
      </c>
      <c r="X308">
        <f t="shared" si="244"/>
        <v>-34.024091974579441</v>
      </c>
      <c r="Y308">
        <f t="shared" si="228"/>
        <v>-167.46507602078464</v>
      </c>
      <c r="Z308">
        <f t="shared" si="245"/>
        <v>12.534923979215364</v>
      </c>
      <c r="AC308">
        <v>1</v>
      </c>
      <c r="AD308">
        <f t="shared" si="229"/>
        <v>229.01267940705003</v>
      </c>
      <c r="AE308">
        <f t="shared" si="230"/>
        <v>-5.545632754344415E-2</v>
      </c>
      <c r="AF308">
        <f t="shared" si="231"/>
        <v>1.4121710289162002E-2</v>
      </c>
      <c r="AG308">
        <f t="shared" si="246"/>
        <v>970.61445276181087</v>
      </c>
      <c r="AH308">
        <f t="shared" si="247"/>
        <v>-3882.4414244525092</v>
      </c>
      <c r="AJ308">
        <f t="shared" si="232"/>
        <v>22100</v>
      </c>
      <c r="AK308">
        <f t="shared" si="233"/>
        <v>55682.771880710519</v>
      </c>
      <c r="AL308">
        <v>1</v>
      </c>
      <c r="AM308">
        <f t="shared" si="234"/>
        <v>178.73088585801119</v>
      </c>
      <c r="AN308">
        <f t="shared" si="248"/>
        <v>312.22737069327206</v>
      </c>
      <c r="AO308">
        <f t="shared" si="249"/>
        <v>-121.9026724156425</v>
      </c>
      <c r="AQ308">
        <f t="shared" si="235"/>
        <v>1.131732535386447E-2</v>
      </c>
      <c r="AR308">
        <f t="shared" si="236"/>
        <v>-10.638285832632603</v>
      </c>
      <c r="AT308">
        <f t="shared" si="261"/>
        <v>-41291.536842223999</v>
      </c>
      <c r="AU308">
        <f t="shared" si="262"/>
        <v>-10369.612834532269</v>
      </c>
      <c r="AV308">
        <f t="shared" si="250"/>
        <v>-2.8955491679729457</v>
      </c>
      <c r="AW308">
        <f t="shared" si="251"/>
        <v>-50.898750799313632</v>
      </c>
      <c r="AX308">
        <f t="shared" si="252"/>
        <v>-7643.362660424451</v>
      </c>
      <c r="AY308">
        <f t="shared" si="260"/>
        <v>-1.5774554375438037</v>
      </c>
      <c r="BA308">
        <f t="shared" si="237"/>
        <v>5.5698986701551867</v>
      </c>
      <c r="BB308">
        <f t="shared" si="253"/>
        <v>14.916945887701694</v>
      </c>
      <c r="BC308">
        <f t="shared" si="254"/>
        <v>-1.318093730429142</v>
      </c>
      <c r="BD308">
        <f t="shared" si="238"/>
        <v>-255.52120784253987</v>
      </c>
      <c r="BF308">
        <f t="shared" si="239"/>
        <v>-40.646952286730134</v>
      </c>
      <c r="BG308">
        <f t="shared" si="240"/>
        <v>-188.34970797735664</v>
      </c>
      <c r="BH308">
        <f t="shared" si="255"/>
        <v>-8.3497079773566441</v>
      </c>
      <c r="BI308">
        <f t="shared" si="256"/>
        <v>-8.3497079773566441</v>
      </c>
      <c r="BJ308">
        <f t="shared" si="241"/>
        <v>0</v>
      </c>
      <c r="BK308">
        <f t="shared" si="257"/>
        <v>0</v>
      </c>
      <c r="BM308">
        <f t="shared" si="258"/>
        <v>-55.563898174431827</v>
      </c>
      <c r="BN308">
        <f t="shared" si="242"/>
        <v>-112.82850013481678</v>
      </c>
      <c r="BQ308" s="47">
        <f t="shared" si="259"/>
        <v>31.818906687986832</v>
      </c>
      <c r="BR308" s="529"/>
      <c r="BS308" s="529"/>
      <c r="BT308" s="529">
        <v>95499.259000000005</v>
      </c>
      <c r="BU308" s="529">
        <v>5.7946099999999996</v>
      </c>
      <c r="BV308" s="529">
        <v>-129.63</v>
      </c>
      <c r="BY308" s="529"/>
      <c r="BZ308" s="529"/>
      <c r="CA308" s="529"/>
      <c r="CC308" s="529"/>
    </row>
    <row r="309" spans="1:81">
      <c r="A309">
        <f t="shared" si="263"/>
        <v>475000</v>
      </c>
      <c r="B309">
        <f t="shared" si="243"/>
        <v>475</v>
      </c>
      <c r="C309">
        <f t="shared" si="212"/>
        <v>2.5885678451686855</v>
      </c>
      <c r="D309">
        <f t="shared" si="213"/>
        <v>1.174164332773481</v>
      </c>
      <c r="F309">
        <f t="shared" si="214"/>
        <v>4.2400021507616699E-5</v>
      </c>
      <c r="G309">
        <f t="shared" si="215"/>
        <v>1.963262331844279E-3</v>
      </c>
      <c r="H309">
        <f t="shared" si="216"/>
        <v>-3.139629387668156</v>
      </c>
      <c r="J309">
        <f t="shared" si="217"/>
        <v>15</v>
      </c>
      <c r="M309">
        <f t="shared" si="218"/>
        <v>3.1704775115494006E-3</v>
      </c>
      <c r="N309">
        <f t="shared" si="219"/>
        <v>-1.5707963250000001</v>
      </c>
      <c r="O309">
        <f t="shared" si="220"/>
        <v>231.45114480032152</v>
      </c>
      <c r="P309">
        <f t="shared" si="221"/>
        <v>1.5664757471230861</v>
      </c>
      <c r="Q309">
        <f t="shared" si="222"/>
        <v>180.63504629409869</v>
      </c>
      <c r="R309">
        <f t="shared" si="223"/>
        <v>1.5652602742485389</v>
      </c>
      <c r="S309">
        <f t="shared" si="224"/>
        <v>0.36553643031178085</v>
      </c>
      <c r="T309">
        <f t="shared" si="225"/>
        <v>-1.1965872760182124</v>
      </c>
      <c r="U309">
        <f t="shared" si="226"/>
        <v>0.24432868872442812</v>
      </c>
      <c r="V309">
        <f t="shared" si="227"/>
        <v>-1.3239689876699103</v>
      </c>
      <c r="X309">
        <f t="shared" si="244"/>
        <v>-34.203839127185994</v>
      </c>
      <c r="Y309">
        <f t="shared" si="228"/>
        <v>-167.59483187548554</v>
      </c>
      <c r="Z309">
        <f t="shared" si="245"/>
        <v>12.405168124514461</v>
      </c>
      <c r="AC309">
        <v>1</v>
      </c>
      <c r="AD309">
        <f t="shared" si="229"/>
        <v>231.448984507125</v>
      </c>
      <c r="AE309">
        <f t="shared" si="230"/>
        <v>-5.664252558619097E-2</v>
      </c>
      <c r="AF309">
        <f t="shared" si="231"/>
        <v>1.4271941249685E-2</v>
      </c>
      <c r="AG309">
        <f t="shared" si="246"/>
        <v>951.50142915112008</v>
      </c>
      <c r="AH309">
        <f t="shared" si="247"/>
        <v>-3846.3894354386593</v>
      </c>
      <c r="AJ309">
        <f t="shared" si="232"/>
        <v>22100</v>
      </c>
      <c r="AK309">
        <f t="shared" si="233"/>
        <v>56275.141794335104</v>
      </c>
      <c r="AL309">
        <v>1</v>
      </c>
      <c r="AM309">
        <f t="shared" si="234"/>
        <v>180.63227826075601</v>
      </c>
      <c r="AN309">
        <f t="shared" si="248"/>
        <v>312.21308784239159</v>
      </c>
      <c r="AO309">
        <f t="shared" si="249"/>
        <v>-120.61956546163546</v>
      </c>
      <c r="AQ309">
        <f t="shared" si="235"/>
        <v>1.1080320132609272E-2</v>
      </c>
      <c r="AR309">
        <f t="shared" si="236"/>
        <v>-10.526304125978807</v>
      </c>
      <c r="AT309">
        <f t="shared" si="261"/>
        <v>-40477.722043937625</v>
      </c>
      <c r="AU309">
        <f t="shared" si="262"/>
        <v>-10058.412645847513</v>
      </c>
      <c r="AV309">
        <f t="shared" si="250"/>
        <v>-2.8980332629464534</v>
      </c>
      <c r="AW309">
        <f t="shared" si="251"/>
        <v>-42.147403438896909</v>
      </c>
      <c r="AX309">
        <f t="shared" si="252"/>
        <v>-7567.3397521129264</v>
      </c>
      <c r="AY309">
        <f t="shared" si="260"/>
        <v>-1.5763659151852754</v>
      </c>
      <c r="BA309">
        <f t="shared" si="237"/>
        <v>5.5115903776663906</v>
      </c>
      <c r="BB309">
        <f t="shared" si="253"/>
        <v>14.825538665184261</v>
      </c>
      <c r="BC309">
        <f t="shared" si="254"/>
        <v>-1.321667347761178</v>
      </c>
      <c r="BD309">
        <f t="shared" si="238"/>
        <v>-255.72596103349429</v>
      </c>
      <c r="BF309">
        <f t="shared" si="239"/>
        <v>-40.844123573386611</v>
      </c>
      <c r="BG309">
        <f t="shared" si="240"/>
        <v>-188.33881358808677</v>
      </c>
      <c r="BH309">
        <f t="shared" si="255"/>
        <v>-8.3388135880867651</v>
      </c>
      <c r="BI309">
        <f t="shared" si="256"/>
        <v>-8.3388135880867651</v>
      </c>
      <c r="BJ309">
        <f t="shared" si="241"/>
        <v>0</v>
      </c>
      <c r="BK309">
        <f t="shared" si="257"/>
        <v>0</v>
      </c>
      <c r="BM309">
        <f t="shared" si="258"/>
        <v>-55.669662238570865</v>
      </c>
      <c r="BN309">
        <f t="shared" si="242"/>
        <v>-112.61285255459248</v>
      </c>
      <c r="BQ309" s="47">
        <f t="shared" si="259"/>
        <v>31.727499465469396</v>
      </c>
      <c r="BR309" s="529"/>
      <c r="BS309" s="529"/>
      <c r="BT309" s="529">
        <v>97723.721999999994</v>
      </c>
      <c r="BU309" s="529">
        <v>5.9855799999999997</v>
      </c>
      <c r="BV309" s="529">
        <v>-129.62100000000001</v>
      </c>
      <c r="BY309" s="529"/>
      <c r="BZ309" s="529"/>
      <c r="CA309" s="529"/>
      <c r="CC309" s="529"/>
    </row>
    <row r="310" spans="1:81">
      <c r="A310">
        <f t="shared" si="263"/>
        <v>480000</v>
      </c>
      <c r="B310">
        <f t="shared" si="243"/>
        <v>480</v>
      </c>
      <c r="C310">
        <f t="shared" si="212"/>
        <v>2.611767511277459</v>
      </c>
      <c r="D310">
        <f t="shared" si="213"/>
        <v>1.1778817969500808</v>
      </c>
      <c r="F310">
        <f t="shared" si="214"/>
        <v>4.1521252938592588E-5</v>
      </c>
      <c r="G310">
        <f t="shared" si="215"/>
        <v>1.9428099963453372E-3</v>
      </c>
      <c r="H310">
        <f t="shared" si="216"/>
        <v>-3.139649840003655</v>
      </c>
      <c r="J310">
        <f t="shared" si="217"/>
        <v>15</v>
      </c>
      <c r="M310">
        <f t="shared" si="218"/>
        <v>3.1374517041374275E-3</v>
      </c>
      <c r="N310">
        <f t="shared" si="219"/>
        <v>-1.5707963250000001</v>
      </c>
      <c r="O310">
        <f t="shared" si="220"/>
        <v>233.88742739754917</v>
      </c>
      <c r="P310">
        <f t="shared" si="221"/>
        <v>1.5665207526099598</v>
      </c>
      <c r="Q310">
        <f t="shared" si="222"/>
        <v>182.53640986359781</v>
      </c>
      <c r="R310">
        <f t="shared" si="223"/>
        <v>1.5653179403026645</v>
      </c>
      <c r="S310">
        <f t="shared" si="224"/>
        <v>0.36223064900434221</v>
      </c>
      <c r="T310">
        <f t="shared" si="225"/>
        <v>-1.2001363699283638</v>
      </c>
      <c r="U310">
        <f t="shared" si="226"/>
        <v>0.24193330444930036</v>
      </c>
      <c r="V310">
        <f t="shared" si="227"/>
        <v>-1.3264384733825283</v>
      </c>
      <c r="X310">
        <f t="shared" si="244"/>
        <v>-34.381789867553032</v>
      </c>
      <c r="Y310">
        <f t="shared" si="228"/>
        <v>-167.72196526539858</v>
      </c>
      <c r="Z310">
        <f t="shared" si="245"/>
        <v>12.27803473460142</v>
      </c>
      <c r="AC310">
        <v>1</v>
      </c>
      <c r="AD310">
        <f t="shared" si="229"/>
        <v>233.88528960720004</v>
      </c>
      <c r="AE310">
        <f t="shared" si="230"/>
        <v>-5.7841275989178507E-2</v>
      </c>
      <c r="AF310">
        <f t="shared" si="231"/>
        <v>1.4422172210208003E-2</v>
      </c>
      <c r="AG310">
        <f t="shared" si="246"/>
        <v>932.93595536988266</v>
      </c>
      <c r="AH310">
        <f t="shared" si="247"/>
        <v>-3810.9520031854217</v>
      </c>
      <c r="AJ310">
        <f t="shared" si="232"/>
        <v>22100</v>
      </c>
      <c r="AK310">
        <f t="shared" si="233"/>
        <v>56867.511707959682</v>
      </c>
      <c r="AL310">
        <v>1</v>
      </c>
      <c r="AM310">
        <f t="shared" si="234"/>
        <v>182.5336706635008</v>
      </c>
      <c r="AN310">
        <f t="shared" si="248"/>
        <v>312.19924898395647</v>
      </c>
      <c r="AO310">
        <f t="shared" si="249"/>
        <v>-119.36318747011701</v>
      </c>
      <c r="AQ310">
        <f t="shared" si="235"/>
        <v>1.0850682670700227E-2</v>
      </c>
      <c r="AR310">
        <f t="shared" si="236"/>
        <v>-10.416655363872218</v>
      </c>
      <c r="AT310">
        <f t="shared" si="261"/>
        <v>-39687.250633437194</v>
      </c>
      <c r="AU310">
        <f t="shared" si="262"/>
        <v>-9759.4237545127762</v>
      </c>
      <c r="AV310">
        <f t="shared" si="250"/>
        <v>-2.9004687080724549</v>
      </c>
      <c r="AW310">
        <f t="shared" si="251"/>
        <v>-33.712712531941989</v>
      </c>
      <c r="AX310">
        <f t="shared" si="252"/>
        <v>-7492.7753964634285</v>
      </c>
      <c r="AY310">
        <f t="shared" si="260"/>
        <v>-1.5752956589187821</v>
      </c>
      <c r="BA310">
        <f t="shared" si="237"/>
        <v>5.454479053119651</v>
      </c>
      <c r="BB310">
        <f t="shared" si="253"/>
        <v>14.73506556536443</v>
      </c>
      <c r="BC310">
        <f t="shared" si="254"/>
        <v>-1.3251730491536728</v>
      </c>
      <c r="BD310">
        <f t="shared" si="238"/>
        <v>-255.92682292774688</v>
      </c>
      <c r="BF310">
        <f t="shared" si="239"/>
        <v>-41.039009944198654</v>
      </c>
      <c r="BG310">
        <f t="shared" si="240"/>
        <v>-188.32785230679235</v>
      </c>
      <c r="BH310">
        <f t="shared" si="255"/>
        <v>-8.3278523067923516</v>
      </c>
      <c r="BI310">
        <f t="shared" si="256"/>
        <v>-8.3278523067923516</v>
      </c>
      <c r="BJ310">
        <f t="shared" si="241"/>
        <v>0</v>
      </c>
      <c r="BK310">
        <f t="shared" si="257"/>
        <v>0</v>
      </c>
      <c r="BM310">
        <f t="shared" si="258"/>
        <v>-55.774075509563083</v>
      </c>
      <c r="BN310">
        <f t="shared" si="242"/>
        <v>-112.40102937904548</v>
      </c>
      <c r="BQ310" s="47">
        <f t="shared" si="259"/>
        <v>31.637026365649564</v>
      </c>
      <c r="BR310" s="529"/>
      <c r="BS310" s="529"/>
      <c r="BT310" s="529">
        <v>100000</v>
      </c>
      <c r="BU310" s="529">
        <v>6.1811499999999997</v>
      </c>
      <c r="BV310" s="529">
        <v>-129.59</v>
      </c>
      <c r="BY310" s="529"/>
      <c r="BZ310" s="529"/>
      <c r="CA310" s="529"/>
      <c r="CC310" s="529"/>
    </row>
    <row r="311" spans="1:81">
      <c r="A311">
        <f t="shared" si="263"/>
        <v>485000</v>
      </c>
      <c r="B311">
        <f t="shared" si="243"/>
        <v>485</v>
      </c>
      <c r="C311">
        <f t="shared" si="212"/>
        <v>2.6350026349603719</v>
      </c>
      <c r="D311">
        <f t="shared" si="213"/>
        <v>1.1815337505880601</v>
      </c>
      <c r="F311">
        <f t="shared" si="214"/>
        <v>4.0669523872922696E-5</v>
      </c>
      <c r="G311">
        <f t="shared" si="215"/>
        <v>1.9227794098348701E-3</v>
      </c>
      <c r="H311">
        <f t="shared" si="216"/>
        <v>-3.1396698705901653</v>
      </c>
      <c r="J311">
        <f t="shared" si="217"/>
        <v>15</v>
      </c>
      <c r="M311">
        <f t="shared" si="218"/>
        <v>3.1051068412081754E-3</v>
      </c>
      <c r="N311">
        <f t="shared" si="219"/>
        <v>-1.5707963250000001</v>
      </c>
      <c r="O311">
        <f t="shared" si="220"/>
        <v>236.32371045874675</v>
      </c>
      <c r="P311">
        <f t="shared" si="221"/>
        <v>1.56656483016544</v>
      </c>
      <c r="Q311">
        <f t="shared" si="222"/>
        <v>184.43777402758357</v>
      </c>
      <c r="R311">
        <f t="shared" si="223"/>
        <v>1.5653744174013027</v>
      </c>
      <c r="S311">
        <f t="shared" si="224"/>
        <v>0.35897972356971375</v>
      </c>
      <c r="T311">
        <f t="shared" si="225"/>
        <v>-1.203621802706186</v>
      </c>
      <c r="U311">
        <f t="shared" si="226"/>
        <v>0.23958301380725952</v>
      </c>
      <c r="V311">
        <f t="shared" si="227"/>
        <v>-1.3288599933830585</v>
      </c>
      <c r="X311">
        <f t="shared" si="244"/>
        <v>-34.557978790979753</v>
      </c>
      <c r="Y311">
        <f t="shared" si="228"/>
        <v>-167.84655350986679</v>
      </c>
      <c r="Z311">
        <f t="shared" si="245"/>
        <v>12.153446490133206</v>
      </c>
      <c r="AC311">
        <v>1</v>
      </c>
      <c r="AD311">
        <f t="shared" si="229"/>
        <v>236.32159470727501</v>
      </c>
      <c r="AE311">
        <f t="shared" si="230"/>
        <v>-5.9052578752406749E-2</v>
      </c>
      <c r="AF311">
        <f t="shared" si="231"/>
        <v>1.4572403170731002E-2</v>
      </c>
      <c r="AG311">
        <f t="shared" si="246"/>
        <v>914.89775953679145</v>
      </c>
      <c r="AH311">
        <f t="shared" si="247"/>
        <v>-3776.1151232742432</v>
      </c>
      <c r="AJ311">
        <f t="shared" si="232"/>
        <v>22100</v>
      </c>
      <c r="AK311">
        <f t="shared" si="233"/>
        <v>57459.88162158426</v>
      </c>
      <c r="AL311">
        <v>1</v>
      </c>
      <c r="AM311">
        <f t="shared" si="234"/>
        <v>184.43506306624562</v>
      </c>
      <c r="AN311">
        <f t="shared" si="248"/>
        <v>312.18583590460889</v>
      </c>
      <c r="AO311">
        <f t="shared" si="249"/>
        <v>-118.13271187089636</v>
      </c>
      <c r="AQ311">
        <f t="shared" si="235"/>
        <v>1.0628110715154942E-2</v>
      </c>
      <c r="AR311">
        <f t="shared" si="236"/>
        <v>-10.309267393700294</v>
      </c>
      <c r="AT311">
        <f t="shared" si="261"/>
        <v>-38919.256880548317</v>
      </c>
      <c r="AU311">
        <f t="shared" si="262"/>
        <v>-9472.0586105654256</v>
      </c>
      <c r="AV311">
        <f t="shared" si="250"/>
        <v>-2.9028568893375875</v>
      </c>
      <c r="AW311">
        <f t="shared" si="251"/>
        <v>-25.57959163280038</v>
      </c>
      <c r="AX311">
        <f t="shared" si="252"/>
        <v>-7419.6290514466928</v>
      </c>
      <c r="AY311">
        <f t="shared" si="260"/>
        <v>-1.574243869807199</v>
      </c>
      <c r="BA311">
        <f t="shared" si="237"/>
        <v>5.3985285602889137</v>
      </c>
      <c r="BB311">
        <f t="shared" si="253"/>
        <v>14.645508065984638</v>
      </c>
      <c r="BC311">
        <f t="shared" si="254"/>
        <v>-1.3286130195303885</v>
      </c>
      <c r="BD311">
        <f t="shared" si="238"/>
        <v>-256.12391871220791</v>
      </c>
      <c r="BF311">
        <f t="shared" si="239"/>
        <v>-41.231663915112655</v>
      </c>
      <c r="BG311">
        <f t="shared" si="240"/>
        <v>-188.31685422865016</v>
      </c>
      <c r="BH311">
        <f t="shared" si="255"/>
        <v>-8.3168542286501577</v>
      </c>
      <c r="BI311">
        <f t="shared" si="256"/>
        <v>-8.3168542286501577</v>
      </c>
      <c r="BJ311">
        <f t="shared" si="241"/>
        <v>0</v>
      </c>
      <c r="BK311">
        <f t="shared" si="257"/>
        <v>0</v>
      </c>
      <c r="BM311">
        <f t="shared" si="258"/>
        <v>-55.877171981097298</v>
      </c>
      <c r="BN311">
        <f t="shared" si="242"/>
        <v>-112.19293551644225</v>
      </c>
      <c r="BQ311" s="47">
        <f t="shared" si="259"/>
        <v>31.547468866269774</v>
      </c>
      <c r="BR311" s="529"/>
      <c r="BS311" s="529"/>
      <c r="BT311" s="529">
        <v>102329.299</v>
      </c>
      <c r="BU311" s="529">
        <v>6.3762999999999996</v>
      </c>
      <c r="BV311" s="529">
        <v>-129.61099999999999</v>
      </c>
      <c r="BY311" s="529"/>
      <c r="BZ311" s="529"/>
      <c r="CA311" s="529"/>
      <c r="CC311" s="529"/>
    </row>
    <row r="312" spans="1:81">
      <c r="A312">
        <f t="shared" si="263"/>
        <v>490000</v>
      </c>
      <c r="B312">
        <f t="shared" si="243"/>
        <v>490</v>
      </c>
      <c r="C312">
        <f t="shared" si="212"/>
        <v>2.658272286447009</v>
      </c>
      <c r="D312">
        <f t="shared" si="213"/>
        <v>1.1851218153539156</v>
      </c>
      <c r="F312">
        <f t="shared" si="214"/>
        <v>3.9843736236191957E-5</v>
      </c>
      <c r="G312">
        <f t="shared" si="215"/>
        <v>1.9031576595655417E-3</v>
      </c>
      <c r="H312">
        <f t="shared" si="216"/>
        <v>-3.1396894923404348</v>
      </c>
      <c r="J312">
        <f t="shared" si="217"/>
        <v>15</v>
      </c>
      <c r="M312">
        <f t="shared" si="218"/>
        <v>3.0734220775223775E-3</v>
      </c>
      <c r="N312">
        <f t="shared" si="219"/>
        <v>-1.5707963250000001</v>
      </c>
      <c r="O312">
        <f t="shared" si="220"/>
        <v>238.75999396971136</v>
      </c>
      <c r="P312">
        <f t="shared" si="221"/>
        <v>1.5666080081949154</v>
      </c>
      <c r="Q312">
        <f t="shared" si="222"/>
        <v>186.33913876785797</v>
      </c>
      <c r="R312">
        <f t="shared" si="223"/>
        <v>1.5654297419396304</v>
      </c>
      <c r="S312">
        <f t="shared" si="224"/>
        <v>0.35578242405771149</v>
      </c>
      <c r="T312">
        <f t="shared" si="225"/>
        <v>-1.2070451895382988</v>
      </c>
      <c r="U312">
        <f t="shared" si="226"/>
        <v>0.23727659676511387</v>
      </c>
      <c r="V312">
        <f t="shared" si="227"/>
        <v>-1.3312349041239506</v>
      </c>
      <c r="X312">
        <f t="shared" si="244"/>
        <v>-34.732439532863367</v>
      </c>
      <c r="Y312">
        <f t="shared" si="228"/>
        <v>-167.96867098366812</v>
      </c>
      <c r="Z312">
        <f t="shared" si="245"/>
        <v>12.031329016331881</v>
      </c>
      <c r="AC312">
        <v>1</v>
      </c>
      <c r="AD312">
        <f t="shared" si="229"/>
        <v>238.75789980735001</v>
      </c>
      <c r="AE312">
        <f t="shared" si="230"/>
        <v>-6.0276433875875696E-2</v>
      </c>
      <c r="AF312">
        <f t="shared" si="231"/>
        <v>1.4722634131254003E-2</v>
      </c>
      <c r="AG312">
        <f t="shared" si="246"/>
        <v>897.36747784770068</v>
      </c>
      <c r="AH312">
        <f t="shared" si="247"/>
        <v>-3741.8651410959137</v>
      </c>
      <c r="AJ312">
        <f t="shared" si="232"/>
        <v>22100</v>
      </c>
      <c r="AK312">
        <f t="shared" si="233"/>
        <v>58052.251535208838</v>
      </c>
      <c r="AL312">
        <v>1</v>
      </c>
      <c r="AM312">
        <f t="shared" si="234"/>
        <v>186.33645546899038</v>
      </c>
      <c r="AN312">
        <f t="shared" si="248"/>
        <v>312.17283131542433</v>
      </c>
      <c r="AO312">
        <f t="shared" si="249"/>
        <v>-116.92734582638043</v>
      </c>
      <c r="AQ312">
        <f t="shared" si="235"/>
        <v>1.0412317354938198E-2</v>
      </c>
      <c r="AR312">
        <f t="shared" si="236"/>
        <v>-10.204071007839433</v>
      </c>
      <c r="AT312">
        <f t="shared" si="261"/>
        <v>-38172.913926538473</v>
      </c>
      <c r="AU312">
        <f t="shared" si="262"/>
        <v>-9195.7629514321889</v>
      </c>
      <c r="AV312">
        <f t="shared" si="250"/>
        <v>-2.9051991417097236</v>
      </c>
      <c r="AW312">
        <f t="shared" si="251"/>
        <v>-17.733835726228044</v>
      </c>
      <c r="AX312">
        <f t="shared" si="252"/>
        <v>-7347.861628598559</v>
      </c>
      <c r="AY312">
        <f t="shared" si="260"/>
        <v>-1.5732097910366727</v>
      </c>
      <c r="BA312">
        <f t="shared" si="237"/>
        <v>5.3437041818233606</v>
      </c>
      <c r="BB312">
        <f t="shared" si="253"/>
        <v>14.556848166903325</v>
      </c>
      <c r="BC312">
        <f t="shared" si="254"/>
        <v>-1.3319893506730509</v>
      </c>
      <c r="BD312">
        <f t="shared" si="238"/>
        <v>-256.31736823714209</v>
      </c>
      <c r="BF312">
        <f t="shared" si="239"/>
        <v>-41.422136251349599</v>
      </c>
      <c r="BG312">
        <f t="shared" si="240"/>
        <v>-188.30584702912469</v>
      </c>
      <c r="BH312">
        <f t="shared" si="255"/>
        <v>-8.305847029124692</v>
      </c>
      <c r="BI312">
        <f t="shared" si="256"/>
        <v>-8.305847029124692</v>
      </c>
      <c r="BJ312">
        <f t="shared" si="241"/>
        <v>0</v>
      </c>
      <c r="BK312">
        <f t="shared" si="257"/>
        <v>0</v>
      </c>
      <c r="BM312">
        <f t="shared" si="258"/>
        <v>-55.978984418252921</v>
      </c>
      <c r="BN312">
        <f t="shared" si="242"/>
        <v>-111.98847879198262</v>
      </c>
      <c r="BQ312" s="47">
        <f t="shared" si="259"/>
        <v>31.45880896718846</v>
      </c>
      <c r="BR312" s="529"/>
      <c r="BS312" s="529"/>
      <c r="BT312" s="529">
        <v>104712.855</v>
      </c>
      <c r="BU312" s="529">
        <v>6.5692300000000001</v>
      </c>
      <c r="BV312" s="529">
        <v>-129.61699999999999</v>
      </c>
      <c r="BY312" s="529"/>
      <c r="BZ312" s="529"/>
      <c r="CA312" s="529"/>
      <c r="CC312" s="529"/>
    </row>
    <row r="313" spans="1:81">
      <c r="A313">
        <f t="shared" si="263"/>
        <v>495000</v>
      </c>
      <c r="B313">
        <f t="shared" si="243"/>
        <v>495</v>
      </c>
      <c r="C313">
        <f t="shared" si="212"/>
        <v>2.6815755668816732</v>
      </c>
      <c r="D313">
        <f t="shared" si="213"/>
        <v>1.1886475632502842</v>
      </c>
      <c r="F313">
        <f t="shared" si="214"/>
        <v>3.9042847135000897E-5</v>
      </c>
      <c r="G313">
        <f t="shared" si="215"/>
        <v>1.8839323546198548E-3</v>
      </c>
      <c r="H313">
        <f t="shared" si="216"/>
        <v>-3.1397087176453802</v>
      </c>
      <c r="J313">
        <f t="shared" si="217"/>
        <v>15</v>
      </c>
      <c r="M313">
        <f t="shared" si="218"/>
        <v>3.042377410072657E-3</v>
      </c>
      <c r="N313">
        <f t="shared" si="219"/>
        <v>-1.5707963250000001</v>
      </c>
      <c r="O313">
        <f t="shared" si="220"/>
        <v>241.1962779168139</v>
      </c>
      <c r="P313">
        <f t="shared" si="221"/>
        <v>1.5666503139561148</v>
      </c>
      <c r="Q313">
        <f t="shared" si="222"/>
        <v>188.24050406695821</v>
      </c>
      <c r="R313">
        <f t="shared" si="223"/>
        <v>1.5654839488423828</v>
      </c>
      <c r="S313">
        <f t="shared" si="224"/>
        <v>0.35263755215093651</v>
      </c>
      <c r="T313">
        <f t="shared" si="225"/>
        <v>-1.2104080944343028</v>
      </c>
      <c r="U313">
        <f t="shared" si="226"/>
        <v>0.23501287528088299</v>
      </c>
      <c r="V313">
        <f t="shared" si="227"/>
        <v>-1.3335645124424103</v>
      </c>
      <c r="X313">
        <f t="shared" si="244"/>
        <v>-34.905204802690818</v>
      </c>
      <c r="Y313">
        <f t="shared" si="228"/>
        <v>-168.08838925224629</v>
      </c>
      <c r="Z313">
        <f t="shared" si="245"/>
        <v>11.911610747753713</v>
      </c>
      <c r="AC313">
        <v>1</v>
      </c>
      <c r="AD313">
        <f t="shared" si="229"/>
        <v>241.19420490742502</v>
      </c>
      <c r="AE313">
        <f t="shared" si="230"/>
        <v>-6.151284135958536E-2</v>
      </c>
      <c r="AF313">
        <f t="shared" si="231"/>
        <v>1.4872865091777002E-2</v>
      </c>
      <c r="AG313">
        <f t="shared" si="246"/>
        <v>880.32660743661847</v>
      </c>
      <c r="AH313">
        <f t="shared" si="247"/>
        <v>-3708.1887455809115</v>
      </c>
      <c r="AJ313">
        <f t="shared" si="232"/>
        <v>22100</v>
      </c>
      <c r="AK313">
        <f t="shared" si="233"/>
        <v>58644.621448833415</v>
      </c>
      <c r="AL313">
        <v>1</v>
      </c>
      <c r="AM313">
        <f t="shared" si="234"/>
        <v>188.2378478717352</v>
      </c>
      <c r="AN313">
        <f t="shared" si="248"/>
        <v>312.16021879617318</v>
      </c>
      <c r="AO313">
        <f t="shared" si="249"/>
        <v>-115.74632852820336</v>
      </c>
      <c r="AQ313">
        <f t="shared" si="235"/>
        <v>1.0203030095877873E-2</v>
      </c>
      <c r="AR313">
        <f t="shared" si="236"/>
        <v>-10.100999794919096</v>
      </c>
      <c r="AT313">
        <f t="shared" si="261"/>
        <v>-37447.431759764208</v>
      </c>
      <c r="AU313">
        <f t="shared" si="262"/>
        <v>-8930.0136425514647</v>
      </c>
      <c r="AV313">
        <f t="shared" si="250"/>
        <v>-2.907496751409524</v>
      </c>
      <c r="AW313">
        <f t="shared" si="251"/>
        <v>-10.162060793613648</v>
      </c>
      <c r="AX313">
        <f t="shared" si="252"/>
        <v>-7277.4354298540893</v>
      </c>
      <c r="AY313">
        <f t="shared" si="260"/>
        <v>-1.5721927052700688</v>
      </c>
      <c r="BA313">
        <f t="shared" si="237"/>
        <v>5.2899725517198712</v>
      </c>
      <c r="BB313">
        <f t="shared" si="253"/>
        <v>14.469068372017425</v>
      </c>
      <c r="BC313">
        <f t="shared" si="254"/>
        <v>-1.3353040461394552</v>
      </c>
      <c r="BD313">
        <f t="shared" si="238"/>
        <v>-256.50728629795526</v>
      </c>
      <c r="BF313">
        <f t="shared" si="239"/>
        <v>-41.610476041688557</v>
      </c>
      <c r="BG313">
        <f t="shared" si="240"/>
        <v>-188.29485614445244</v>
      </c>
      <c r="BH313">
        <f t="shared" si="255"/>
        <v>-8.2948561444524387</v>
      </c>
      <c r="BI313">
        <f t="shared" si="256"/>
        <v>-8.2948561444524387</v>
      </c>
      <c r="BJ313">
        <f t="shared" si="241"/>
        <v>0</v>
      </c>
      <c r="BK313">
        <f t="shared" si="257"/>
        <v>0</v>
      </c>
      <c r="BM313">
        <f t="shared" si="258"/>
        <v>-56.079544413705982</v>
      </c>
      <c r="BN313">
        <f t="shared" si="242"/>
        <v>-111.78756984649721</v>
      </c>
      <c r="BQ313" s="47">
        <f t="shared" si="259"/>
        <v>31.371029172302563</v>
      </c>
      <c r="BR313" s="529"/>
      <c r="BS313" s="529"/>
      <c r="BT313" s="529">
        <v>107151.931</v>
      </c>
      <c r="BU313" s="529">
        <v>6.77081</v>
      </c>
      <c r="BV313" s="529">
        <v>-129.57599999999999</v>
      </c>
      <c r="BY313" s="529"/>
      <c r="BZ313" s="529"/>
      <c r="CA313" s="529"/>
      <c r="CC313" s="529"/>
    </row>
    <row r="314" spans="1:81">
      <c r="A314">
        <f t="shared" si="263"/>
        <v>500000</v>
      </c>
      <c r="B314">
        <f t="shared" si="243"/>
        <v>500</v>
      </c>
      <c r="C314">
        <f t="shared" si="212"/>
        <v>2.7049116071069261</v>
      </c>
      <c r="D314">
        <f t="shared" si="213"/>
        <v>1.1921125183465748</v>
      </c>
      <c r="F314">
        <f t="shared" si="214"/>
        <v>3.8265865562480794E-5</v>
      </c>
      <c r="G314">
        <f t="shared" si="215"/>
        <v>1.8650915998125908E-3</v>
      </c>
      <c r="H314">
        <f t="shared" si="216"/>
        <v>-3.1397275584001876</v>
      </c>
      <c r="J314">
        <f t="shared" si="217"/>
        <v>15</v>
      </c>
      <c r="M314">
        <f t="shared" si="218"/>
        <v>3.01195363597193E-3</v>
      </c>
      <c r="N314">
        <f t="shared" si="219"/>
        <v>-1.5707963250000001</v>
      </c>
      <c r="O314">
        <f t="shared" si="220"/>
        <v>243.63256228697051</v>
      </c>
      <c r="P314">
        <f t="shared" si="221"/>
        <v>1.56669177361649</v>
      </c>
      <c r="Q314">
        <f t="shared" si="222"/>
        <v>190.14186990811999</v>
      </c>
      <c r="R314">
        <f t="shared" si="223"/>
        <v>1.565537071637372</v>
      </c>
      <c r="S314">
        <f t="shared" si="224"/>
        <v>0.34954394040790404</v>
      </c>
      <c r="T314">
        <f t="shared" si="225"/>
        <v>-1.2137120320997474</v>
      </c>
      <c r="U314">
        <f t="shared" si="226"/>
        <v>0.23279071159340445</v>
      </c>
      <c r="V314">
        <f t="shared" si="227"/>
        <v>-1.3358500777582036</v>
      </c>
      <c r="X314">
        <f t="shared" si="244"/>
        <v>-35.07630641659577</v>
      </c>
      <c r="Y314">
        <f t="shared" si="228"/>
        <v>-168.2057771997863</v>
      </c>
      <c r="Z314">
        <f t="shared" si="245"/>
        <v>11.794222800213703</v>
      </c>
      <c r="AC314">
        <v>1</v>
      </c>
      <c r="AD314">
        <f t="shared" si="229"/>
        <v>243.63051000750002</v>
      </c>
      <c r="AE314">
        <f t="shared" si="230"/>
        <v>-6.2761801203535722E-2</v>
      </c>
      <c r="AF314">
        <f t="shared" si="231"/>
        <v>1.5023096052300003E-2</v>
      </c>
      <c r="AG314">
        <f t="shared" si="246"/>
        <v>863.75746198349111</v>
      </c>
      <c r="AH314">
        <f t="shared" si="247"/>
        <v>-3675.0729626484513</v>
      </c>
      <c r="AJ314">
        <f t="shared" si="232"/>
        <v>22100</v>
      </c>
      <c r="AK314">
        <f t="shared" si="233"/>
        <v>59236.991362458008</v>
      </c>
      <c r="AL314">
        <v>1</v>
      </c>
      <c r="AM314">
        <f t="shared" si="234"/>
        <v>190.13924027447999</v>
      </c>
      <c r="AN314">
        <f t="shared" si="248"/>
        <v>312.1479827434656</v>
      </c>
      <c r="AO314">
        <f t="shared" si="249"/>
        <v>-114.58892959603796</v>
      </c>
      <c r="AQ314">
        <f t="shared" si="235"/>
        <v>9.9999900000099992E-3</v>
      </c>
      <c r="AR314">
        <f t="shared" si="236"/>
        <v>-9.9999900000099995</v>
      </c>
      <c r="AT314">
        <f t="shared" si="261"/>
        <v>-36742.055309809366</v>
      </c>
      <c r="AU314">
        <f t="shared" si="262"/>
        <v>-8674.3166751447206</v>
      </c>
      <c r="AV314">
        <f t="shared" si="250"/>
        <v>-2.9097509580648397</v>
      </c>
      <c r="AW314">
        <f t="shared" si="251"/>
        <v>-2.8516481011782235</v>
      </c>
      <c r="AX314">
        <f t="shared" si="252"/>
        <v>-7208.3140875880981</v>
      </c>
      <c r="AY314">
        <f t="shared" si="260"/>
        <v>-1.5711919321913546</v>
      </c>
      <c r="BA314">
        <f t="shared" si="237"/>
        <v>5.2373015915027592</v>
      </c>
      <c r="BB314">
        <f t="shared" si="253"/>
        <v>14.382151671858697</v>
      </c>
      <c r="BC314">
        <f t="shared" si="254"/>
        <v>-1.3385590258734852</v>
      </c>
      <c r="BD314">
        <f t="shared" si="238"/>
        <v>-256.69378289932888</v>
      </c>
      <c r="BF314">
        <f t="shared" si="239"/>
        <v>-41.796730769024947</v>
      </c>
      <c r="BG314">
        <f t="shared" si="240"/>
        <v>-188.28390493811398</v>
      </c>
      <c r="BH314">
        <f t="shared" si="255"/>
        <v>-8.2839049381139773</v>
      </c>
      <c r="BI314">
        <f t="shared" si="256"/>
        <v>-8.2839049381139773</v>
      </c>
      <c r="BJ314">
        <f t="shared" si="241"/>
        <v>0</v>
      </c>
      <c r="BK314">
        <f t="shared" si="257"/>
        <v>0</v>
      </c>
      <c r="BM314">
        <f t="shared" si="258"/>
        <v>-56.17888244088364</v>
      </c>
      <c r="BN314">
        <f t="shared" si="242"/>
        <v>-111.59012203878511</v>
      </c>
      <c r="BQ314" s="47">
        <f t="shared" si="259"/>
        <v>31.284112472143836</v>
      </c>
      <c r="BR314" s="529"/>
      <c r="BS314" s="529"/>
      <c r="BT314" s="529">
        <v>109647.82</v>
      </c>
      <c r="BU314" s="529">
        <v>6.9849899999999998</v>
      </c>
      <c r="BV314" s="529">
        <v>-129.52799999999999</v>
      </c>
      <c r="BY314" s="529"/>
      <c r="BZ314" s="529"/>
      <c r="CA314" s="529"/>
      <c r="CC314" s="529"/>
    </row>
    <row r="315" spans="1:81">
      <c r="A315">
        <f t="shared" si="263"/>
        <v>505000</v>
      </c>
      <c r="B315">
        <f t="shared" si="243"/>
        <v>505</v>
      </c>
      <c r="C315">
        <f t="shared" si="212"/>
        <v>2.7282795665010648</v>
      </c>
      <c r="D315">
        <f t="shared" si="213"/>
        <v>1.1955181584464913</v>
      </c>
      <c r="F315">
        <f t="shared" si="214"/>
        <v>3.7511849331022119E-5</v>
      </c>
      <c r="G315">
        <f t="shared" si="215"/>
        <v>1.8466239711440139E-3</v>
      </c>
      <c r="H315">
        <f t="shared" si="216"/>
        <v>-3.1397460260288561</v>
      </c>
      <c r="J315">
        <f t="shared" si="217"/>
        <v>15</v>
      </c>
      <c r="M315">
        <f t="shared" si="218"/>
        <v>2.9821323128434948E-3</v>
      </c>
      <c r="N315">
        <f t="shared" si="219"/>
        <v>-1.5707963250000001</v>
      </c>
      <c r="O315">
        <f t="shared" si="220"/>
        <v>246.06884706761542</v>
      </c>
      <c r="P315">
        <f t="shared" si="221"/>
        <v>1.5667324123071869</v>
      </c>
      <c r="Q315">
        <f t="shared" si="222"/>
        <v>192.04323627524289</v>
      </c>
      <c r="R315">
        <f t="shared" si="223"/>
        <v>1.5655891425246364</v>
      </c>
      <c r="S315">
        <f t="shared" si="224"/>
        <v>0.34650045150998354</v>
      </c>
      <c r="T315">
        <f t="shared" si="225"/>
        <v>-1.2169584697351874</v>
      </c>
      <c r="U315">
        <f t="shared" si="226"/>
        <v>0.23060900658997174</v>
      </c>
      <c r="V315">
        <f t="shared" si="227"/>
        <v>-1.3380928141585167</v>
      </c>
      <c r="X315">
        <f t="shared" si="244"/>
        <v>-35.245775328549968</v>
      </c>
      <c r="Y315">
        <f t="shared" si="228"/>
        <v>-168.32090115055627</v>
      </c>
      <c r="Z315">
        <f t="shared" si="245"/>
        <v>11.679098849443733</v>
      </c>
      <c r="AC315">
        <v>1</v>
      </c>
      <c r="AD315">
        <f t="shared" si="229"/>
        <v>246.06681510757502</v>
      </c>
      <c r="AE315">
        <f t="shared" si="230"/>
        <v>-6.4023313407726781E-2</v>
      </c>
      <c r="AF315">
        <f t="shared" si="231"/>
        <v>1.5173327012823002E-2</v>
      </c>
      <c r="AG315">
        <f t="shared" si="246"/>
        <v>847.64312989381608</v>
      </c>
      <c r="AH315">
        <f t="shared" si="247"/>
        <v>-3642.5051484351716</v>
      </c>
      <c r="AJ315">
        <f t="shared" si="232"/>
        <v>22100</v>
      </c>
      <c r="AK315">
        <f t="shared" si="233"/>
        <v>59829.361276082585</v>
      </c>
      <c r="AL315">
        <v>1</v>
      </c>
      <c r="AM315">
        <f t="shared" si="234"/>
        <v>192.04063267722481</v>
      </c>
      <c r="AN315">
        <f t="shared" si="248"/>
        <v>312.13610832247093</v>
      </c>
      <c r="AO315">
        <f t="shared" si="249"/>
        <v>-113.45444757150852</v>
      </c>
      <c r="AQ315">
        <f t="shared" si="235"/>
        <v>9.8029508842751838E-3</v>
      </c>
      <c r="AR315">
        <f t="shared" si="236"/>
        <v>-9.900980393117937</v>
      </c>
      <c r="AT315">
        <f t="shared" si="261"/>
        <v>-36056.062652518034</v>
      </c>
      <c r="AU315">
        <f t="shared" si="262"/>
        <v>-8428.2053085056232</v>
      </c>
      <c r="AV315">
        <f t="shared" si="250"/>
        <v>-2.9119629567547518</v>
      </c>
      <c r="AW315">
        <f t="shared" si="251"/>
        <v>4.2093072016963617</v>
      </c>
      <c r="AX315">
        <f t="shared" si="252"/>
        <v>-7140.4625076759548</v>
      </c>
      <c r="AY315">
        <f t="shared" si="260"/>
        <v>-1.5702068262254898</v>
      </c>
      <c r="BA315">
        <f t="shared" si="237"/>
        <v>5.1856604498857166</v>
      </c>
      <c r="BB315">
        <f t="shared" si="253"/>
        <v>14.296081526843459</v>
      </c>
      <c r="BC315">
        <f t="shared" si="254"/>
        <v>-1.341756130529262</v>
      </c>
      <c r="BD315">
        <f t="shared" si="238"/>
        <v>-256.87696350297585</v>
      </c>
      <c r="BF315">
        <f t="shared" si="239"/>
        <v>-41.980946377413019</v>
      </c>
      <c r="BG315">
        <f t="shared" si="240"/>
        <v>-188.27301485445378</v>
      </c>
      <c r="BH315">
        <f t="shared" si="255"/>
        <v>-8.2730148544537769</v>
      </c>
      <c r="BI315">
        <f t="shared" si="256"/>
        <v>-8.2730148544537769</v>
      </c>
      <c r="BJ315">
        <f t="shared" si="241"/>
        <v>0</v>
      </c>
      <c r="BK315">
        <f t="shared" si="257"/>
        <v>0</v>
      </c>
      <c r="BM315">
        <f t="shared" si="258"/>
        <v>-56.277027904256478</v>
      </c>
      <c r="BN315">
        <f t="shared" si="242"/>
        <v>-111.39605135147792</v>
      </c>
      <c r="BQ315" s="47">
        <f t="shared" si="259"/>
        <v>31.198042327128594</v>
      </c>
      <c r="BR315" s="529"/>
      <c r="BS315" s="529"/>
      <c r="BT315" s="529">
        <v>112201.845</v>
      </c>
      <c r="BU315" s="529">
        <v>7.2120699999999998</v>
      </c>
      <c r="BV315" s="529">
        <v>-129.44300000000001</v>
      </c>
      <c r="BY315" s="529"/>
      <c r="BZ315" s="529"/>
      <c r="CA315" s="529"/>
      <c r="CC315" s="529"/>
    </row>
    <row r="316" spans="1:81">
      <c r="A316">
        <f t="shared" si="263"/>
        <v>510000</v>
      </c>
      <c r="B316">
        <f t="shared" si="243"/>
        <v>510</v>
      </c>
      <c r="C316">
        <f t="shared" si="212"/>
        <v>2.7516786318669464</v>
      </c>
      <c r="D316">
        <f t="shared" si="213"/>
        <v>1.1988659166945119</v>
      </c>
      <c r="F316">
        <f t="shared" si="214"/>
        <v>3.6779902214482019E-5</v>
      </c>
      <c r="G316">
        <f t="shared" si="215"/>
        <v>1.8285184926973824E-3</v>
      </c>
      <c r="H316">
        <f t="shared" si="216"/>
        <v>-3.1397641315073028</v>
      </c>
      <c r="J316">
        <f t="shared" si="217"/>
        <v>15</v>
      </c>
      <c r="M316">
        <f t="shared" si="218"/>
        <v>2.9528957215411082E-3</v>
      </c>
      <c r="N316">
        <f t="shared" si="219"/>
        <v>-1.5707963250000001</v>
      </c>
      <c r="O316">
        <f t="shared" si="220"/>
        <v>248.50513224667566</v>
      </c>
      <c r="P316">
        <f t="shared" si="221"/>
        <v>1.5667722541738429</v>
      </c>
      <c r="Q316">
        <f t="shared" si="222"/>
        <v>193.94460315285792</v>
      </c>
      <c r="R316">
        <f t="shared" si="223"/>
        <v>1.5656401924415257</v>
      </c>
      <c r="S316">
        <f t="shared" si="224"/>
        <v>0.34350597751404233</v>
      </c>
      <c r="T316">
        <f t="shared" si="225"/>
        <v>-1.2201488287641806</v>
      </c>
      <c r="U316">
        <f t="shared" si="226"/>
        <v>0.22846669824823751</v>
      </c>
      <c r="V316">
        <f t="shared" si="227"/>
        <v>-1.3402938923763907</v>
      </c>
      <c r="X316">
        <f t="shared" si="244"/>
        <v>-35.413641660254164</v>
      </c>
      <c r="Y316">
        <f t="shared" si="228"/>
        <v>-168.43382498391026</v>
      </c>
      <c r="Z316">
        <f t="shared" si="245"/>
        <v>11.566175016089744</v>
      </c>
      <c r="AC316">
        <v>1</v>
      </c>
      <c r="AD316">
        <f t="shared" si="229"/>
        <v>248.50312020765003</v>
      </c>
      <c r="AE316">
        <f t="shared" si="230"/>
        <v>-6.5297377972158552E-2</v>
      </c>
      <c r="AF316">
        <f t="shared" si="231"/>
        <v>1.5323557973346001E-2</v>
      </c>
      <c r="AG316">
        <f t="shared" si="246"/>
        <v>831.96743488701873</v>
      </c>
      <c r="AH316">
        <f t="shared" si="247"/>
        <v>-3610.4729823568664</v>
      </c>
      <c r="AJ316">
        <f t="shared" si="232"/>
        <v>22100</v>
      </c>
      <c r="AK316">
        <f t="shared" si="233"/>
        <v>60421.731189707163</v>
      </c>
      <c r="AL316">
        <v>1</v>
      </c>
      <c r="AM316">
        <f t="shared" si="234"/>
        <v>193.9420250799696</v>
      </c>
      <c r="AN316">
        <f t="shared" si="248"/>
        <v>312.12458142193458</v>
      </c>
      <c r="AO316">
        <f t="shared" si="249"/>
        <v>-112.34220850068006</v>
      </c>
      <c r="AQ316">
        <f t="shared" si="235"/>
        <v>9.6116785739344731E-3</v>
      </c>
      <c r="AR316">
        <f t="shared" si="236"/>
        <v>-9.8039121454131628</v>
      </c>
      <c r="AT316">
        <f t="shared" si="261"/>
        <v>-35388.763318846453</v>
      </c>
      <c r="AU316">
        <f t="shared" si="262"/>
        <v>-8191.2383452833665</v>
      </c>
      <c r="AV316">
        <f t="shared" si="250"/>
        <v>-2.9141338999495856</v>
      </c>
      <c r="AW316">
        <f t="shared" si="251"/>
        <v>11.032043546399835</v>
      </c>
      <c r="AX316">
        <f t="shared" si="252"/>
        <v>-7073.8468154007733</v>
      </c>
      <c r="AY316">
        <f t="shared" si="260"/>
        <v>-1.569236774419756</v>
      </c>
      <c r="BA316">
        <f t="shared" si="237"/>
        <v>5.1350194457052556</v>
      </c>
      <c r="BB316">
        <f t="shared" si="253"/>
        <v>14.210841851154738</v>
      </c>
      <c r="BC316">
        <f t="shared" si="254"/>
        <v>-1.3448971255298297</v>
      </c>
      <c r="BD316">
        <f t="shared" si="238"/>
        <v>-257.05692926018571</v>
      </c>
      <c r="BF316">
        <f t="shared" si="239"/>
        <v>-42.163167335790064</v>
      </c>
      <c r="BG316">
        <f t="shared" si="240"/>
        <v>-188.26220556050501</v>
      </c>
      <c r="BH316">
        <f t="shared" si="255"/>
        <v>-8.2622055605050093</v>
      </c>
      <c r="BI316">
        <f t="shared" si="256"/>
        <v>-8.2622055605050093</v>
      </c>
      <c r="BJ316">
        <f t="shared" si="241"/>
        <v>0</v>
      </c>
      <c r="BK316">
        <f t="shared" si="257"/>
        <v>0</v>
      </c>
      <c r="BM316">
        <f t="shared" si="258"/>
        <v>-56.374009186944804</v>
      </c>
      <c r="BN316">
        <f t="shared" si="242"/>
        <v>-111.2052763003193</v>
      </c>
      <c r="BQ316" s="47">
        <f t="shared" si="259"/>
        <v>31.112802651439875</v>
      </c>
      <c r="BR316" s="529"/>
      <c r="BS316" s="529"/>
      <c r="BT316" s="529">
        <v>114815.36199999999</v>
      </c>
      <c r="BU316" s="529">
        <v>7.47248</v>
      </c>
      <c r="BV316" s="529">
        <v>-129.58500000000001</v>
      </c>
      <c r="BY316" s="529"/>
      <c r="BZ316" s="529"/>
      <c r="CA316" s="529"/>
      <c r="CC316" s="529"/>
    </row>
    <row r="317" spans="1:81">
      <c r="A317">
        <f t="shared" si="263"/>
        <v>515000</v>
      </c>
      <c r="B317">
        <f t="shared" si="243"/>
        <v>515</v>
      </c>
      <c r="C317">
        <f t="shared" si="212"/>
        <v>2.7751080163697264</v>
      </c>
      <c r="D317">
        <f t="shared" si="213"/>
        <v>1.2021571831233695</v>
      </c>
      <c r="F317">
        <f t="shared" si="214"/>
        <v>3.6069171283678379E-5</v>
      </c>
      <c r="G317">
        <f t="shared" si="215"/>
        <v>1.8107646148825816E-3</v>
      </c>
      <c r="H317">
        <f t="shared" si="216"/>
        <v>-3.1397818853851178</v>
      </c>
      <c r="J317">
        <f t="shared" si="217"/>
        <v>15</v>
      </c>
      <c r="M317">
        <f t="shared" si="218"/>
        <v>2.9242268310407087E-3</v>
      </c>
      <c r="N317">
        <f t="shared" si="219"/>
        <v>-1.5707963250000001</v>
      </c>
      <c r="O317">
        <f t="shared" si="220"/>
        <v>250.94141781254706</v>
      </c>
      <c r="P317">
        <f t="shared" si="221"/>
        <v>1.5668113224244269</v>
      </c>
      <c r="Q317">
        <f t="shared" si="222"/>
        <v>195.84597052609672</v>
      </c>
      <c r="R317">
        <f t="shared" si="223"/>
        <v>1.5656902511239921</v>
      </c>
      <c r="S317">
        <f t="shared" si="224"/>
        <v>0.34055943911242786</v>
      </c>
      <c r="T317">
        <f t="shared" si="225"/>
        <v>-1.2232844864930053</v>
      </c>
      <c r="U317">
        <f t="shared" si="226"/>
        <v>0.22636276014879117</v>
      </c>
      <c r="V317">
        <f t="shared" si="227"/>
        <v>-1.3424544416688473</v>
      </c>
      <c r="X317">
        <f t="shared" si="244"/>
        <v>-35.579934729790665</v>
      </c>
      <c r="Y317">
        <f t="shared" si="228"/>
        <v>-168.54461024332127</v>
      </c>
      <c r="Z317">
        <f t="shared" si="245"/>
        <v>11.455389756678727</v>
      </c>
      <c r="AC317">
        <v>1</v>
      </c>
      <c r="AD317">
        <f t="shared" si="229"/>
        <v>250.93942530772503</v>
      </c>
      <c r="AE317">
        <f t="shared" si="230"/>
        <v>-6.6583994896831034E-2</v>
      </c>
      <c r="AF317">
        <f t="shared" si="231"/>
        <v>1.5473788933869002E-2</v>
      </c>
      <c r="AG317">
        <f t="shared" si="246"/>
        <v>816.71489884154346</v>
      </c>
      <c r="AH317">
        <f t="shared" si="247"/>
        <v>-3578.96446004994</v>
      </c>
      <c r="AJ317">
        <f t="shared" si="232"/>
        <v>22100</v>
      </c>
      <c r="AK317">
        <f t="shared" si="233"/>
        <v>61014.101103331741</v>
      </c>
      <c r="AL317">
        <v>1</v>
      </c>
      <c r="AM317">
        <f t="shared" si="234"/>
        <v>195.84341748271441</v>
      </c>
      <c r="AN317">
        <f t="shared" si="248"/>
        <v>312.11338861223612</v>
      </c>
      <c r="AO317">
        <f t="shared" si="249"/>
        <v>-111.25156459910536</v>
      </c>
      <c r="AQ317">
        <f t="shared" si="235"/>
        <v>9.4259502064754398E-3</v>
      </c>
      <c r="AR317">
        <f t="shared" si="236"/>
        <v>-9.7087287126697017</v>
      </c>
      <c r="AT317">
        <f t="shared" si="261"/>
        <v>-34739.496700941898</v>
      </c>
      <c r="AU317">
        <f t="shared" si="262"/>
        <v>-7962.9985292391993</v>
      </c>
      <c r="AV317">
        <f t="shared" si="250"/>
        <v>-2.916264899352853</v>
      </c>
      <c r="AW317">
        <f t="shared" si="251"/>
        <v>17.627176808249676</v>
      </c>
      <c r="AX317">
        <f t="shared" si="252"/>
        <v>-7008.4343040444928</v>
      </c>
      <c r="AY317">
        <f t="shared" si="260"/>
        <v>-1.568281194473707</v>
      </c>
      <c r="BA317">
        <f t="shared" si="237"/>
        <v>5.0853500139285437</v>
      </c>
      <c r="BB317">
        <f t="shared" si="253"/>
        <v>14.126416997235847</v>
      </c>
      <c r="BC317">
        <f t="shared" si="254"/>
        <v>-1.3479837048791461</v>
      </c>
      <c r="BD317">
        <f t="shared" si="238"/>
        <v>-257.23377723023583</v>
      </c>
      <c r="BF317">
        <f t="shared" si="239"/>
        <v>-42.34343669856738</v>
      </c>
      <c r="BG317">
        <f t="shared" si="240"/>
        <v>-188.25149507698296</v>
      </c>
      <c r="BH317">
        <f t="shared" si="255"/>
        <v>-8.2514950769829625</v>
      </c>
      <c r="BI317">
        <f t="shared" si="256"/>
        <v>-8.2514950769829625</v>
      </c>
      <c r="BJ317">
        <f t="shared" si="241"/>
        <v>0</v>
      </c>
      <c r="BK317">
        <f t="shared" si="257"/>
        <v>0</v>
      </c>
      <c r="BM317">
        <f t="shared" si="258"/>
        <v>-56.469853695803224</v>
      </c>
      <c r="BN317">
        <f t="shared" si="242"/>
        <v>-111.01771784674715</v>
      </c>
      <c r="BQ317" s="47">
        <f t="shared" si="259"/>
        <v>31.028377797520982</v>
      </c>
      <c r="BR317" s="529"/>
      <c r="BS317" s="529"/>
      <c r="BT317" s="529">
        <v>117489.755</v>
      </c>
      <c r="BU317" s="529">
        <v>7.6753600000000004</v>
      </c>
      <c r="BV317" s="529">
        <v>-129.61699999999999</v>
      </c>
      <c r="BY317" s="529"/>
      <c r="BZ317" s="529"/>
      <c r="CA317" s="529"/>
      <c r="CC317" s="529"/>
    </row>
    <row r="318" spans="1:81">
      <c r="A318">
        <f t="shared" si="263"/>
        <v>520000</v>
      </c>
      <c r="B318">
        <f t="shared" si="243"/>
        <v>520</v>
      </c>
      <c r="C318">
        <f t="shared" si="212"/>
        <v>2.7985669585211528</v>
      </c>
      <c r="D318">
        <f t="shared" si="213"/>
        <v>1.2053933061445425</v>
      </c>
      <c r="F318">
        <f t="shared" si="214"/>
        <v>3.5378844420373156E-5</v>
      </c>
      <c r="G318">
        <f t="shared" si="215"/>
        <v>1.7933521939352479E-3</v>
      </c>
      <c r="H318">
        <f t="shared" si="216"/>
        <v>-3.1397992978060651</v>
      </c>
      <c r="J318">
        <f t="shared" si="217"/>
        <v>15</v>
      </c>
      <c r="M318">
        <f t="shared" si="218"/>
        <v>2.8961092653576252E-3</v>
      </c>
      <c r="N318">
        <f t="shared" si="219"/>
        <v>-1.5707963250000001</v>
      </c>
      <c r="O318">
        <f t="shared" si="220"/>
        <v>253.37770375407177</v>
      </c>
      <c r="P318">
        <f t="shared" si="221"/>
        <v>1.5668496393743165</v>
      </c>
      <c r="Q318">
        <f t="shared" si="222"/>
        <v>197.74733838066291</v>
      </c>
      <c r="R318">
        <f t="shared" si="223"/>
        <v>1.5657393471643464</v>
      </c>
      <c r="S318">
        <f t="shared" si="224"/>
        <v>0.3376597849016918</v>
      </c>
      <c r="T318">
        <f t="shared" si="225"/>
        <v>-1.2263667777047811</v>
      </c>
      <c r="U318">
        <f t="shared" si="226"/>
        <v>0.2242962000549886</v>
      </c>
      <c r="V318">
        <f t="shared" si="227"/>
        <v>-1.3445755516004321</v>
      </c>
      <c r="X318">
        <f t="shared" si="244"/>
        <v>-35.744683079095985</v>
      </c>
      <c r="Y318">
        <f t="shared" si="228"/>
        <v>-168.653316239791</v>
      </c>
      <c r="Z318">
        <f t="shared" si="245"/>
        <v>11.346683760209004</v>
      </c>
      <c r="AC318">
        <v>1</v>
      </c>
      <c r="AD318">
        <f t="shared" si="229"/>
        <v>253.37573040780001</v>
      </c>
      <c r="AE318">
        <f t="shared" si="230"/>
        <v>-6.7883164181744227E-2</v>
      </c>
      <c r="AF318">
        <f t="shared" si="231"/>
        <v>1.5624019894392001E-2</v>
      </c>
      <c r="AG318">
        <f t="shared" si="246"/>
        <v>801.87070675488451</v>
      </c>
      <c r="AH318">
        <f t="shared" si="247"/>
        <v>-3547.9678862333053</v>
      </c>
      <c r="AJ318">
        <f t="shared" si="232"/>
        <v>22100</v>
      </c>
      <c r="AK318">
        <f t="shared" si="233"/>
        <v>61606.471016956319</v>
      </c>
      <c r="AL318">
        <v>1</v>
      </c>
      <c r="AM318">
        <f t="shared" si="234"/>
        <v>197.7448098854592</v>
      </c>
      <c r="AN318">
        <f t="shared" si="248"/>
        <v>312.10251710625766</v>
      </c>
      <c r="AO318">
        <f t="shared" si="249"/>
        <v>-110.1818929938746</v>
      </c>
      <c r="AQ318">
        <f t="shared" si="235"/>
        <v>9.2455535821435071E-3</v>
      </c>
      <c r="AR318">
        <f t="shared" si="236"/>
        <v>-9.6153757254292476</v>
      </c>
      <c r="AT318">
        <f t="shared" si="261"/>
        <v>-34107.630549304988</v>
      </c>
      <c r="AU318">
        <f t="shared" si="262"/>
        <v>-7743.091055863606</v>
      </c>
      <c r="AV318">
        <f t="shared" si="250"/>
        <v>-2.918357027650702</v>
      </c>
      <c r="AW318">
        <f t="shared" si="251"/>
        <v>24.004740874142207</v>
      </c>
      <c r="AX318">
        <f t="shared" si="252"/>
        <v>-6944.1933860107392</v>
      </c>
      <c r="AY318">
        <f t="shared" si="260"/>
        <v>-1.5673395329060413</v>
      </c>
      <c r="BA318">
        <f t="shared" si="237"/>
        <v>5.0366246545511348</v>
      </c>
      <c r="BB318">
        <f t="shared" si="253"/>
        <v>14.042791740874176</v>
      </c>
      <c r="BC318">
        <f t="shared" si="254"/>
        <v>-1.3510174947446607</v>
      </c>
      <c r="BD318">
        <f t="shared" si="238"/>
        <v>-257.40760058565803</v>
      </c>
      <c r="BF318">
        <f t="shared" si="239"/>
        <v>-42.521796163262266</v>
      </c>
      <c r="BG318">
        <f t="shared" si="240"/>
        <v>-188.24089989932747</v>
      </c>
      <c r="BH318">
        <f t="shared" si="255"/>
        <v>-8.2408998993274736</v>
      </c>
      <c r="BI318">
        <f t="shared" si="256"/>
        <v>-8.2408998993274736</v>
      </c>
      <c r="BJ318">
        <f t="shared" si="241"/>
        <v>0</v>
      </c>
      <c r="BK318">
        <f t="shared" si="257"/>
        <v>0</v>
      </c>
      <c r="BM318">
        <f t="shared" si="258"/>
        <v>-56.564587904136438</v>
      </c>
      <c r="BN318">
        <f t="shared" si="242"/>
        <v>-110.83329931366947</v>
      </c>
      <c r="BQ318" s="47">
        <f t="shared" si="259"/>
        <v>30.944752541159314</v>
      </c>
      <c r="BR318" s="529"/>
      <c r="BS318" s="529"/>
      <c r="BT318" s="529">
        <v>120226.443</v>
      </c>
      <c r="BU318" s="529">
        <v>7.9446199999999996</v>
      </c>
      <c r="BV318" s="529">
        <v>-129.863</v>
      </c>
      <c r="BY318" s="529"/>
      <c r="BZ318" s="529"/>
      <c r="CA318" s="529"/>
      <c r="CC318" s="529"/>
    </row>
    <row r="319" spans="1:81">
      <c r="A319">
        <f t="shared" si="263"/>
        <v>525000</v>
      </c>
      <c r="B319">
        <f t="shared" si="243"/>
        <v>525</v>
      </c>
      <c r="C319">
        <f t="shared" si="212"/>
        <v>2.8220547212082208</v>
      </c>
      <c r="D319">
        <f t="shared" si="213"/>
        <v>1.2085755939837326</v>
      </c>
      <c r="F319">
        <f t="shared" si="214"/>
        <v>3.4708147996209628E-5</v>
      </c>
      <c r="G319">
        <f t="shared" si="215"/>
        <v>1.7762714725876616E-3</v>
      </c>
      <c r="H319">
        <f t="shared" si="216"/>
        <v>-3.1398163785274127</v>
      </c>
      <c r="J319">
        <f t="shared" si="217"/>
        <v>15</v>
      </c>
      <c r="M319">
        <f t="shared" si="218"/>
        <v>2.8685272723542195E-3</v>
      </c>
      <c r="N319">
        <f t="shared" si="219"/>
        <v>-1.5707963250000001</v>
      </c>
      <c r="O319">
        <f t="shared" si="220"/>
        <v>255.81399006051706</v>
      </c>
      <c r="P319">
        <f t="shared" si="221"/>
        <v>1.5668872264888025</v>
      </c>
      <c r="Q319">
        <f t="shared" si="222"/>
        <v>199.6487067028045</v>
      </c>
      <c r="R319">
        <f t="shared" si="223"/>
        <v>1.5657875080657158</v>
      </c>
      <c r="S319">
        <f t="shared" si="224"/>
        <v>0.33480599066125016</v>
      </c>
      <c r="T319">
        <f t="shared" si="225"/>
        <v>-1.2293969961906037</v>
      </c>
      <c r="U319">
        <f t="shared" si="226"/>
        <v>0.22226605855677758</v>
      </c>
      <c r="V319">
        <f t="shared" si="227"/>
        <v>-1.3466582737375405</v>
      </c>
      <c r="X319">
        <f t="shared" si="244"/>
        <v>-35.907914500309289</v>
      </c>
      <c r="Y319">
        <f t="shared" si="228"/>
        <v>-168.76000014996058</v>
      </c>
      <c r="Z319">
        <f t="shared" si="245"/>
        <v>11.239999850039425</v>
      </c>
      <c r="AC319">
        <v>1</v>
      </c>
      <c r="AD319">
        <f t="shared" si="229"/>
        <v>255.81203550787501</v>
      </c>
      <c r="AE319">
        <f t="shared" si="230"/>
        <v>-6.9194885826898131E-2</v>
      </c>
      <c r="AF319">
        <f t="shared" si="231"/>
        <v>1.5774250854915003E-2</v>
      </c>
      <c r="AG319">
        <f t="shared" si="246"/>
        <v>787.42067368632468</v>
      </c>
      <c r="AH319">
        <f t="shared" si="247"/>
        <v>-3517.4718675261884</v>
      </c>
      <c r="AJ319">
        <f t="shared" si="232"/>
        <v>22100</v>
      </c>
      <c r="AK319">
        <f t="shared" si="233"/>
        <v>62198.840930580896</v>
      </c>
      <c r="AL319">
        <v>1</v>
      </c>
      <c r="AM319">
        <f t="shared" si="234"/>
        <v>199.64620228820402</v>
      </c>
      <c r="AN319">
        <f t="shared" si="248"/>
        <v>312.09195472284654</v>
      </c>
      <c r="AO319">
        <f t="shared" si="249"/>
        <v>-109.13259453753444</v>
      </c>
      <c r="AQ319">
        <f t="shared" si="235"/>
        <v>9.0702865575632129E-3</v>
      </c>
      <c r="AR319">
        <f t="shared" si="236"/>
        <v>-9.5238008854413732</v>
      </c>
      <c r="AT319">
        <f t="shared" si="261"/>
        <v>-33492.559555309352</v>
      </c>
      <c r="AU319">
        <f t="shared" si="262"/>
        <v>-7531.1421870652903</v>
      </c>
      <c r="AV319">
        <f t="shared" si="250"/>
        <v>-2.9204113201740962</v>
      </c>
      <c r="AW319">
        <f t="shared" si="251"/>
        <v>30.17422519147636</v>
      </c>
      <c r="AX319">
        <f t="shared" si="252"/>
        <v>-6881.0935463371816</v>
      </c>
      <c r="AY319">
        <f t="shared" si="260"/>
        <v>-1.5664112633477121</v>
      </c>
      <c r="BA319">
        <f t="shared" si="237"/>
        <v>4.9888168842119658</v>
      </c>
      <c r="BB319">
        <f t="shared" si="253"/>
        <v>13.959951266854233</v>
      </c>
      <c r="BC319">
        <f t="shared" si="254"/>
        <v>-1.3540000568263841</v>
      </c>
      <c r="BD319">
        <f t="shared" si="238"/>
        <v>-257.57848880527177</v>
      </c>
      <c r="BF319">
        <f t="shared" si="239"/>
        <v>-42.69828612533442</v>
      </c>
      <c r="BG319">
        <f t="shared" si="240"/>
        <v>-188.23043510959687</v>
      </c>
      <c r="BH319">
        <f t="shared" si="255"/>
        <v>-8.2304351095968684</v>
      </c>
      <c r="BI319">
        <f t="shared" si="256"/>
        <v>-8.2304351095968684</v>
      </c>
      <c r="BJ319">
        <f t="shared" si="241"/>
        <v>0</v>
      </c>
      <c r="BK319">
        <f t="shared" si="257"/>
        <v>0</v>
      </c>
      <c r="BM319">
        <f t="shared" si="258"/>
        <v>-56.658237392188653</v>
      </c>
      <c r="BN319">
        <f t="shared" si="242"/>
        <v>-110.65194630432509</v>
      </c>
      <c r="BQ319" s="47">
        <f t="shared" si="259"/>
        <v>30.861912067139372</v>
      </c>
      <c r="BR319" s="529"/>
      <c r="BS319" s="529"/>
      <c r="BT319" s="529">
        <v>123026.87699999999</v>
      </c>
      <c r="BU319" s="529">
        <v>8.1865900000000007</v>
      </c>
      <c r="BV319" s="529">
        <v>-130.31299999999999</v>
      </c>
      <c r="BY319" s="529"/>
      <c r="BZ319" s="529"/>
      <c r="CA319" s="529"/>
      <c r="CC319" s="529"/>
    </row>
    <row r="320" spans="1:81">
      <c r="A320">
        <f t="shared" si="263"/>
        <v>530000</v>
      </c>
      <c r="B320">
        <f t="shared" si="243"/>
        <v>530</v>
      </c>
      <c r="C320">
        <f t="shared" si="212"/>
        <v>2.8455705907640616</v>
      </c>
      <c r="D320">
        <f t="shared" si="213"/>
        <v>1.2117053160632616</v>
      </c>
      <c r="F320">
        <f t="shared" si="214"/>
        <v>3.4056344704212318E-5</v>
      </c>
      <c r="G320">
        <f t="shared" si="215"/>
        <v>1.7595130618340033E-3</v>
      </c>
      <c r="H320">
        <f t="shared" si="216"/>
        <v>-3.139833136938166</v>
      </c>
      <c r="J320">
        <f t="shared" si="217"/>
        <v>15</v>
      </c>
      <c r="M320">
        <f t="shared" si="218"/>
        <v>2.8414656943131418E-3</v>
      </c>
      <c r="N320">
        <f t="shared" si="219"/>
        <v>-1.5707963250000001</v>
      </c>
      <c r="O320">
        <f t="shared" si="220"/>
        <v>258.25027672155505</v>
      </c>
      <c r="P320">
        <f t="shared" si="221"/>
        <v>1.5669241044231845</v>
      </c>
      <c r="Q320">
        <f t="shared" si="222"/>
        <v>201.55007547928867</v>
      </c>
      <c r="R320">
        <f t="shared" si="223"/>
        <v>1.5658347602934166</v>
      </c>
      <c r="S320">
        <f t="shared" si="224"/>
        <v>0.33199705864299484</v>
      </c>
      <c r="T320">
        <f t="shared" si="225"/>
        <v>-1.2323763962202079</v>
      </c>
      <c r="U320">
        <f t="shared" si="226"/>
        <v>0.22027140777541682</v>
      </c>
      <c r="V320">
        <f t="shared" si="227"/>
        <v>-1.3487036232585636</v>
      </c>
      <c r="X320">
        <f t="shared" si="244"/>
        <v>-36.069656061049244</v>
      </c>
      <c r="Y320">
        <f t="shared" si="228"/>
        <v>-168.86471710922592</v>
      </c>
      <c r="Z320">
        <f t="shared" si="245"/>
        <v>11.135282890774079</v>
      </c>
      <c r="AC320">
        <v>1</v>
      </c>
      <c r="AD320">
        <f t="shared" si="229"/>
        <v>258.24834060795001</v>
      </c>
      <c r="AE320">
        <f t="shared" si="230"/>
        <v>-7.0519159832292733E-2</v>
      </c>
      <c r="AF320">
        <f t="shared" si="231"/>
        <v>1.5924481815438003E-2</v>
      </c>
      <c r="AG320">
        <f t="shared" si="246"/>
        <v>773.35121355901492</v>
      </c>
      <c r="AH320">
        <f t="shared" si="247"/>
        <v>-3487.4653052525846</v>
      </c>
      <c r="AJ320">
        <f t="shared" si="232"/>
        <v>22100</v>
      </c>
      <c r="AK320">
        <f t="shared" si="233"/>
        <v>62791.210844205489</v>
      </c>
      <c r="AL320">
        <v>1</v>
      </c>
      <c r="AM320">
        <f t="shared" si="234"/>
        <v>201.54759469094878</v>
      </c>
      <c r="AN320">
        <f t="shared" si="248"/>
        <v>312.08168985268134</v>
      </c>
      <c r="AO320">
        <f t="shared" si="249"/>
        <v>-108.10309268913237</v>
      </c>
      <c r="AQ320">
        <f t="shared" si="235"/>
        <v>8.8999564792128158E-3</v>
      </c>
      <c r="AR320">
        <f t="shared" si="236"/>
        <v>-9.4339538679655863</v>
      </c>
      <c r="AT320">
        <f t="shared" si="261"/>
        <v>-32893.704013739582</v>
      </c>
      <c r="AU320">
        <f t="shared" si="262"/>
        <v>-7326.7979618904619</v>
      </c>
      <c r="AV320">
        <f t="shared" si="250"/>
        <v>-2.9224287764786299</v>
      </c>
      <c r="AW320">
        <f t="shared" si="251"/>
        <v>36.144609549537094</v>
      </c>
      <c r="AX320">
        <f t="shared" si="252"/>
        <v>-6819.1052984640555</v>
      </c>
      <c r="AY320">
        <f t="shared" si="260"/>
        <v>-1.565495884951509</v>
      </c>
      <c r="BA320">
        <f t="shared" si="237"/>
        <v>4.941901190364054</v>
      </c>
      <c r="BB320">
        <f t="shared" si="253"/>
        <v>13.877881155159136</v>
      </c>
      <c r="BC320">
        <f t="shared" si="254"/>
        <v>-1.3569328915271208</v>
      </c>
      <c r="BD320">
        <f t="shared" si="238"/>
        <v>-257.74652785582555</v>
      </c>
      <c r="BF320">
        <f t="shared" si="239"/>
        <v>-42.872945730380692</v>
      </c>
      <c r="BG320">
        <f t="shared" si="240"/>
        <v>-188.22011447994839</v>
      </c>
      <c r="BH320">
        <f t="shared" si="255"/>
        <v>-8.2201144799483927</v>
      </c>
      <c r="BI320">
        <f t="shared" si="256"/>
        <v>-8.2201144799483927</v>
      </c>
      <c r="BJ320">
        <f t="shared" si="241"/>
        <v>0</v>
      </c>
      <c r="BK320">
        <f t="shared" si="257"/>
        <v>0</v>
      </c>
      <c r="BM320">
        <f t="shared" si="258"/>
        <v>-56.750826885539837</v>
      </c>
      <c r="BN320">
        <f t="shared" si="242"/>
        <v>-110.47358662412289</v>
      </c>
      <c r="BQ320" s="47">
        <f t="shared" si="259"/>
        <v>30.779841955444272</v>
      </c>
      <c r="BR320" s="529"/>
      <c r="BS320" s="529"/>
      <c r="BT320" s="529">
        <v>125892.541</v>
      </c>
      <c r="BU320" s="529">
        <v>8.4445800000000002</v>
      </c>
      <c r="BV320" s="529">
        <v>-130.77099999999999</v>
      </c>
      <c r="BY320" s="529"/>
      <c r="BZ320" s="529"/>
      <c r="CA320" s="529"/>
      <c r="CC320" s="529"/>
    </row>
    <row r="321" spans="1:81">
      <c r="A321">
        <f t="shared" si="263"/>
        <v>535000</v>
      </c>
      <c r="B321">
        <f t="shared" si="243"/>
        <v>535</v>
      </c>
      <c r="C321">
        <f t="shared" si="212"/>
        <v>2.8691138760790769</v>
      </c>
      <c r="D321">
        <f t="shared" si="213"/>
        <v>1.2147837043332861</v>
      </c>
      <c r="F321">
        <f t="shared" si="214"/>
        <v>3.342273153149567E-5</v>
      </c>
      <c r="G321">
        <f t="shared" si="215"/>
        <v>1.7430679237183662E-3</v>
      </c>
      <c r="H321">
        <f t="shared" si="216"/>
        <v>-3.1398495820762817</v>
      </c>
      <c r="J321">
        <f t="shared" si="217"/>
        <v>15</v>
      </c>
      <c r="M321">
        <f t="shared" si="218"/>
        <v>2.8149099401606824E-3</v>
      </c>
      <c r="N321">
        <f t="shared" si="219"/>
        <v>-1.5707963250000001</v>
      </c>
      <c r="O321">
        <f t="shared" si="220"/>
        <v>260.68656372724416</v>
      </c>
      <c r="P321">
        <f t="shared" si="221"/>
        <v>1.5669602930606212</v>
      </c>
      <c r="Q321">
        <f t="shared" si="222"/>
        <v>203.4514446973771</v>
      </c>
      <c r="R321">
        <f t="shared" si="223"/>
        <v>1.5658811293234483</v>
      </c>
      <c r="S321">
        <f t="shared" si="224"/>
        <v>0.32923201687270109</v>
      </c>
      <c r="T321">
        <f t="shared" si="225"/>
        <v>-1.2353061939545928</v>
      </c>
      <c r="U321">
        <f t="shared" si="226"/>
        <v>0.21831135012613997</v>
      </c>
      <c r="V321">
        <f t="shared" si="227"/>
        <v>-1.3507125804845717</v>
      </c>
      <c r="X321">
        <f t="shared" si="244"/>
        <v>-36.22993412866915</v>
      </c>
      <c r="Y321">
        <f t="shared" si="228"/>
        <v>-168.96752030014338</v>
      </c>
      <c r="Z321">
        <f t="shared" si="245"/>
        <v>11.032479699856623</v>
      </c>
      <c r="AC321">
        <v>1</v>
      </c>
      <c r="AD321">
        <f t="shared" si="229"/>
        <v>260.68464570802502</v>
      </c>
      <c r="AE321">
        <f t="shared" si="230"/>
        <v>-7.1855986197928046E-2</v>
      </c>
      <c r="AF321">
        <f t="shared" si="231"/>
        <v>1.6074712775961002E-2</v>
      </c>
      <c r="AG321">
        <f t="shared" si="246"/>
        <v>759.64930970628632</v>
      </c>
      <c r="AH321">
        <f t="shared" si="247"/>
        <v>-3457.9373882590189</v>
      </c>
      <c r="AJ321">
        <f t="shared" si="232"/>
        <v>22100</v>
      </c>
      <c r="AK321">
        <f t="shared" si="233"/>
        <v>63383.580757830066</v>
      </c>
      <c r="AL321">
        <v>1</v>
      </c>
      <c r="AM321">
        <f t="shared" si="234"/>
        <v>203.4489870936936</v>
      </c>
      <c r="AN321">
        <f t="shared" si="248"/>
        <v>312.07171142635832</v>
      </c>
      <c r="AO321">
        <f t="shared" si="249"/>
        <v>-107.09283245799463</v>
      </c>
      <c r="AQ321">
        <f t="shared" si="235"/>
        <v>8.7343796537866589E-3</v>
      </c>
      <c r="AR321">
        <f t="shared" si="236"/>
        <v>-9.3457862295517256</v>
      </c>
      <c r="AT321">
        <f t="shared" si="261"/>
        <v>-32310.508560368486</v>
      </c>
      <c r="AU321">
        <f t="shared" si="262"/>
        <v>-7129.722995909563</v>
      </c>
      <c r="AV321">
        <f t="shared" si="250"/>
        <v>-2.9244103618465904</v>
      </c>
      <c r="AW321">
        <f t="shared" si="251"/>
        <v>41.92439632152437</v>
      </c>
      <c r="AX321">
        <f t="shared" si="252"/>
        <v>-6758.2001421339392</v>
      </c>
      <c r="AY321">
        <f t="shared" si="260"/>
        <v>-1.5645929209091864</v>
      </c>
      <c r="BA321">
        <f t="shared" si="237"/>
        <v>4.8958529878497163</v>
      </c>
      <c r="BB321">
        <f t="shared" si="253"/>
        <v>13.796567367700177</v>
      </c>
      <c r="BC321">
        <f t="shared" si="254"/>
        <v>-1.359817440937404</v>
      </c>
      <c r="BD321">
        <f t="shared" si="238"/>
        <v>-257.91180036302057</v>
      </c>
      <c r="BF321">
        <f t="shared" si="239"/>
        <v>-43.04581292383255</v>
      </c>
      <c r="BG321">
        <f t="shared" si="240"/>
        <v>-188.20995056837552</v>
      </c>
      <c r="BH321">
        <f t="shared" si="255"/>
        <v>-8.2099505683755183</v>
      </c>
      <c r="BI321">
        <f t="shared" si="256"/>
        <v>-8.2099505683755183</v>
      </c>
      <c r="BJ321">
        <f t="shared" si="241"/>
        <v>0</v>
      </c>
      <c r="BK321">
        <f t="shared" si="257"/>
        <v>0</v>
      </c>
      <c r="BM321">
        <f t="shared" si="258"/>
        <v>-56.84238029153272</v>
      </c>
      <c r="BN321">
        <f t="shared" si="242"/>
        <v>-110.29815020535499</v>
      </c>
      <c r="BQ321" s="47">
        <f t="shared" si="259"/>
        <v>30.698528167985316</v>
      </c>
      <c r="BR321" s="529"/>
      <c r="BS321" s="529"/>
      <c r="BT321" s="529">
        <v>128824.955</v>
      </c>
      <c r="BU321" s="529">
        <v>8.6780500000000007</v>
      </c>
      <c r="BV321" s="529">
        <v>-131.42599999999999</v>
      </c>
      <c r="BY321" s="529"/>
      <c r="BZ321" s="529"/>
      <c r="CA321" s="529"/>
      <c r="CC321" s="529"/>
    </row>
    <row r="322" spans="1:81">
      <c r="A322">
        <f t="shared" si="263"/>
        <v>540000</v>
      </c>
      <c r="B322">
        <f t="shared" si="243"/>
        <v>540</v>
      </c>
      <c r="C322">
        <f t="shared" si="212"/>
        <v>2.8926839077504019</v>
      </c>
      <c r="D322">
        <f t="shared" si="213"/>
        <v>1.2178119545536643</v>
      </c>
      <c r="F322">
        <f t="shared" si="214"/>
        <v>3.2806637862769457E-5</v>
      </c>
      <c r="G322">
        <f t="shared" si="215"/>
        <v>1.7269273550792087E-3</v>
      </c>
      <c r="H322">
        <f t="shared" si="216"/>
        <v>-3.1398657226449211</v>
      </c>
      <c r="J322">
        <f t="shared" si="217"/>
        <v>15</v>
      </c>
      <c r="M322">
        <f t="shared" si="218"/>
        <v>2.7888459592332686E-3</v>
      </c>
      <c r="N322">
        <f t="shared" si="219"/>
        <v>-1.5707963250000001</v>
      </c>
      <c r="O322">
        <f t="shared" si="220"/>
        <v>263.12285106801079</v>
      </c>
      <c r="P322">
        <f t="shared" si="221"/>
        <v>1.5669958115478764</v>
      </c>
      <c r="Q322">
        <f t="shared" si="222"/>
        <v>205.35281434480331</v>
      </c>
      <c r="R322">
        <f t="shared" si="223"/>
        <v>1.5659266396882929</v>
      </c>
      <c r="S322">
        <f t="shared" si="224"/>
        <v>0.32650991846393612</v>
      </c>
      <c r="T322">
        <f t="shared" si="225"/>
        <v>-1.2381875688029604</v>
      </c>
      <c r="U322">
        <f t="shared" si="226"/>
        <v>0.21638501713595998</v>
      </c>
      <c r="V322">
        <f t="shared" si="227"/>
        <v>-1.3526860923349666</v>
      </c>
      <c r="X322">
        <f t="shared" si="244"/>
        <v>-36.38877439353783</v>
      </c>
      <c r="Y322">
        <f t="shared" si="228"/>
        <v>-169.06846103639268</v>
      </c>
      <c r="Z322">
        <f t="shared" si="245"/>
        <v>10.931538963607323</v>
      </c>
      <c r="AC322">
        <v>1</v>
      </c>
      <c r="AD322">
        <f t="shared" si="229"/>
        <v>263.12095080810002</v>
      </c>
      <c r="AE322">
        <f t="shared" si="230"/>
        <v>-7.3205364923804056E-2</v>
      </c>
      <c r="AF322">
        <f t="shared" si="231"/>
        <v>1.6224943736484001E-2</v>
      </c>
      <c r="AG322">
        <f t="shared" si="246"/>
        <v>746.30248705475287</v>
      </c>
      <c r="AH322">
        <f t="shared" si="247"/>
        <v>-3428.877585768545</v>
      </c>
      <c r="AJ322">
        <f t="shared" si="232"/>
        <v>22100</v>
      </c>
      <c r="AK322">
        <f t="shared" si="233"/>
        <v>63975.950671454644</v>
      </c>
      <c r="AL322">
        <v>1</v>
      </c>
      <c r="AM322">
        <f t="shared" si="234"/>
        <v>205.35037949643839</v>
      </c>
      <c r="AN322">
        <f t="shared" si="248"/>
        <v>312.06200888453805</v>
      </c>
      <c r="AO322">
        <f t="shared" si="249"/>
        <v>-106.10127940617394</v>
      </c>
      <c r="AQ322">
        <f t="shared" si="235"/>
        <v>8.5733808527256056E-3</v>
      </c>
      <c r="AR322">
        <f t="shared" si="236"/>
        <v>-9.2592513209436547</v>
      </c>
      <c r="AT322">
        <f t="shared" si="261"/>
        <v>-31742.440979928633</v>
      </c>
      <c r="AU322">
        <f t="shared" si="262"/>
        <v>-6939.5993625254232</v>
      </c>
      <c r="AV322">
        <f t="shared" si="250"/>
        <v>-2.9263570087155681</v>
      </c>
      <c r="AW322">
        <f t="shared" si="251"/>
        <v>47.521640374671833</v>
      </c>
      <c r="AX322">
        <f t="shared" si="252"/>
        <v>-6698.3505233056749</v>
      </c>
      <c r="AY322">
        <f t="shared" si="260"/>
        <v>-1.5637019170679571</v>
      </c>
      <c r="BA322">
        <f t="shared" si="237"/>
        <v>4.8506485777387347</v>
      </c>
      <c r="BB322">
        <f t="shared" si="253"/>
        <v>13.715996235554357</v>
      </c>
      <c r="BC322">
        <f t="shared" si="254"/>
        <v>-1.362655091647611</v>
      </c>
      <c r="BD322">
        <f t="shared" si="238"/>
        <v>-258.07438577263349</v>
      </c>
      <c r="BF322">
        <f t="shared" si="239"/>
        <v>-43.216924498292251</v>
      </c>
      <c r="BG322">
        <f t="shared" si="240"/>
        <v>-188.199954807316</v>
      </c>
      <c r="BH322">
        <f t="shared" si="255"/>
        <v>-8.1999548073160042</v>
      </c>
      <c r="BI322">
        <f t="shared" si="256"/>
        <v>-8.1999548073160042</v>
      </c>
      <c r="BJ322">
        <f t="shared" si="241"/>
        <v>0</v>
      </c>
      <c r="BK322">
        <f t="shared" si="257"/>
        <v>0</v>
      </c>
      <c r="BM322">
        <f t="shared" si="258"/>
        <v>-56.932920733846615</v>
      </c>
      <c r="BN322">
        <f t="shared" si="242"/>
        <v>-110.12556903468251</v>
      </c>
      <c r="BQ322" s="47">
        <f t="shared" si="259"/>
        <v>30.617957035839495</v>
      </c>
      <c r="BR322" s="529"/>
      <c r="BS322" s="529"/>
      <c r="BT322" s="529">
        <v>131825.674</v>
      </c>
      <c r="BU322" s="529">
        <v>8.8889499999999995</v>
      </c>
      <c r="BV322" s="529">
        <v>-132.06399999999999</v>
      </c>
      <c r="BY322" s="529"/>
      <c r="BZ322" s="529"/>
      <c r="CA322" s="529"/>
      <c r="CC322" s="529"/>
    </row>
    <row r="323" spans="1:81">
      <c r="A323">
        <f t="shared" si="263"/>
        <v>545000</v>
      </c>
      <c r="B323">
        <f t="shared" si="243"/>
        <v>545</v>
      </c>
      <c r="C323">
        <f t="shared" si="212"/>
        <v>2.9162800372678914</v>
      </c>
      <c r="D323">
        <f t="shared" si="213"/>
        <v>1.2207912275282857</v>
      </c>
      <c r="F323">
        <f t="shared" si="214"/>
        <v>3.2207423705084681E-5</v>
      </c>
      <c r="G323">
        <f t="shared" si="215"/>
        <v>1.711082972188815E-3</v>
      </c>
      <c r="H323">
        <f t="shared" si="216"/>
        <v>-3.1398815670278113</v>
      </c>
      <c r="J323">
        <f t="shared" si="217"/>
        <v>15</v>
      </c>
      <c r="M323">
        <f t="shared" si="218"/>
        <v>2.7632602164880094E-3</v>
      </c>
      <c r="N323">
        <f t="shared" si="219"/>
        <v>-1.5707963250000001</v>
      </c>
      <c r="O323">
        <f t="shared" si="220"/>
        <v>265.55913873463282</v>
      </c>
      <c r="P323">
        <f t="shared" si="221"/>
        <v>1.5670306783290964</v>
      </c>
      <c r="Q323">
        <f t="shared" si="222"/>
        <v>207.25418440975091</v>
      </c>
      <c r="R323">
        <f t="shared" si="223"/>
        <v>1.565971315020193</v>
      </c>
      <c r="S323">
        <f t="shared" si="224"/>
        <v>0.32382984094503658</v>
      </c>
      <c r="T323">
        <f t="shared" si="225"/>
        <v>-1.2410216647262251</v>
      </c>
      <c r="U323">
        <f t="shared" si="226"/>
        <v>0.21449156831394531</v>
      </c>
      <c r="V323">
        <f t="shared" si="227"/>
        <v>-1.3546250737122583</v>
      </c>
      <c r="X323">
        <f t="shared" si="244"/>
        <v>-36.546201891391057</v>
      </c>
      <c r="Y323">
        <f t="shared" si="228"/>
        <v>-169.16758884254759</v>
      </c>
      <c r="Z323">
        <f t="shared" si="245"/>
        <v>10.832411157452412</v>
      </c>
      <c r="AC323">
        <v>1</v>
      </c>
      <c r="AD323">
        <f t="shared" si="229"/>
        <v>265.55725590817502</v>
      </c>
      <c r="AE323">
        <f t="shared" si="230"/>
        <v>-7.4567296009920792E-2</v>
      </c>
      <c r="AF323">
        <f t="shared" si="231"/>
        <v>1.6375174697007E-2</v>
      </c>
      <c r="AG323">
        <f t="shared" si="246"/>
        <v>733.29878584389485</v>
      </c>
      <c r="AH323">
        <f t="shared" si="247"/>
        <v>-3400.2756402906803</v>
      </c>
      <c r="AJ323">
        <f t="shared" si="232"/>
        <v>22100</v>
      </c>
      <c r="AK323">
        <f t="shared" si="233"/>
        <v>64568.320585079222</v>
      </c>
      <c r="AL323">
        <v>1</v>
      </c>
      <c r="AM323">
        <f t="shared" si="234"/>
        <v>207.25177189918321</v>
      </c>
      <c r="AN323">
        <f t="shared" si="248"/>
        <v>312.05257214999904</v>
      </c>
      <c r="AO323">
        <f t="shared" si="249"/>
        <v>-105.12791870579836</v>
      </c>
      <c r="AQ323">
        <f t="shared" si="235"/>
        <v>8.4167928484194521E-3</v>
      </c>
      <c r="AR323">
        <f t="shared" si="236"/>
        <v>-9.1743042047772025</v>
      </c>
      <c r="AT323">
        <f t="shared" si="261"/>
        <v>-31188.991080143835</v>
      </c>
      <c r="AU323">
        <f t="shared" si="262"/>
        <v>-6756.1255500175157</v>
      </c>
      <c r="AV323">
        <f t="shared" si="250"/>
        <v>-2.9282696180376888</v>
      </c>
      <c r="AW323">
        <f t="shared" si="251"/>
        <v>52.943976837251476</v>
      </c>
      <c r="AX323">
        <f t="shared" si="252"/>
        <v>-6639.5297959724767</v>
      </c>
      <c r="AY323">
        <f t="shared" si="260"/>
        <v>-1.5628224406388649</v>
      </c>
      <c r="BA323">
        <f t="shared" si="237"/>
        <v>4.8062651082969916</v>
      </c>
      <c r="BB323">
        <f t="shared" si="253"/>
        <v>13.636154446690419</v>
      </c>
      <c r="BC323">
        <f t="shared" si="254"/>
        <v>-1.3654471773988239</v>
      </c>
      <c r="BD323">
        <f t="shared" si="238"/>
        <v>-258.2343605023994</v>
      </c>
      <c r="BF323">
        <f t="shared" si="239"/>
        <v>-43.386316138635557</v>
      </c>
      <c r="BG323">
        <f t="shared" si="240"/>
        <v>-188.19013758569329</v>
      </c>
      <c r="BH323">
        <f t="shared" si="255"/>
        <v>-8.190137585693293</v>
      </c>
      <c r="BI323">
        <f t="shared" si="256"/>
        <v>-8.190137585693293</v>
      </c>
      <c r="BJ323">
        <f t="shared" si="241"/>
        <v>0</v>
      </c>
      <c r="BK323">
        <f t="shared" si="257"/>
        <v>0</v>
      </c>
      <c r="BM323">
        <f t="shared" si="258"/>
        <v>-57.022470585325983</v>
      </c>
      <c r="BN323">
        <f t="shared" si="242"/>
        <v>-109.95577708329391</v>
      </c>
      <c r="BQ323" s="47">
        <f t="shared" si="259"/>
        <v>30.538115246975558</v>
      </c>
      <c r="BR323" s="529"/>
      <c r="BS323" s="529"/>
      <c r="BT323" s="529">
        <v>134896.288</v>
      </c>
      <c r="BU323" s="529">
        <v>9.0986999999999991</v>
      </c>
      <c r="BV323" s="529">
        <v>-132.62899999999999</v>
      </c>
      <c r="BY323" s="529"/>
      <c r="BZ323" s="529"/>
      <c r="CA323" s="529"/>
      <c r="CC323" s="529"/>
    </row>
    <row r="324" spans="1:81">
      <c r="A324">
        <f t="shared" si="263"/>
        <v>550000</v>
      </c>
      <c r="B324">
        <f t="shared" si="243"/>
        <v>550</v>
      </c>
      <c r="C324">
        <f t="shared" si="212"/>
        <v>2.939901636234918</v>
      </c>
      <c r="D324">
        <f t="shared" si="213"/>
        <v>1.2237226502935994</v>
      </c>
      <c r="F324">
        <f t="shared" si="214"/>
        <v>3.1624478025042124E-5</v>
      </c>
      <c r="G324">
        <f t="shared" si="215"/>
        <v>1.6955266962307915E-3</v>
      </c>
      <c r="H324">
        <f t="shared" si="216"/>
        <v>-3.1398971233037694</v>
      </c>
      <c r="J324">
        <f t="shared" si="217"/>
        <v>15</v>
      </c>
      <c r="M324">
        <f t="shared" si="218"/>
        <v>2.7381396690653909E-3</v>
      </c>
      <c r="N324">
        <f t="shared" si="219"/>
        <v>-1.5707963250000001</v>
      </c>
      <c r="O324">
        <f t="shared" si="220"/>
        <v>267.99542671822337</v>
      </c>
      <c r="P324">
        <f t="shared" si="221"/>
        <v>1.5670649111777477</v>
      </c>
      <c r="Q324">
        <f t="shared" si="222"/>
        <v>209.15555488083331</v>
      </c>
      <c r="R324">
        <f t="shared" si="223"/>
        <v>1.5660151780920708</v>
      </c>
      <c r="S324">
        <f t="shared" si="224"/>
        <v>0.32119088559961506</v>
      </c>
      <c r="T324">
        <f t="shared" si="225"/>
        <v>-1.2438095914892784</v>
      </c>
      <c r="U324">
        <f t="shared" si="226"/>
        <v>0.21263019007143624</v>
      </c>
      <c r="V324">
        <f t="shared" si="227"/>
        <v>-1.3565304088198709</v>
      </c>
      <c r="X324">
        <f t="shared" si="244"/>
        <v>-36.702241024796251</v>
      </c>
      <c r="Y324">
        <f t="shared" si="228"/>
        <v>-169.26495152989045</v>
      </c>
      <c r="Z324">
        <f t="shared" si="245"/>
        <v>10.735048470109547</v>
      </c>
      <c r="AC324">
        <v>1</v>
      </c>
      <c r="AD324">
        <f t="shared" si="229"/>
        <v>267.99356100825003</v>
      </c>
      <c r="AE324">
        <f t="shared" si="230"/>
        <v>-7.5941779456278211E-2</v>
      </c>
      <c r="AF324">
        <f t="shared" si="231"/>
        <v>1.6525405657530003E-2</v>
      </c>
      <c r="AG324">
        <f t="shared" si="246"/>
        <v>720.62673678845397</v>
      </c>
      <c r="AH324">
        <f t="shared" si="247"/>
        <v>-3372.1215606041187</v>
      </c>
      <c r="AJ324">
        <f t="shared" si="232"/>
        <v>22100</v>
      </c>
      <c r="AK324">
        <f t="shared" si="233"/>
        <v>65160.6904987038</v>
      </c>
      <c r="AL324">
        <v>1</v>
      </c>
      <c r="AM324">
        <f t="shared" si="234"/>
        <v>209.153164301928</v>
      </c>
      <c r="AN324">
        <f t="shared" si="248"/>
        <v>312.04339160146287</v>
      </c>
      <c r="AO324">
        <f t="shared" si="249"/>
        <v>-104.17225424782966</v>
      </c>
      <c r="AQ324">
        <f t="shared" si="235"/>
        <v>8.264455979788447E-3</v>
      </c>
      <c r="AR324">
        <f t="shared" si="236"/>
        <v>-9.0909015777672906</v>
      </c>
      <c r="AT324">
        <f t="shared" si="261"/>
        <v>-30649.669627775034</v>
      </c>
      <c r="AU324">
        <f t="shared" si="262"/>
        <v>-6579.0154886475584</v>
      </c>
      <c r="AV324">
        <f t="shared" si="250"/>
        <v>-2.9301490605732634</v>
      </c>
      <c r="AW324">
        <f t="shared" si="251"/>
        <v>58.198646894398372</v>
      </c>
      <c r="AX324">
        <f t="shared" si="252"/>
        <v>-6581.7121857811744</v>
      </c>
      <c r="AY324">
        <f t="shared" si="260"/>
        <v>-1.561954078990174</v>
      </c>
      <c r="BA324">
        <f t="shared" si="237"/>
        <v>4.7626805379614812</v>
      </c>
      <c r="BB324">
        <f t="shared" si="253"/>
        <v>13.557029034164241</v>
      </c>
      <c r="BC324">
        <f t="shared" si="254"/>
        <v>-1.3681949815830894</v>
      </c>
      <c r="BD324">
        <f t="shared" si="238"/>
        <v>-258.39179808526609</v>
      </c>
      <c r="BF324">
        <f t="shared" si="239"/>
        <v>-43.554022465001047</v>
      </c>
      <c r="BG324">
        <f t="shared" si="240"/>
        <v>-188.18050832490539</v>
      </c>
      <c r="BH324">
        <f t="shared" si="255"/>
        <v>-8.1805083249053894</v>
      </c>
      <c r="BI324">
        <f t="shared" si="256"/>
        <v>-8.1805083249053894</v>
      </c>
      <c r="BJ324">
        <f t="shared" si="241"/>
        <v>0</v>
      </c>
      <c r="BK324">
        <f t="shared" si="257"/>
        <v>0</v>
      </c>
      <c r="BM324">
        <f t="shared" si="258"/>
        <v>-57.111051499165285</v>
      </c>
      <c r="BN324">
        <f t="shared" si="242"/>
        <v>-109.7887102396393</v>
      </c>
      <c r="BQ324" s="47">
        <f t="shared" si="259"/>
        <v>30.458989834449376</v>
      </c>
      <c r="BR324" s="529"/>
      <c r="BS324" s="529"/>
      <c r="BT324" s="529">
        <v>138038.42600000001</v>
      </c>
      <c r="BU324" s="529">
        <v>9.3196600000000007</v>
      </c>
      <c r="BV324" s="529">
        <v>-133.267</v>
      </c>
      <c r="BY324" s="529"/>
      <c r="BZ324" s="529"/>
      <c r="CA324" s="529"/>
      <c r="CC324" s="529"/>
    </row>
    <row r="325" spans="1:81">
      <c r="A325">
        <f t="shared" si="263"/>
        <v>555000</v>
      </c>
      <c r="B325">
        <f t="shared" si="243"/>
        <v>555</v>
      </c>
      <c r="C325">
        <f t="shared" si="212"/>
        <v>2.963548095622329</v>
      </c>
      <c r="D325">
        <f t="shared" si="213"/>
        <v>1.2266073172630505</v>
      </c>
      <c r="F325">
        <f t="shared" si="214"/>
        <v>3.1057217190394221E-5</v>
      </c>
      <c r="G325">
        <f t="shared" si="215"/>
        <v>1.6802507395627362E-3</v>
      </c>
      <c r="H325">
        <f t="shared" si="216"/>
        <v>-3.1399123992604374</v>
      </c>
      <c r="J325">
        <f t="shared" si="217"/>
        <v>15</v>
      </c>
      <c r="M325">
        <f t="shared" si="218"/>
        <v>2.7134717441188558E-3</v>
      </c>
      <c r="N325">
        <f t="shared" si="219"/>
        <v>-1.5707963250000001</v>
      </c>
      <c r="O325">
        <f t="shared" si="220"/>
        <v>270.43171501021584</v>
      </c>
      <c r="P325">
        <f t="shared" si="221"/>
        <v>1.5670985272268265</v>
      </c>
      <c r="Q325">
        <f t="shared" si="222"/>
        <v>211.05692574707405</v>
      </c>
      <c r="R325">
        <f t="shared" si="223"/>
        <v>1.5660582508562335</v>
      </c>
      <c r="S325">
        <f t="shared" si="224"/>
        <v>0.31859217682094737</v>
      </c>
      <c r="T325">
        <f t="shared" si="225"/>
        <v>-1.246552425864107</v>
      </c>
      <c r="U325">
        <f t="shared" si="226"/>
        <v>0.21080009468979072</v>
      </c>
      <c r="V325">
        <f t="shared" si="227"/>
        <v>-1.3584029524166423</v>
      </c>
      <c r="X325">
        <f t="shared" si="244"/>
        <v>-36.856915583770764</v>
      </c>
      <c r="Y325">
        <f t="shared" si="228"/>
        <v>-169.36059526849021</v>
      </c>
      <c r="Z325">
        <f t="shared" si="245"/>
        <v>10.639404731509785</v>
      </c>
      <c r="AC325">
        <v>1</v>
      </c>
      <c r="AD325">
        <f t="shared" si="229"/>
        <v>270.42986610832503</v>
      </c>
      <c r="AE325">
        <f t="shared" si="230"/>
        <v>-7.7328815262876341E-2</v>
      </c>
      <c r="AF325">
        <f t="shared" si="231"/>
        <v>1.6675636618053002E-2</v>
      </c>
      <c r="AG325">
        <f t="shared" si="246"/>
        <v>708.27533759612982</v>
      </c>
      <c r="AH325">
        <f t="shared" si="247"/>
        <v>-3344.405614826479</v>
      </c>
      <c r="AJ325">
        <f t="shared" si="232"/>
        <v>22100</v>
      </c>
      <c r="AK325">
        <f t="shared" si="233"/>
        <v>65753.060412328385</v>
      </c>
      <c r="AL325">
        <v>1</v>
      </c>
      <c r="AM325">
        <f t="shared" si="234"/>
        <v>211.05455670467282</v>
      </c>
      <c r="AN325">
        <f t="shared" si="248"/>
        <v>312.0344580490609</v>
      </c>
      <c r="AO325">
        <f t="shared" si="249"/>
        <v>-103.23380779898862</v>
      </c>
      <c r="AQ325">
        <f t="shared" si="235"/>
        <v>8.1162177451361544E-3</v>
      </c>
      <c r="AR325">
        <f t="shared" si="236"/>
        <v>-9.0090016971011302</v>
      </c>
      <c r="AT325">
        <f t="shared" si="261"/>
        <v>-30124.007342902856</v>
      </c>
      <c r="AU325">
        <f t="shared" si="262"/>
        <v>-6407.9976426163976</v>
      </c>
      <c r="AV325">
        <f t="shared" si="250"/>
        <v>-2.9319961781224384</v>
      </c>
      <c r="AW325">
        <f t="shared" si="251"/>
        <v>63.292521769488658</v>
      </c>
      <c r="AX325">
        <f t="shared" si="252"/>
        <v>-6524.8727553556146</v>
      </c>
      <c r="AY325">
        <f t="shared" si="260"/>
        <v>-1.5610964385194726</v>
      </c>
      <c r="BA325">
        <f t="shared" si="237"/>
        <v>4.7198736002054993</v>
      </c>
      <c r="BB325">
        <f t="shared" si="253"/>
        <v>13.478607364765194</v>
      </c>
      <c r="BC325">
        <f t="shared" si="254"/>
        <v>-1.3708997396029658</v>
      </c>
      <c r="BD325">
        <f t="shared" si="238"/>
        <v>-258.54676930458629</v>
      </c>
      <c r="BF325">
        <f t="shared" si="239"/>
        <v>-43.720077073779237</v>
      </c>
      <c r="BG325">
        <f t="shared" si="240"/>
        <v>-188.17107554923248</v>
      </c>
      <c r="BH325">
        <f t="shared" si="255"/>
        <v>-8.1710755492324836</v>
      </c>
      <c r="BI325">
        <f t="shared" si="256"/>
        <v>-8.1710755492324836</v>
      </c>
      <c r="BJ325">
        <f t="shared" si="241"/>
        <v>0</v>
      </c>
      <c r="BK325">
        <f t="shared" si="257"/>
        <v>0</v>
      </c>
      <c r="BM325">
        <f t="shared" si="258"/>
        <v>-57.198684438544433</v>
      </c>
      <c r="BN325">
        <f t="shared" si="242"/>
        <v>-109.62430624464621</v>
      </c>
      <c r="BQ325" s="47">
        <f t="shared" si="259"/>
        <v>30.380568165050331</v>
      </c>
      <c r="BR325" s="529"/>
      <c r="BS325" s="529"/>
      <c r="BT325" s="529">
        <v>141253.75399999999</v>
      </c>
      <c r="BU325" s="529">
        <v>9.5290400000000002</v>
      </c>
      <c r="BV325" s="529">
        <v>-133.959</v>
      </c>
      <c r="BY325" s="529"/>
      <c r="BZ325" s="529"/>
      <c r="CA325" s="529"/>
      <c r="CC325" s="529"/>
    </row>
    <row r="326" spans="1:81">
      <c r="A326">
        <f t="shared" si="263"/>
        <v>560000</v>
      </c>
      <c r="B326">
        <f t="shared" si="243"/>
        <v>560</v>
      </c>
      <c r="C326">
        <f t="shared" si="212"/>
        <v>2.9872188250540286</v>
      </c>
      <c r="D326">
        <f t="shared" si="213"/>
        <v>1.2294462913290602</v>
      </c>
      <c r="F326">
        <f t="shared" si="214"/>
        <v>3.0505083508616478E-5</v>
      </c>
      <c r="G326">
        <f t="shared" si="215"/>
        <v>1.6652475927149963E-3</v>
      </c>
      <c r="H326">
        <f t="shared" si="216"/>
        <v>-3.1399274024072854</v>
      </c>
      <c r="J326">
        <f t="shared" si="217"/>
        <v>15</v>
      </c>
      <c r="M326">
        <f t="shared" si="218"/>
        <v>2.6892443178320805E-3</v>
      </c>
      <c r="N326">
        <f t="shared" si="219"/>
        <v>-1.5707963250000001</v>
      </c>
      <c r="O326">
        <f t="shared" si="220"/>
        <v>272.86800360234963</v>
      </c>
      <c r="P326">
        <f t="shared" si="221"/>
        <v>1.5671315429974497</v>
      </c>
      <c r="Q326">
        <f t="shared" si="222"/>
        <v>212.95829699788879</v>
      </c>
      <c r="R326">
        <f t="shared" si="223"/>
        <v>1.5661005544810072</v>
      </c>
      <c r="S326">
        <f t="shared" si="224"/>
        <v>0.31603286148050563</v>
      </c>
      <c r="T326">
        <f t="shared" si="225"/>
        <v>-1.2492512127857771</v>
      </c>
      <c r="U326">
        <f t="shared" si="226"/>
        <v>0.20900051933337399</v>
      </c>
      <c r="V326">
        <f t="shared" si="227"/>
        <v>-1.3602435310114616</v>
      </c>
      <c r="X326">
        <f t="shared" si="244"/>
        <v>-37.010248765592223</v>
      </c>
      <c r="Y326">
        <f t="shared" si="228"/>
        <v>-169.45456465575231</v>
      </c>
      <c r="Z326">
        <f t="shared" si="245"/>
        <v>10.545435344247693</v>
      </c>
      <c r="AC326">
        <v>1</v>
      </c>
      <c r="AD326">
        <f t="shared" si="229"/>
        <v>272.86617120839998</v>
      </c>
      <c r="AE326">
        <f t="shared" si="230"/>
        <v>-7.8728403429715196E-2</v>
      </c>
      <c r="AF326">
        <f t="shared" si="231"/>
        <v>1.6825867578576004E-2</v>
      </c>
      <c r="AG326">
        <f t="shared" si="246"/>
        <v>696.23403075882959</v>
      </c>
      <c r="AH326">
        <f t="shared" si="247"/>
        <v>-3317.1183235831363</v>
      </c>
      <c r="AJ326">
        <f t="shared" si="232"/>
        <v>22100</v>
      </c>
      <c r="AK326">
        <f t="shared" si="233"/>
        <v>66345.43032595297</v>
      </c>
      <c r="AL326">
        <v>1</v>
      </c>
      <c r="AM326">
        <f t="shared" si="234"/>
        <v>212.95594910741761</v>
      </c>
      <c r="AN326">
        <f t="shared" si="248"/>
        <v>312.02576271132835</v>
      </c>
      <c r="AO326">
        <f t="shared" si="249"/>
        <v>-102.31211820383827</v>
      </c>
      <c r="AQ326">
        <f t="shared" si="235"/>
        <v>7.971932420334487E-3</v>
      </c>
      <c r="AR326">
        <f t="shared" si="236"/>
        <v>-8.9285643107746253</v>
      </c>
      <c r="AT326">
        <f t="shared" si="261"/>
        <v>-29611.553947919001</v>
      </c>
      <c r="AU326">
        <f t="shared" si="262"/>
        <v>-6242.8141620859069</v>
      </c>
      <c r="AV326">
        <f t="shared" si="250"/>
        <v>-2.9338117846982077</v>
      </c>
      <c r="AW326">
        <f t="shared" si="251"/>
        <v>68.232125034074485</v>
      </c>
      <c r="AX326">
        <f t="shared" si="252"/>
        <v>-6468.9873712332983</v>
      </c>
      <c r="AY326">
        <f t="shared" si="260"/>
        <v>-1.5602491435987103</v>
      </c>
      <c r="BA326">
        <f t="shared" si="237"/>
        <v>4.6778237701851495</v>
      </c>
      <c r="BB326">
        <f t="shared" si="253"/>
        <v>13.400877128095436</v>
      </c>
      <c r="BC326">
        <f t="shared" si="254"/>
        <v>-1.3735626410994974</v>
      </c>
      <c r="BD326">
        <f t="shared" si="238"/>
        <v>-258.69934232177093</v>
      </c>
      <c r="BF326">
        <f t="shared" si="239"/>
        <v>-43.884512576707934</v>
      </c>
      <c r="BG326">
        <f t="shared" si="240"/>
        <v>-188.16184695109658</v>
      </c>
      <c r="BH326">
        <f t="shared" si="255"/>
        <v>-8.1618469510965781</v>
      </c>
      <c r="BI326">
        <f t="shared" si="256"/>
        <v>-8.1618469510965781</v>
      </c>
      <c r="BJ326">
        <f t="shared" si="241"/>
        <v>0</v>
      </c>
      <c r="BK326">
        <f t="shared" si="257"/>
        <v>0</v>
      </c>
      <c r="BM326">
        <f t="shared" si="258"/>
        <v>-57.285389704803364</v>
      </c>
      <c r="BN326">
        <f t="shared" si="242"/>
        <v>-109.46250462932568</v>
      </c>
      <c r="BQ326" s="47">
        <f t="shared" si="259"/>
        <v>30.302837928380573</v>
      </c>
      <c r="BR326" s="529"/>
      <c r="BS326" s="529"/>
      <c r="BT326" s="529">
        <v>144543.97700000001</v>
      </c>
      <c r="BU326" s="529">
        <v>9.7312899999999996</v>
      </c>
      <c r="BV326" s="529">
        <v>-134.75200000000001</v>
      </c>
      <c r="BY326" s="529"/>
      <c r="BZ326" s="529"/>
      <c r="CA326" s="529"/>
      <c r="CC326" s="529"/>
    </row>
    <row r="327" spans="1:81">
      <c r="A327">
        <f t="shared" si="263"/>
        <v>565000</v>
      </c>
      <c r="B327">
        <f t="shared" si="243"/>
        <v>565</v>
      </c>
      <c r="C327">
        <f t="shared" si="212"/>
        <v>3.0109132521226942</v>
      </c>
      <c r="D327">
        <f t="shared" si="213"/>
        <v>1.2322406049241563</v>
      </c>
      <c r="F327">
        <f t="shared" si="214"/>
        <v>2.996754385561342E-5</v>
      </c>
      <c r="G327">
        <f t="shared" si="215"/>
        <v>1.6505100120799043E-3</v>
      </c>
      <c r="H327">
        <f t="shared" si="216"/>
        <v>-3.1399421399879204</v>
      </c>
      <c r="J327">
        <f t="shared" si="217"/>
        <v>15</v>
      </c>
      <c r="M327">
        <f t="shared" si="218"/>
        <v>2.6654456955503805E-3</v>
      </c>
      <c r="N327">
        <f t="shared" si="219"/>
        <v>-1.5707963250000001</v>
      </c>
      <c r="O327">
        <f t="shared" si="220"/>
        <v>275.30429248665644</v>
      </c>
      <c r="P327">
        <f t="shared" si="221"/>
        <v>1.5671639744259296</v>
      </c>
      <c r="Q327">
        <f t="shared" si="222"/>
        <v>214.85966862306788</v>
      </c>
      <c r="R327">
        <f t="shared" si="223"/>
        <v>1.5661421093854238</v>
      </c>
      <c r="S327">
        <f t="shared" si="224"/>
        <v>0.31351210831082088</v>
      </c>
      <c r="T327">
        <f t="shared" si="225"/>
        <v>-1.251906966463233</v>
      </c>
      <c r="U327">
        <f t="shared" si="226"/>
        <v>0.20723072510561719</v>
      </c>
      <c r="V327">
        <f t="shared" si="227"/>
        <v>-1.3620529440012807</v>
      </c>
      <c r="X327">
        <f t="shared" si="244"/>
        <v>-37.162263193837397</v>
      </c>
      <c r="Y327">
        <f t="shared" si="228"/>
        <v>-169.54690278163415</v>
      </c>
      <c r="Z327">
        <f t="shared" si="245"/>
        <v>10.453097218365855</v>
      </c>
      <c r="AC327">
        <v>1</v>
      </c>
      <c r="AD327">
        <f t="shared" si="229"/>
        <v>275.30247630847504</v>
      </c>
      <c r="AE327">
        <f t="shared" si="230"/>
        <v>-8.0140543956794763E-2</v>
      </c>
      <c r="AF327">
        <f t="shared" si="231"/>
        <v>1.6976098539099004E-2</v>
      </c>
      <c r="AG327">
        <f t="shared" si="246"/>
        <v>684.49268254104072</v>
      </c>
      <c r="AH327">
        <f t="shared" si="247"/>
        <v>-3290.2504532851958</v>
      </c>
      <c r="AJ327">
        <f t="shared" si="232"/>
        <v>22100</v>
      </c>
      <c r="AK327">
        <f t="shared" si="233"/>
        <v>66937.80023957754</v>
      </c>
      <c r="AL327">
        <v>1</v>
      </c>
      <c r="AM327">
        <f t="shared" si="234"/>
        <v>214.85734151016243</v>
      </c>
      <c r="AN327">
        <f t="shared" si="248"/>
        <v>312.0172971936168</v>
      </c>
      <c r="AO327">
        <f t="shared" si="249"/>
        <v>-101.40674062922744</v>
      </c>
      <c r="AQ327">
        <f t="shared" si="235"/>
        <v>7.8314607005554853E-3</v>
      </c>
      <c r="AR327">
        <f t="shared" si="236"/>
        <v>-8.8495505916276986</v>
      </c>
      <c r="AT327">
        <f t="shared" si="261"/>
        <v>-29111.877267930169</v>
      </c>
      <c r="AU327">
        <f t="shared" si="262"/>
        <v>-6083.2200908657851</v>
      </c>
      <c r="AV327">
        <f t="shared" si="250"/>
        <v>-2.9355966676439484</v>
      </c>
      <c r="AW327">
        <f t="shared" si="251"/>
        <v>73.023653376930696</v>
      </c>
      <c r="AX327">
        <f t="shared" si="252"/>
        <v>-6414.032672329633</v>
      </c>
      <c r="AY327">
        <f t="shared" si="260"/>
        <v>-1.5594118355868565</v>
      </c>
      <c r="BA327">
        <f t="shared" si="237"/>
        <v>4.6365112330651552</v>
      </c>
      <c r="BB327">
        <f t="shared" si="253"/>
        <v>13.32382632606484</v>
      </c>
      <c r="BC327">
        <f t="shared" si="254"/>
        <v>-1.376184832057092</v>
      </c>
      <c r="BD327">
        <f t="shared" si="238"/>
        <v>-258.84958279689016</v>
      </c>
      <c r="BF327">
        <f t="shared" si="239"/>
        <v>-44.047360638173963</v>
      </c>
      <c r="BG327">
        <f t="shared" si="240"/>
        <v>-188.15282945156943</v>
      </c>
      <c r="BH327">
        <f t="shared" si="255"/>
        <v>-8.1528294515694313</v>
      </c>
      <c r="BI327">
        <f t="shared" si="256"/>
        <v>-8.1528294515694313</v>
      </c>
      <c r="BJ327">
        <f t="shared" si="241"/>
        <v>0</v>
      </c>
      <c r="BK327">
        <f t="shared" si="257"/>
        <v>0</v>
      </c>
      <c r="BM327">
        <f t="shared" si="258"/>
        <v>-57.371186964238809</v>
      </c>
      <c r="BN327">
        <f t="shared" si="242"/>
        <v>-109.30324665467927</v>
      </c>
      <c r="BQ327" s="47">
        <f t="shared" si="259"/>
        <v>30.225787126349974</v>
      </c>
      <c r="BR327" s="529"/>
      <c r="BS327" s="529"/>
      <c r="BT327" s="529">
        <v>147910.83900000001</v>
      </c>
      <c r="BU327" s="529">
        <v>9.9010099999999994</v>
      </c>
      <c r="BV327" s="529">
        <v>-135.72399999999999</v>
      </c>
      <c r="BY327" s="529"/>
      <c r="BZ327" s="529"/>
      <c r="CA327" s="529"/>
      <c r="CC327" s="529"/>
    </row>
    <row r="328" spans="1:81">
      <c r="A328">
        <f t="shared" si="263"/>
        <v>570000</v>
      </c>
      <c r="B328">
        <f t="shared" si="243"/>
        <v>570</v>
      </c>
      <c r="C328">
        <f t="shared" si="212"/>
        <v>3.0346308217342357</v>
      </c>
      <c r="D328">
        <f t="shared" si="213"/>
        <v>1.2349912610427887</v>
      </c>
      <c r="F328">
        <f t="shared" si="214"/>
        <v>2.9444088388261236E-5</v>
      </c>
      <c r="G328">
        <f t="shared" si="215"/>
        <v>1.6360310082490829E-3</v>
      </c>
      <c r="H328">
        <f t="shared" si="216"/>
        <v>-3.1399566189917509</v>
      </c>
      <c r="J328">
        <f t="shared" si="217"/>
        <v>15</v>
      </c>
      <c r="M328">
        <f t="shared" si="218"/>
        <v>2.6420645929578334E-3</v>
      </c>
      <c r="N328">
        <f t="shared" si="219"/>
        <v>-1.5707963250000001</v>
      </c>
      <c r="O328">
        <f t="shared" si="220"/>
        <v>277.74058165544756</v>
      </c>
      <c r="P328">
        <f t="shared" si="221"/>
        <v>1.5671958368894217</v>
      </c>
      <c r="Q328">
        <f t="shared" si="222"/>
        <v>216.76104061275979</v>
      </c>
      <c r="R328">
        <f t="shared" si="223"/>
        <v>1.5661829352720835</v>
      </c>
      <c r="S328">
        <f t="shared" si="224"/>
        <v>0.31102910730278893</v>
      </c>
      <c r="T328">
        <f t="shared" si="225"/>
        <v>-1.254520671446764</v>
      </c>
      <c r="U328">
        <f t="shared" si="226"/>
        <v>0.20548999614608246</v>
      </c>
      <c r="V328">
        <f t="shared" si="227"/>
        <v>-1.3638319647555455</v>
      </c>
      <c r="X328">
        <f t="shared" si="244"/>
        <v>-37.31298093668412</v>
      </c>
      <c r="Y328">
        <f t="shared" si="228"/>
        <v>-169.63765129071012</v>
      </c>
      <c r="Z328">
        <f t="shared" si="245"/>
        <v>10.362348709289876</v>
      </c>
      <c r="AC328">
        <v>1</v>
      </c>
      <c r="AD328">
        <f t="shared" si="229"/>
        <v>277.73878140854998</v>
      </c>
      <c r="AE328">
        <f t="shared" si="230"/>
        <v>-8.1565236844115027E-2</v>
      </c>
      <c r="AF328">
        <f t="shared" si="231"/>
        <v>1.7126329499621999E-2</v>
      </c>
      <c r="AG328">
        <f t="shared" si="246"/>
        <v>673.04156309388304</v>
      </c>
      <c r="AH328">
        <f t="shared" si="247"/>
        <v>-3263.7930095248767</v>
      </c>
      <c r="AJ328">
        <f t="shared" si="232"/>
        <v>22100</v>
      </c>
      <c r="AK328">
        <f t="shared" si="233"/>
        <v>67530.170153202125</v>
      </c>
      <c r="AL328">
        <v>1</v>
      </c>
      <c r="AM328">
        <f t="shared" si="234"/>
        <v>216.75873391290722</v>
      </c>
      <c r="AN328">
        <f t="shared" si="248"/>
        <v>312.00905346782639</v>
      </c>
      <c r="AO328">
        <f t="shared" si="249"/>
        <v>-100.51724584849485</v>
      </c>
      <c r="AQ328">
        <f t="shared" si="235"/>
        <v>7.6946693639047678E-3</v>
      </c>
      <c r="AR328">
        <f t="shared" si="236"/>
        <v>-8.7719230748514345</v>
      </c>
      <c r="AT328">
        <f t="shared" si="261"/>
        <v>-28624.562379493902</v>
      </c>
      <c r="AU328">
        <f t="shared" si="262"/>
        <v>-5928.9826257178283</v>
      </c>
      <c r="AV328">
        <f t="shared" si="250"/>
        <v>-2.9373515886984514</v>
      </c>
      <c r="AW328">
        <f t="shared" si="251"/>
        <v>77.672995951526957</v>
      </c>
      <c r="AX328">
        <f t="shared" si="252"/>
        <v>-6359.9860398493493</v>
      </c>
      <c r="AY328">
        <f t="shared" si="260"/>
        <v>-1.5585841719052962</v>
      </c>
      <c r="BA328">
        <f t="shared" si="237"/>
        <v>4.595916853928407</v>
      </c>
      <c r="BB328">
        <f t="shared" si="253"/>
        <v>13.247443262784831</v>
      </c>
      <c r="BC328">
        <f t="shared" si="254"/>
        <v>-1.3787674167931552</v>
      </c>
      <c r="BD328">
        <f t="shared" si="238"/>
        <v>-258.99755400267054</v>
      </c>
      <c r="BF328">
        <f t="shared" si="239"/>
        <v>-44.208652010815605</v>
      </c>
      <c r="BG328">
        <f t="shared" si="240"/>
        <v>-188.14402925649225</v>
      </c>
      <c r="BH328">
        <f t="shared" si="255"/>
        <v>-8.1440292564922458</v>
      </c>
      <c r="BI328">
        <f t="shared" si="256"/>
        <v>-8.1440292564922458</v>
      </c>
      <c r="BJ328">
        <f t="shared" si="241"/>
        <v>0</v>
      </c>
      <c r="BK328">
        <f t="shared" si="257"/>
        <v>0</v>
      </c>
      <c r="BM328">
        <f t="shared" si="258"/>
        <v>-57.45609527360044</v>
      </c>
      <c r="BN328">
        <f t="shared" si="242"/>
        <v>-109.14647525382172</v>
      </c>
      <c r="BQ328" s="47">
        <f t="shared" si="259"/>
        <v>30.149404063069966</v>
      </c>
      <c r="BR328" s="529"/>
      <c r="BS328" s="529"/>
      <c r="BT328" s="529">
        <v>151356.125</v>
      </c>
      <c r="BU328" s="529">
        <v>10.0764</v>
      </c>
      <c r="BV328" s="529">
        <v>-136.34200000000001</v>
      </c>
      <c r="BY328" s="529"/>
      <c r="BZ328" s="529"/>
      <c r="CA328" s="529"/>
      <c r="CC328" s="529"/>
    </row>
    <row r="329" spans="1:81">
      <c r="A329">
        <f t="shared" si="263"/>
        <v>575000</v>
      </c>
      <c r="B329">
        <f t="shared" si="243"/>
        <v>575</v>
      </c>
      <c r="C329">
        <f t="shared" ref="C329:C392" si="264">SQRT((A329/Fesr)^2+1)</f>
        <v>3.0583709954796516</v>
      </c>
      <c r="D329">
        <f t="shared" ref="D329:D392" si="265">ATAN(A329/Fesr)</f>
        <v>1.2376992342253292</v>
      </c>
      <c r="F329">
        <f t="shared" ref="F329:F392" si="266">(Ro/(Ro+Rdcr))/SQRT((A329/(Q*Fo))^2+(1-(A329^2/Fo^2))^2)</f>
        <v>2.8934229334980166E-5</v>
      </c>
      <c r="G329">
        <f t="shared" ref="G329:G392" si="267">-ATAN(A329*Fo/(Q*(Fo^2-A329^2)))</f>
        <v>1.6218038349593664E-3</v>
      </c>
      <c r="H329">
        <f t="shared" ref="H329:H392" si="268">IF(G329&gt;0,G329-Pi,G329)</f>
        <v>-3.1399708461650406</v>
      </c>
      <c r="J329">
        <f t="shared" ref="J329:J392" si="269">Vin/Vramp</f>
        <v>15</v>
      </c>
      <c r="M329">
        <f t="shared" ref="M329:M392" si="270">1/(2*Pi*_Rfb1*(Cc1ea_u+Cc2ea_u)*A329)</f>
        <v>2.6190901182364611E-3</v>
      </c>
      <c r="N329">
        <f t="shared" ref="N329:N392" si="271">-Pi/2</f>
        <v>-1.5707963250000001</v>
      </c>
      <c r="O329">
        <f t="shared" ref="O329:O392" si="272">SQRT(1+(A329/Fz1_u)^2)</f>
        <v>280.17687110130186</v>
      </c>
      <c r="P329">
        <f t="shared" ref="P329:P392" si="273">ATAN2(Fz1_u,A329)</f>
        <v>1.5672271452302351</v>
      </c>
      <c r="Q329">
        <f t="shared" ref="Q329:Q392" si="274">SQRT(1+(A329/Fz2_u)^2)</f>
        <v>218.66241295745567</v>
      </c>
      <c r="R329">
        <f t="shared" ref="R329:R392" si="275">ATAN2(Fz2_u,A329)</f>
        <v>1.5662230511583042</v>
      </c>
      <c r="S329">
        <f t="shared" ref="S329:S392" si="276">1/SQRT(1+(A329/Fp1_u)^2)</f>
        <v>0.30858306911747313</v>
      </c>
      <c r="T329">
        <f t="shared" ref="T329:T392" si="277">-ATAN2(Fp1_u,A329)</f>
        <v>-1.2570932836539377</v>
      </c>
      <c r="U329">
        <f t="shared" ref="U329:U392" si="278">1/SQRT(1+(A329/Fp2_u)^2)</f>
        <v>0.20377763876657357</v>
      </c>
      <c r="V329">
        <f t="shared" ref="V329:V392" si="279">-ATAN2(Fp2_u,A329)</f>
        <v>-1.3655813416499047</v>
      </c>
      <c r="X329">
        <f t="shared" si="244"/>
        <v>-37.462423524509198</v>
      </c>
      <c r="Y329">
        <f t="shared" ref="Y329:Y392" si="280">(180/Pi)*(D329+H329+N329+P329+R329+T329+V329)</f>
        <v>-169.72685044125708</v>
      </c>
      <c r="Z329">
        <f t="shared" si="245"/>
        <v>10.273149558742915</v>
      </c>
      <c r="AC329">
        <v>1</v>
      </c>
      <c r="AD329">
        <f t="shared" ref="AD329:AD392" si="281">Rcea1_u*Cc1ea_u*A329*2*Pi</f>
        <v>280.17508650862504</v>
      </c>
      <c r="AE329">
        <f t="shared" ref="AE329:AE392" si="282">-Rcea1_u*Cc1ea_u*Cc2ea_u*(A329*2*Pi)^2</f>
        <v>-8.3002482091675989E-2</v>
      </c>
      <c r="AF329">
        <f t="shared" ref="AF329:AF392" si="283">(Cc2ea_u+Cc1ea_u)*A329*2*Pi</f>
        <v>1.7276560460145002E-2</v>
      </c>
      <c r="AG329">
        <f t="shared" si="246"/>
        <v>661.87132762802321</v>
      </c>
      <c r="AH329">
        <f t="shared" si="247"/>
        <v>-3237.7372305951076</v>
      </c>
      <c r="AJ329">
        <f t="shared" ref="AJ329:AJ392" si="284">_Rfb1</f>
        <v>22100</v>
      </c>
      <c r="AK329">
        <f t="shared" ref="AK329:AK392" si="285">_Rfb1*Rcea2_u*Cc3ea_u*A329*2*Pi</f>
        <v>68122.540066826696</v>
      </c>
      <c r="AL329">
        <v>1</v>
      </c>
      <c r="AM329">
        <f t="shared" ref="AM329:AM392" si="286">(_Rfb1+Rcea2_u)*Cc3ea_u*A329*2*Pi</f>
        <v>218.66012631565201</v>
      </c>
      <c r="AN329">
        <f t="shared" si="248"/>
        <v>312.00102385336572</v>
      </c>
      <c r="AO329">
        <f t="shared" si="249"/>
        <v>-99.643219563012835</v>
      </c>
      <c r="AQ329">
        <f t="shared" ref="AQ329:AQ392" si="287">Eadcg/(1+(Eadcg*A329/GBP)^2)</f>
        <v>7.5614309554397309E-3</v>
      </c>
      <c r="AR329">
        <f t="shared" ref="AR329:AR392" si="288">-(A329*Eadcg*Eadcg/GBP)/(1+(Eadcg*A329/GBP)^2)</f>
        <v>-8.6956455987556911</v>
      </c>
      <c r="AT329">
        <f t="shared" si="261"/>
        <v>-28149.210804806546</v>
      </c>
      <c r="AU329">
        <f t="shared" si="262"/>
        <v>-5779.8804235522075</v>
      </c>
      <c r="AV329">
        <f t="shared" si="250"/>
        <v>-2.9390772850112437</v>
      </c>
      <c r="AW329">
        <f t="shared" si="251"/>
        <v>82.185752411051723</v>
      </c>
      <c r="AX329">
        <f t="shared" si="252"/>
        <v>-6306.8255685693857</v>
      </c>
      <c r="AY329">
        <f t="shared" si="260"/>
        <v>-1.5577658251714666</v>
      </c>
      <c r="BA329">
        <f t="shared" ref="BA329:BA392" si="289">SQRT(AT329^2+AU329^2)/SQRT(AW329^2+AX329^2)</f>
        <v>4.5560221491795581</v>
      </c>
      <c r="BB329">
        <f t="shared" si="253"/>
        <v>13.171716534844848</v>
      </c>
      <c r="BC329">
        <f t="shared" si="254"/>
        <v>-1.3813114598397771</v>
      </c>
      <c r="BD329">
        <f t="shared" ref="BD329:BD392" si="290">BC329*180/Pi-180</f>
        <v>-259.14331693230815</v>
      </c>
      <c r="BF329">
        <f t="shared" ref="BF329:BF392" si="291">20*LOG(BA329*J329*F329*C329)</f>
        <v>-44.368416569514544</v>
      </c>
      <c r="BG329">
        <f t="shared" ref="BG329:BG392" si="292">(180/Pi)*(D329+H329+BC329)</f>
        <v>-188.13545190854322</v>
      </c>
      <c r="BH329">
        <f t="shared" si="255"/>
        <v>-8.1354519085432173</v>
      </c>
      <c r="BI329">
        <f t="shared" si="256"/>
        <v>-8.1354519085432173</v>
      </c>
      <c r="BJ329">
        <f t="shared" ref="BJ329:BJ392" si="293">SUM((BF330&lt;0)*(BF329&gt;0))*A329</f>
        <v>0</v>
      </c>
      <c r="BK329">
        <f t="shared" si="257"/>
        <v>0</v>
      </c>
      <c r="BM329">
        <f t="shared" si="258"/>
        <v>-57.540133104359384</v>
      </c>
      <c r="BN329">
        <f t="shared" ref="BN329:BN392" si="294">(H329+D329)*180/Pi</f>
        <v>-108.99213497623508</v>
      </c>
      <c r="BQ329" s="47">
        <f t="shared" si="259"/>
        <v>30.073677335129986</v>
      </c>
      <c r="BR329" s="529"/>
      <c r="BS329" s="529"/>
      <c r="BT329" s="529">
        <v>154881.66200000001</v>
      </c>
      <c r="BU329" s="529">
        <v>10.266</v>
      </c>
      <c r="BV329" s="529">
        <v>-136.816</v>
      </c>
      <c r="BY329" s="529"/>
      <c r="BZ329" s="529"/>
      <c r="CA329" s="529"/>
      <c r="CC329" s="529"/>
    </row>
    <row r="330" spans="1:81">
      <c r="A330">
        <f t="shared" si="263"/>
        <v>580000</v>
      </c>
      <c r="B330">
        <f t="shared" ref="B330:B393" si="295">A330/1000</f>
        <v>580</v>
      </c>
      <c r="C330">
        <f t="shared" si="264"/>
        <v>3.0821332510330315</v>
      </c>
      <c r="D330">
        <f t="shared" si="265"/>
        <v>1.2403654715056971</v>
      </c>
      <c r="F330">
        <f t="shared" si="266"/>
        <v>2.8437499858978074E-5</v>
      </c>
      <c r="G330">
        <f t="shared" si="267"/>
        <v>1.6078219786105977E-3</v>
      </c>
      <c r="H330">
        <f t="shared" si="268"/>
        <v>-3.1399848280213898</v>
      </c>
      <c r="J330">
        <f t="shared" si="269"/>
        <v>15</v>
      </c>
      <c r="M330">
        <f t="shared" si="270"/>
        <v>2.5965117551482158E-3</v>
      </c>
      <c r="N330">
        <f t="shared" si="271"/>
        <v>-1.5707963250000001</v>
      </c>
      <c r="O330">
        <f t="shared" si="272"/>
        <v>282.61316081705399</v>
      </c>
      <c r="P330">
        <f t="shared" si="273"/>
        <v>1.5672579137788865</v>
      </c>
      <c r="Q330">
        <f t="shared" si="274"/>
        <v>220.56378564797461</v>
      </c>
      <c r="R330">
        <f t="shared" si="275"/>
        <v>1.5662624754056558</v>
      </c>
      <c r="S330">
        <f t="shared" si="276"/>
        <v>0.30617322451239998</v>
      </c>
      <c r="T330">
        <f t="shared" si="277"/>
        <v>-1.2596257313557089</v>
      </c>
      <c r="U330">
        <f t="shared" si="278"/>
        <v>0.20209298062443112</v>
      </c>
      <c r="V330">
        <f t="shared" si="279"/>
        <v>-1.3673017990518923</v>
      </c>
      <c r="X330">
        <f t="shared" ref="X330:X393" si="296">20*LOG(C330*J330*O330*Q330*F330*M330*S330*U330)</f>
        <v>-37.610611966813565</v>
      </c>
      <c r="Y330">
        <f t="shared" si="280"/>
        <v>-169.81453916152219</v>
      </c>
      <c r="Z330">
        <f t="shared" ref="Z330:Z393" si="297">Y330+180</f>
        <v>10.185460838477809</v>
      </c>
      <c r="AC330">
        <v>1</v>
      </c>
      <c r="AD330">
        <f t="shared" si="281"/>
        <v>282.61139160869999</v>
      </c>
      <c r="AE330">
        <f t="shared" si="282"/>
        <v>-8.4452279699477661E-2</v>
      </c>
      <c r="AF330">
        <f t="shared" si="283"/>
        <v>1.7426791420668001E-2</v>
      </c>
      <c r="AG330">
        <f t="shared" ref="AG330:AG359" si="298">AC330*AE330/(AE330^2+AF330^2)+AD330*AF330/(AE330^2+AF330^2)</f>
        <v>650.97299858293536</v>
      </c>
      <c r="AH330">
        <f t="shared" ref="AH330:AH359" si="299">AD330*AE330/(AE330^2+AF330^2)-AC330*AF330/(AE330^2+AF330^2)</f>
        <v>-3212.0745811387042</v>
      </c>
      <c r="AJ330">
        <f t="shared" si="284"/>
        <v>22100</v>
      </c>
      <c r="AK330">
        <f t="shared" si="285"/>
        <v>68714.909980451281</v>
      </c>
      <c r="AL330">
        <v>1</v>
      </c>
      <c r="AM330">
        <f t="shared" si="286"/>
        <v>220.56151871839683</v>
      </c>
      <c r="AN330">
        <f t="shared" ref="AN330:AN359" si="300">AJ330*AL330/(AL330^2+AM330^2)+AK330*AM330/(AL330^2+AM330^2)</f>
        <v>311.99320099925671</v>
      </c>
      <c r="AO330">
        <f t="shared" ref="AO330:AO359" si="301">AK330*AL330/(AL330^2+AM330^2)-AJ330*AM330/(AL330^2+AM330^2)</f>
        <v>-98.784261758818886</v>
      </c>
      <c r="AQ330">
        <f t="shared" si="287"/>
        <v>7.431623490172793E-3</v>
      </c>
      <c r="AR330">
        <f t="shared" si="288"/>
        <v>-8.6206832486004394</v>
      </c>
      <c r="AT330">
        <f t="shared" si="261"/>
        <v>-27685.439748649962</v>
      </c>
      <c r="AU330">
        <f t="shared" si="262"/>
        <v>-5635.7029530844857</v>
      </c>
      <c r="AV330">
        <f t="shared" ref="AV330:AV393" si="302">ATAN2(AT330,AU330)</f>
        <v>-2.940774470110834</v>
      </c>
      <c r="AW330">
        <f t="shared" ref="AW330:AW393" si="303">AG330-AH330*AO330/_Rfb2+AG330*AN330/_Rfb2+AN330-AO330*AR330+AQ330*AN330</f>
        <v>86.567249730850804</v>
      </c>
      <c r="AX330">
        <f t="shared" ref="AX330:AX393" si="304">AH330+AH330*AN330/_Rfb2+AG330*AO330/_Rfb2+AO330+AO330*AQ330+AN330*AR330</f>
        <v>-6254.5300394219375</v>
      </c>
      <c r="AY330">
        <f t="shared" si="260"/>
        <v>-1.5569564823866</v>
      </c>
      <c r="BA330">
        <f t="shared" si="289"/>
        <v>4.5168092593586806</v>
      </c>
      <c r="BB330">
        <f t="shared" ref="BB330:BB393" si="305">20*LOG(BA330)</f>
        <v>13.096635021956011</v>
      </c>
      <c r="BC330">
        <f t="shared" ref="BC330:BC393" si="306">AV330-AY330</f>
        <v>-1.383817987724234</v>
      </c>
      <c r="BD330">
        <f t="shared" si="290"/>
        <v>-259.28693040148352</v>
      </c>
      <c r="BF330">
        <f t="shared" si="291"/>
        <v>-44.526683343861094</v>
      </c>
      <c r="BG330">
        <f t="shared" si="292"/>
        <v>-188.12710233555796</v>
      </c>
      <c r="BH330">
        <f t="shared" ref="BH330:BH393" si="307">IF(BG330&gt;180,BG330-180,BG330+180)</f>
        <v>-8.1271023355579644</v>
      </c>
      <c r="BI330">
        <f t="shared" ref="BI330:BI393" si="308">IF(BH330&gt;180,BH330-360,BH330)</f>
        <v>-8.1271023355579644</v>
      </c>
      <c r="BJ330">
        <f t="shared" si="293"/>
        <v>0</v>
      </c>
      <c r="BK330">
        <f t="shared" ref="BK330:BK393" si="309">IF(BJ330&gt;0,BI330,0)</f>
        <v>0</v>
      </c>
      <c r="BM330">
        <f t="shared" ref="BM330:BM393" si="310">20*LOG(J330*F330*C330)</f>
        <v>-57.623318365817099</v>
      </c>
      <c r="BN330">
        <f t="shared" si="294"/>
        <v>-108.84017193407448</v>
      </c>
      <c r="BQ330" s="47">
        <f t="shared" ref="BQ330:BQ393" si="311">20*LOG(BA330*7)</f>
        <v>29.99859582224115</v>
      </c>
      <c r="BR330" s="529"/>
      <c r="BS330" s="529"/>
      <c r="BT330" s="529">
        <v>158489.31899999999</v>
      </c>
      <c r="BU330" s="529">
        <v>10.4788</v>
      </c>
      <c r="BV330" s="529">
        <v>-137.47</v>
      </c>
      <c r="BY330" s="529"/>
      <c r="BZ330" s="529"/>
      <c r="CA330" s="529"/>
      <c r="CC330" s="529"/>
    </row>
    <row r="331" spans="1:81">
      <c r="A331">
        <f t="shared" si="263"/>
        <v>585000</v>
      </c>
      <c r="B331">
        <f t="shared" si="295"/>
        <v>585</v>
      </c>
      <c r="C331">
        <f t="shared" si="264"/>
        <v>3.1059170815744817</v>
      </c>
      <c r="D331">
        <f t="shared" si="265"/>
        <v>1.2429908933240021</v>
      </c>
      <c r="F331">
        <f t="shared" si="266"/>
        <v>2.7953452989217393E-5</v>
      </c>
      <c r="G331">
        <f t="shared" si="267"/>
        <v>1.5940791483210817E-3</v>
      </c>
      <c r="H331">
        <f t="shared" si="268"/>
        <v>-3.1399985708516791</v>
      </c>
      <c r="J331">
        <f t="shared" si="269"/>
        <v>15</v>
      </c>
      <c r="M331">
        <f t="shared" si="270"/>
        <v>2.5743193469845555E-3</v>
      </c>
      <c r="N331">
        <f t="shared" si="271"/>
        <v>-1.5707963250000001</v>
      </c>
      <c r="O331">
        <f t="shared" si="272"/>
        <v>285.04945079578351</v>
      </c>
      <c r="P331">
        <f t="shared" si="273"/>
        <v>1.5672881563759706</v>
      </c>
      <c r="Q331">
        <f t="shared" si="274"/>
        <v>222.46515867544952</v>
      </c>
      <c r="R331">
        <f t="shared" si="275"/>
        <v>1.5663012257479845</v>
      </c>
      <c r="S331">
        <f t="shared" si="276"/>
        <v>0.30379882378230144</v>
      </c>
      <c r="T331">
        <f t="shared" si="277"/>
        <v>-1.2621189161243578</v>
      </c>
      <c r="U331">
        <f t="shared" si="278"/>
        <v>0.20043536993124494</v>
      </c>
      <c r="V331">
        <f t="shared" si="279"/>
        <v>-1.368994038261115</v>
      </c>
      <c r="X331">
        <f t="shared" si="296"/>
        <v>-37.75756676850434</v>
      </c>
      <c r="Y331">
        <f t="shared" si="280"/>
        <v>-169.90075510332471</v>
      </c>
      <c r="Z331">
        <f t="shared" si="297"/>
        <v>10.099244896675287</v>
      </c>
      <c r="AC331">
        <v>1</v>
      </c>
      <c r="AD331">
        <f t="shared" si="281"/>
        <v>285.04769670877505</v>
      </c>
      <c r="AE331">
        <f t="shared" si="282"/>
        <v>-8.5914629667520045E-2</v>
      </c>
      <c r="AF331">
        <f t="shared" si="283"/>
        <v>1.7577022381191004E-2</v>
      </c>
      <c r="AG331">
        <f t="shared" si="298"/>
        <v>640.3379487340145</v>
      </c>
      <c r="AH331">
        <f t="shared" si="299"/>
        <v>-3186.7967459313672</v>
      </c>
      <c r="AJ331">
        <f t="shared" si="284"/>
        <v>22100</v>
      </c>
      <c r="AK331">
        <f t="shared" si="285"/>
        <v>69307.279894075866</v>
      </c>
      <c r="AL331">
        <v>1</v>
      </c>
      <c r="AM331">
        <f t="shared" si="286"/>
        <v>222.46291112114159</v>
      </c>
      <c r="AN331">
        <f t="shared" si="300"/>
        <v>311.98557786730424</v>
      </c>
      <c r="AO331">
        <f t="shared" si="301"/>
        <v>-97.939986096235558</v>
      </c>
      <c r="AQ331">
        <f t="shared" si="287"/>
        <v>7.3051301737671317E-3</v>
      </c>
      <c r="AR331">
        <f t="shared" si="288"/>
        <v>-8.5470023033075435</v>
      </c>
      <c r="AT331">
        <f t="shared" si="261"/>
        <v>-27232.881375577675</v>
      </c>
      <c r="AU331">
        <f t="shared" si="262"/>
        <v>-5496.2498877912158</v>
      </c>
      <c r="AV331">
        <f t="shared" si="302"/>
        <v>-2.9424438348283601</v>
      </c>
      <c r="AW331">
        <f t="shared" si="303"/>
        <v>90.822557909770282</v>
      </c>
      <c r="AX331">
        <f t="shared" si="304"/>
        <v>-6203.0788933105869</v>
      </c>
      <c r="AY331">
        <f t="shared" ref="AY331:AY394" si="312">ATAN2(AW331,AX331)</f>
        <v>-1.5561558441737593</v>
      </c>
      <c r="BA331">
        <f t="shared" si="289"/>
        <v>4.4782609232860979</v>
      </c>
      <c r="BB331">
        <f t="shared" si="305"/>
        <v>13.022187877946864</v>
      </c>
      <c r="BC331">
        <f t="shared" si="306"/>
        <v>-1.3862879906546008</v>
      </c>
      <c r="BD331">
        <f t="shared" si="290"/>
        <v>-259.42845114494014</v>
      </c>
      <c r="BF331">
        <f t="shared" si="291"/>
        <v>-44.683480549171506</v>
      </c>
      <c r="BG331">
        <f t="shared" si="292"/>
        <v>-188.11898489538734</v>
      </c>
      <c r="BH331">
        <f t="shared" si="307"/>
        <v>-8.1189848953873422</v>
      </c>
      <c r="BI331">
        <f t="shared" si="308"/>
        <v>-8.1189848953873422</v>
      </c>
      <c r="BJ331">
        <f t="shared" si="293"/>
        <v>0</v>
      </c>
      <c r="BK331">
        <f t="shared" si="309"/>
        <v>0</v>
      </c>
      <c r="BM331">
        <f t="shared" si="310"/>
        <v>-57.705668427118368</v>
      </c>
      <c r="BN331">
        <f t="shared" si="294"/>
        <v>-108.69053375044719</v>
      </c>
      <c r="BQ331" s="47">
        <f t="shared" si="311"/>
        <v>29.924148678232001</v>
      </c>
      <c r="BR331" s="529"/>
      <c r="BS331" s="529"/>
      <c r="BT331" s="529">
        <v>162181.01</v>
      </c>
      <c r="BU331" s="529">
        <v>10.741899999999999</v>
      </c>
      <c r="BV331" s="529">
        <v>-137.46899999999999</v>
      </c>
      <c r="BY331" s="529"/>
      <c r="BZ331" s="529"/>
      <c r="CA331" s="529"/>
      <c r="CC331" s="529"/>
    </row>
    <row r="332" spans="1:81">
      <c r="A332">
        <f t="shared" si="263"/>
        <v>590000</v>
      </c>
      <c r="B332">
        <f t="shared" si="295"/>
        <v>590</v>
      </c>
      <c r="C332">
        <f t="shared" si="264"/>
        <v>3.1297219952368445</v>
      </c>
      <c r="D332">
        <f t="shared" si="265"/>
        <v>1.2455763944055516</v>
      </c>
      <c r="F332">
        <f t="shared" si="266"/>
        <v>2.7481660614533193E-5</v>
      </c>
      <c r="G332">
        <f t="shared" si="267"/>
        <v>1.580569266488792E-3</v>
      </c>
      <c r="H332">
        <f t="shared" si="268"/>
        <v>-3.1400120807335115</v>
      </c>
      <c r="J332">
        <f t="shared" si="269"/>
        <v>15</v>
      </c>
      <c r="M332">
        <f t="shared" si="270"/>
        <v>2.5525030813321439E-3</v>
      </c>
      <c r="N332">
        <f t="shared" si="271"/>
        <v>-1.5707963250000001</v>
      </c>
      <c r="O332">
        <f t="shared" si="272"/>
        <v>287.48574103080466</v>
      </c>
      <c r="P332">
        <f t="shared" si="273"/>
        <v>1.5673178863929187</v>
      </c>
      <c r="Q332">
        <f t="shared" si="274"/>
        <v>224.36653203131391</v>
      </c>
      <c r="R332">
        <f t="shared" si="275"/>
        <v>1.5663393193180088</v>
      </c>
      <c r="S332">
        <f t="shared" si="276"/>
        <v>0.30145913621421205</v>
      </c>
      <c r="T332">
        <f t="shared" si="277"/>
        <v>-1.2645737137448336</v>
      </c>
      <c r="U332">
        <f t="shared" si="278"/>
        <v>0.19880417469530495</v>
      </c>
      <c r="V332">
        <f t="shared" si="279"/>
        <v>-1.3706587384063327</v>
      </c>
      <c r="X332">
        <f t="shared" si="296"/>
        <v>-37.903307945562048</v>
      </c>
      <c r="Y332">
        <f t="shared" si="280"/>
        <v>-169.98553469313589</v>
      </c>
      <c r="Z332">
        <f t="shared" si="297"/>
        <v>10.014465306864111</v>
      </c>
      <c r="AC332">
        <v>1</v>
      </c>
      <c r="AD332">
        <f t="shared" si="281"/>
        <v>287.48400180885</v>
      </c>
      <c r="AE332">
        <f t="shared" si="282"/>
        <v>-8.7389531995803113E-2</v>
      </c>
      <c r="AF332">
        <f t="shared" si="283"/>
        <v>1.7727253341714003E-2</v>
      </c>
      <c r="AG332">
        <f t="shared" si="298"/>
        <v>629.95788518277698</v>
      </c>
      <c r="AH332">
        <f t="shared" si="299"/>
        <v>-3161.8956238016544</v>
      </c>
      <c r="AJ332">
        <f t="shared" si="284"/>
        <v>22100</v>
      </c>
      <c r="AK332">
        <f t="shared" si="285"/>
        <v>69899.649807700436</v>
      </c>
      <c r="AL332">
        <v>1</v>
      </c>
      <c r="AM332">
        <f t="shared" si="286"/>
        <v>224.36430352388638</v>
      </c>
      <c r="AN332">
        <f t="shared" si="300"/>
        <v>311.97814771626065</v>
      </c>
      <c r="AO332">
        <f t="shared" si="301"/>
        <v>-97.110019330522121</v>
      </c>
      <c r="AQ332">
        <f t="shared" si="287"/>
        <v>7.1818391397305802E-3</v>
      </c>
      <c r="AR332">
        <f t="shared" si="288"/>
        <v>-8.4745701848820847</v>
      </c>
      <c r="AT332">
        <f t="shared" si="261"/>
        <v>-26791.182124982457</v>
      </c>
      <c r="AU332">
        <f t="shared" si="262"/>
        <v>-5361.3305372480954</v>
      </c>
      <c r="AV332">
        <f t="shared" si="302"/>
        <v>-2.9440860481789652</v>
      </c>
      <c r="AW332">
        <f t="shared" si="303"/>
        <v>94.956504634260625</v>
      </c>
      <c r="AX332">
        <f t="shared" si="304"/>
        <v>-6152.4522060962481</v>
      </c>
      <c r="AY332">
        <f t="shared" si="312"/>
        <v>-1.5553636240626503</v>
      </c>
      <c r="BA332">
        <f t="shared" si="289"/>
        <v>4.4403604534644234</v>
      </c>
      <c r="BB332">
        <f t="shared" si="305"/>
        <v>12.948364522096883</v>
      </c>
      <c r="BC332">
        <f t="shared" si="306"/>
        <v>-1.388722424116315</v>
      </c>
      <c r="BD332">
        <f t="shared" si="290"/>
        <v>-259.56793390796122</v>
      </c>
      <c r="BF332">
        <f t="shared" si="291"/>
        <v>-44.838835616131689</v>
      </c>
      <c r="BG332">
        <f t="shared" si="292"/>
        <v>-188.11110341755142</v>
      </c>
      <c r="BH332">
        <f t="shared" si="307"/>
        <v>-8.1111034175514192</v>
      </c>
      <c r="BI332">
        <f t="shared" si="308"/>
        <v>-8.1111034175514192</v>
      </c>
      <c r="BJ332">
        <f t="shared" si="293"/>
        <v>0</v>
      </c>
      <c r="BK332">
        <f t="shared" si="309"/>
        <v>0</v>
      </c>
      <c r="BM332">
        <f t="shared" si="310"/>
        <v>-57.78720013822857</v>
      </c>
      <c r="BN332">
        <f t="shared" si="294"/>
        <v>-108.54316950959023</v>
      </c>
      <c r="BQ332" s="47">
        <f t="shared" si="311"/>
        <v>29.85032532238202</v>
      </c>
      <c r="BR332" s="529"/>
      <c r="BS332" s="529"/>
      <c r="BT332" s="529">
        <v>165958.69099999999</v>
      </c>
      <c r="BU332" s="529">
        <v>11.0235</v>
      </c>
      <c r="BV332" s="529">
        <v>-138.31200000000001</v>
      </c>
      <c r="BY332" s="529"/>
      <c r="BZ332" s="529"/>
      <c r="CA332" s="529"/>
      <c r="CC332" s="529"/>
    </row>
    <row r="333" spans="1:81">
      <c r="A333">
        <f t="shared" si="263"/>
        <v>595000</v>
      </c>
      <c r="B333">
        <f t="shared" si="295"/>
        <v>595</v>
      </c>
      <c r="C333">
        <f t="shared" si="264"/>
        <v>3.1535475145751173</v>
      </c>
      <c r="D333">
        <f t="shared" si="265"/>
        <v>1.2481228446075148</v>
      </c>
      <c r="F333">
        <f t="shared" si="266"/>
        <v>2.7021712536674531E-5</v>
      </c>
      <c r="G333">
        <f t="shared" si="267"/>
        <v>1.5672864598285745E-3</v>
      </c>
      <c r="H333">
        <f t="shared" si="268"/>
        <v>-3.1400253635401718</v>
      </c>
      <c r="J333">
        <f t="shared" si="269"/>
        <v>15</v>
      </c>
      <c r="M333">
        <f t="shared" si="270"/>
        <v>2.531053475606664E-3</v>
      </c>
      <c r="N333">
        <f t="shared" si="271"/>
        <v>-1.5707963250000001</v>
      </c>
      <c r="O333">
        <f t="shared" si="272"/>
        <v>289.92203151565644</v>
      </c>
      <c r="P333">
        <f t="shared" si="273"/>
        <v>1.5673471167517117</v>
      </c>
      <c r="Q333">
        <f t="shared" si="274"/>
        <v>226.2679057072892</v>
      </c>
      <c r="R333">
        <f t="shared" si="275"/>
        <v>1.5663767726725775</v>
      </c>
      <c r="S333">
        <f t="shared" si="276"/>
        <v>0.29915344955679757</v>
      </c>
      <c r="T333">
        <f t="shared" si="277"/>
        <v>-1.2669909750910207</v>
      </c>
      <c r="U333">
        <f t="shared" si="278"/>
        <v>0.19719878199619728</v>
      </c>
      <c r="V333">
        <f t="shared" si="279"/>
        <v>-1.3722965573016768</v>
      </c>
      <c r="X333">
        <f t="shared" si="296"/>
        <v>-38.047855040119828</v>
      </c>
      <c r="Y333">
        <f t="shared" si="280"/>
        <v>-170.0689131807689</v>
      </c>
      <c r="Z333">
        <f t="shared" si="297"/>
        <v>9.9310868192310977</v>
      </c>
      <c r="AC333">
        <v>1</v>
      </c>
      <c r="AD333">
        <f t="shared" si="281"/>
        <v>289.92030690892506</v>
      </c>
      <c r="AE333">
        <f t="shared" si="282"/>
        <v>-8.887698668432692E-2</v>
      </c>
      <c r="AF333">
        <f t="shared" si="283"/>
        <v>1.7877484302237002E-2</v>
      </c>
      <c r="AG333">
        <f t="shared" si="298"/>
        <v>619.82483417887147</v>
      </c>
      <c r="AH333">
        <f t="shared" si="299"/>
        <v>-3137.3633216902008</v>
      </c>
      <c r="AJ333">
        <f t="shared" si="284"/>
        <v>22100</v>
      </c>
      <c r="AK333">
        <f t="shared" si="285"/>
        <v>70492.019721325021</v>
      </c>
      <c r="AL333">
        <v>1</v>
      </c>
      <c r="AM333">
        <f t="shared" si="286"/>
        <v>226.2656959266312</v>
      </c>
      <c r="AN333">
        <f t="shared" si="300"/>
        <v>311.97090408691776</v>
      </c>
      <c r="AO333">
        <f t="shared" si="301"/>
        <v>-96.294000761733059</v>
      </c>
      <c r="AQ333">
        <f t="shared" si="287"/>
        <v>7.0616432020032469E-3</v>
      </c>
      <c r="AR333">
        <f t="shared" si="288"/>
        <v>-8.4033554103838632</v>
      </c>
      <c r="AT333">
        <f t="shared" si="261"/>
        <v>-26360.002061838524</v>
      </c>
      <c r="AU333">
        <f t="shared" si="262"/>
        <v>-5230.7633141601282</v>
      </c>
      <c r="AV333">
        <f t="shared" si="302"/>
        <v>-2.9457017582031098</v>
      </c>
      <c r="AW333">
        <f t="shared" si="303"/>
        <v>98.973688982171836</v>
      </c>
      <c r="AX333">
        <f t="shared" si="304"/>
        <v>-6102.6306646933772</v>
      </c>
      <c r="AY333">
        <f t="shared" si="312"/>
        <v>-1.5545795478179711</v>
      </c>
      <c r="BA333">
        <f t="shared" si="289"/>
        <v>4.4030917126683455</v>
      </c>
      <c r="BB333">
        <f t="shared" si="305"/>
        <v>12.875154630793805</v>
      </c>
      <c r="BC333">
        <f t="shared" si="306"/>
        <v>-1.3911222103851386</v>
      </c>
      <c r="BD333">
        <f t="shared" si="290"/>
        <v>-259.70543153305539</v>
      </c>
      <c r="BF333">
        <f t="shared" si="291"/>
        <v>-44.992775219137464</v>
      </c>
      <c r="BG333">
        <f t="shared" si="292"/>
        <v>-188.10346124192873</v>
      </c>
      <c r="BH333">
        <f t="shared" si="307"/>
        <v>-8.1034612419287271</v>
      </c>
      <c r="BI333">
        <f t="shared" si="308"/>
        <v>-8.1034612419287271</v>
      </c>
      <c r="BJ333">
        <f t="shared" si="293"/>
        <v>0</v>
      </c>
      <c r="BK333">
        <f t="shared" si="309"/>
        <v>0</v>
      </c>
      <c r="BM333">
        <f t="shared" si="310"/>
        <v>-57.867929849931265</v>
      </c>
      <c r="BN333">
        <f t="shared" si="294"/>
        <v>-108.39802970887338</v>
      </c>
      <c r="BQ333" s="47">
        <f t="shared" si="311"/>
        <v>29.777115431078943</v>
      </c>
      <c r="BR333" s="529"/>
      <c r="BS333" s="529"/>
      <c r="BT333" s="529">
        <v>169824.36499999999</v>
      </c>
      <c r="BU333" s="529">
        <v>11.234299999999999</v>
      </c>
      <c r="BV333" s="529">
        <v>-140.114</v>
      </c>
      <c r="BY333" s="529"/>
      <c r="BZ333" s="529"/>
      <c r="CA333" s="529"/>
      <c r="CC333" s="529"/>
    </row>
    <row r="334" spans="1:81">
      <c r="A334">
        <f t="shared" si="263"/>
        <v>600000</v>
      </c>
      <c r="B334">
        <f t="shared" si="295"/>
        <v>600</v>
      </c>
      <c r="C334">
        <f t="shared" si="264"/>
        <v>3.1773931760575298</v>
      </c>
      <c r="D334">
        <f t="shared" si="265"/>
        <v>1.2506310897344957</v>
      </c>
      <c r="F334">
        <f t="shared" si="266"/>
        <v>2.657321557835725E-5</v>
      </c>
      <c r="G334">
        <f t="shared" si="267"/>
        <v>1.5542250508575751E-3</v>
      </c>
      <c r="H334">
        <f t="shared" si="268"/>
        <v>-3.1400384249491426</v>
      </c>
      <c r="J334">
        <f t="shared" si="269"/>
        <v>15</v>
      </c>
      <c r="M334">
        <f t="shared" si="270"/>
        <v>2.5099613633099418E-3</v>
      </c>
      <c r="N334">
        <f t="shared" si="271"/>
        <v>-1.5707963250000001</v>
      </c>
      <c r="O334">
        <f t="shared" si="272"/>
        <v>292.35832224409313</v>
      </c>
      <c r="P334">
        <f t="shared" si="273"/>
        <v>1.5673758599436058</v>
      </c>
      <c r="Q334">
        <f t="shared" si="274"/>
        <v>228.16927969537278</v>
      </c>
      <c r="R334">
        <f t="shared" si="275"/>
        <v>1.5664136018166612</v>
      </c>
      <c r="S334">
        <f t="shared" si="276"/>
        <v>0.29688106950375776</v>
      </c>
      <c r="T334">
        <f t="shared" si="277"/>
        <v>-1.2693715269683747</v>
      </c>
      <c r="U334">
        <f t="shared" si="278"/>
        <v>0.19561859729003217</v>
      </c>
      <c r="V334">
        <f t="shared" si="279"/>
        <v>-1.3739081322641229</v>
      </c>
      <c r="X334">
        <f t="shared" si="296"/>
        <v>-38.19122713498016</v>
      </c>
      <c r="Y334">
        <f t="shared" si="280"/>
        <v>-170.15092468580801</v>
      </c>
      <c r="Z334">
        <f t="shared" si="297"/>
        <v>9.8490753141919924</v>
      </c>
      <c r="AC334">
        <v>1</v>
      </c>
      <c r="AD334">
        <f t="shared" si="281"/>
        <v>292.356612009</v>
      </c>
      <c r="AE334">
        <f t="shared" si="282"/>
        <v>-9.0376993733091424E-2</v>
      </c>
      <c r="AF334">
        <f t="shared" si="283"/>
        <v>1.8027715262760001E-2</v>
      </c>
      <c r="AG334">
        <f t="shared" si="298"/>
        <v>609.9311267258654</v>
      </c>
      <c r="AH334">
        <f t="shared" si="299"/>
        <v>-3113.1921488496214</v>
      </c>
      <c r="AJ334">
        <f t="shared" si="284"/>
        <v>22100</v>
      </c>
      <c r="AK334">
        <f t="shared" si="285"/>
        <v>71084.389634949592</v>
      </c>
      <c r="AL334">
        <v>1</v>
      </c>
      <c r="AM334">
        <f t="shared" si="286"/>
        <v>228.16708832937599</v>
      </c>
      <c r="AN334">
        <f t="shared" si="300"/>
        <v>311.96384078806437</v>
      </c>
      <c r="AO334">
        <f t="shared" si="301"/>
        <v>-95.491581712079807</v>
      </c>
      <c r="AQ334">
        <f t="shared" si="287"/>
        <v>6.9444396219169296E-3</v>
      </c>
      <c r="AR334">
        <f t="shared" si="288"/>
        <v>-8.3333275463003158</v>
      </c>
      <c r="AT334">
        <f t="shared" si="261"/>
        <v>-25939.014261051347</v>
      </c>
      <c r="AU334">
        <f t="shared" si="262"/>
        <v>-5104.3752345997545</v>
      </c>
      <c r="AV334">
        <f t="shared" si="302"/>
        <v>-2.947291592769878</v>
      </c>
      <c r="AW334">
        <f t="shared" si="303"/>
        <v>102.87849423686896</v>
      </c>
      <c r="AX334">
        <f t="shared" si="304"/>
        <v>-6053.5955442201666</v>
      </c>
      <c r="AY334">
        <f t="shared" si="312"/>
        <v>-1.5538033528083037</v>
      </c>
      <c r="BA334">
        <f t="shared" si="289"/>
        <v>4.3664390916569982</v>
      </c>
      <c r="BB334">
        <f t="shared" si="305"/>
        <v>12.802548129501613</v>
      </c>
      <c r="BC334">
        <f t="shared" si="306"/>
        <v>-1.3934882399615742</v>
      </c>
      <c r="BD334">
        <f t="shared" si="290"/>
        <v>-259.84099504214316</v>
      </c>
      <c r="BF334">
        <f t="shared" si="291"/>
        <v>-45.145325303397364</v>
      </c>
      <c r="BG334">
        <f t="shared" si="292"/>
        <v>-188.09606125470143</v>
      </c>
      <c r="BH334">
        <f t="shared" si="307"/>
        <v>-8.096061254701425</v>
      </c>
      <c r="BI334">
        <f t="shared" si="308"/>
        <v>-8.096061254701425</v>
      </c>
      <c r="BJ334">
        <f t="shared" si="293"/>
        <v>0</v>
      </c>
      <c r="BK334">
        <f t="shared" si="309"/>
        <v>0</v>
      </c>
      <c r="BM334">
        <f t="shared" si="310"/>
        <v>-57.94787343289898</v>
      </c>
      <c r="BN334">
        <f t="shared" si="294"/>
        <v>-108.25506621255828</v>
      </c>
      <c r="BQ334" s="47">
        <f t="shared" si="311"/>
        <v>29.704508929786751</v>
      </c>
      <c r="BR334" s="529"/>
      <c r="BS334" s="529"/>
      <c r="BT334" s="529">
        <v>173780.08300000001</v>
      </c>
      <c r="BU334" s="529">
        <v>11.3918</v>
      </c>
      <c r="BV334" s="529">
        <v>-141.173</v>
      </c>
      <c r="BY334" s="529"/>
      <c r="BZ334" s="529"/>
      <c r="CA334" s="529"/>
      <c r="CC334" s="529"/>
    </row>
    <row r="335" spans="1:81">
      <c r="A335">
        <f t="shared" si="263"/>
        <v>605000</v>
      </c>
      <c r="B335">
        <f t="shared" si="295"/>
        <v>605</v>
      </c>
      <c r="C335">
        <f t="shared" si="264"/>
        <v>3.2012585295773079</v>
      </c>
      <c r="D335">
        <f t="shared" si="265"/>
        <v>1.253101952324216</v>
      </c>
      <c r="F335">
        <f t="shared" si="266"/>
        <v>2.6135792742705701E-5</v>
      </c>
      <c r="G335">
        <f t="shared" si="267"/>
        <v>1.5413795498029554E-3</v>
      </c>
      <c r="H335">
        <f t="shared" si="268"/>
        <v>-3.1400512704501971</v>
      </c>
      <c r="J335">
        <f t="shared" si="269"/>
        <v>15</v>
      </c>
      <c r="M335">
        <f t="shared" si="270"/>
        <v>2.489217880968537E-3</v>
      </c>
      <c r="N335">
        <f t="shared" si="271"/>
        <v>-1.5707963250000001</v>
      </c>
      <c r="O335">
        <f t="shared" si="272"/>
        <v>294.79461321007545</v>
      </c>
      <c r="P335">
        <f t="shared" si="273"/>
        <v>1.567404128046932</v>
      </c>
      <c r="Q335">
        <f t="shared" si="274"/>
        <v>230.0706539878266</v>
      </c>
      <c r="R335">
        <f t="shared" si="275"/>
        <v>1.5664498222261587</v>
      </c>
      <c r="S335">
        <f t="shared" si="276"/>
        <v>0.29464131919112357</v>
      </c>
      <c r="T335">
        <f t="shared" si="277"/>
        <v>-1.2717161729243278</v>
      </c>
      <c r="U335">
        <f t="shared" si="278"/>
        <v>0.19406304374386596</v>
      </c>
      <c r="V335">
        <f t="shared" si="279"/>
        <v>-1.3754940808942142</v>
      </c>
      <c r="X335">
        <f t="shared" si="296"/>
        <v>-38.333442867593405</v>
      </c>
      <c r="Y335">
        <f t="shared" si="280"/>
        <v>-170.23160224189402</v>
      </c>
      <c r="Z335">
        <f t="shared" si="297"/>
        <v>9.7683977581059764</v>
      </c>
      <c r="AC335">
        <v>1</v>
      </c>
      <c r="AD335">
        <f t="shared" si="281"/>
        <v>294.79291710907501</v>
      </c>
      <c r="AE335">
        <f t="shared" si="282"/>
        <v>-9.1889553142096639E-2</v>
      </c>
      <c r="AF335">
        <f t="shared" si="283"/>
        <v>1.8177946223283E-2</v>
      </c>
      <c r="AG335">
        <f t="shared" si="298"/>
        <v>600.26938492580109</v>
      </c>
      <c r="AH335">
        <f t="shared" si="299"/>
        <v>-3089.3746111858968</v>
      </c>
      <c r="AJ335">
        <f t="shared" si="284"/>
        <v>22100</v>
      </c>
      <c r="AK335">
        <f t="shared" si="285"/>
        <v>71676.759548574191</v>
      </c>
      <c r="AL335">
        <v>1</v>
      </c>
      <c r="AM335">
        <f t="shared" si="286"/>
        <v>230.0684807321208</v>
      </c>
      <c r="AN335">
        <f t="shared" si="300"/>
        <v>311.95695188325328</v>
      </c>
      <c r="AO335">
        <f t="shared" si="301"/>
        <v>-94.702425029204917</v>
      </c>
      <c r="AQ335">
        <f t="shared" si="287"/>
        <v>6.8301298885800913E-3</v>
      </c>
      <c r="AR335">
        <f t="shared" si="288"/>
        <v>-8.264457165181911</v>
      </c>
      <c r="AT335">
        <f t="shared" si="261"/>
        <v>-25527.904223479185</v>
      </c>
      <c r="AU335">
        <f t="shared" si="262"/>
        <v>-4982.0014491582569</v>
      </c>
      <c r="AV335">
        <f t="shared" si="302"/>
        <v>-2.9488561603442416</v>
      </c>
      <c r="AW335">
        <f t="shared" si="303"/>
        <v>106.67509987655376</v>
      </c>
      <c r="AX335">
        <f t="shared" si="304"/>
        <v>-6005.3286861498163</v>
      </c>
      <c r="AY335">
        <f t="shared" si="312"/>
        <v>-1.553034787412783</v>
      </c>
      <c r="BA335">
        <f t="shared" si="289"/>
        <v>4.3303874879476174</v>
      </c>
      <c r="BB335">
        <f t="shared" si="305"/>
        <v>12.730535185026266</v>
      </c>
      <c r="BC335">
        <f t="shared" si="306"/>
        <v>-1.3958213729314586</v>
      </c>
      <c r="BD335">
        <f t="shared" si="290"/>
        <v>-259.97467371451307</v>
      </c>
      <c r="BF335">
        <f t="shared" si="291"/>
        <v>-45.296511110860536</v>
      </c>
      <c r="BG335">
        <f t="shared" si="292"/>
        <v>-188.08890592175885</v>
      </c>
      <c r="BH335">
        <f t="shared" si="307"/>
        <v>-8.088905921758851</v>
      </c>
      <c r="BI335">
        <f t="shared" si="308"/>
        <v>-8.088905921758851</v>
      </c>
      <c r="BJ335">
        <f t="shared" si="293"/>
        <v>0</v>
      </c>
      <c r="BK335">
        <f t="shared" si="309"/>
        <v>0</v>
      </c>
      <c r="BM335">
        <f t="shared" si="310"/>
        <v>-58.027046295886805</v>
      </c>
      <c r="BN335">
        <f t="shared" si="294"/>
        <v>-108.11423220724576</v>
      </c>
      <c r="BQ335" s="47">
        <f t="shared" si="311"/>
        <v>29.632495985311404</v>
      </c>
      <c r="BR335" s="529"/>
      <c r="BS335" s="529"/>
      <c r="BT335" s="529">
        <v>177827.94099999999</v>
      </c>
      <c r="BU335" s="529">
        <v>11.612500000000001</v>
      </c>
      <c r="BV335" s="529">
        <v>-141.86199999999999</v>
      </c>
      <c r="BY335" s="529"/>
      <c r="BZ335" s="529"/>
      <c r="CA335" s="529"/>
      <c r="CC335" s="529"/>
    </row>
    <row r="336" spans="1:81">
      <c r="A336">
        <f t="shared" si="263"/>
        <v>610000</v>
      </c>
      <c r="B336">
        <f t="shared" si="295"/>
        <v>610</v>
      </c>
      <c r="C336">
        <f t="shared" si="264"/>
        <v>3.2251431379841771</v>
      </c>
      <c r="D336">
        <f t="shared" si="265"/>
        <v>1.2555362324044679</v>
      </c>
      <c r="F336">
        <f t="shared" si="266"/>
        <v>2.5709082420727555E-5</v>
      </c>
      <c r="G336">
        <f t="shared" si="267"/>
        <v>1.5287446469076642E-3</v>
      </c>
      <c r="H336">
        <f t="shared" si="268"/>
        <v>-3.1400639053530925</v>
      </c>
      <c r="J336">
        <f t="shared" si="269"/>
        <v>15</v>
      </c>
      <c r="M336">
        <f t="shared" si="270"/>
        <v>2.468814455714697E-3</v>
      </c>
      <c r="N336">
        <f t="shared" si="271"/>
        <v>-1.5707963250000001</v>
      </c>
      <c r="O336">
        <f t="shared" si="272"/>
        <v>297.23090440776224</v>
      </c>
      <c r="P336">
        <f t="shared" si="273"/>
        <v>1.5674319327440169</v>
      </c>
      <c r="Q336">
        <f t="shared" si="274"/>
        <v>231.97202857716621</v>
      </c>
      <c r="R336">
        <f t="shared" si="275"/>
        <v>1.5664854488695776</v>
      </c>
      <c r="S336">
        <f t="shared" si="276"/>
        <v>0.29243353870824301</v>
      </c>
      <c r="T336">
        <f t="shared" si="277"/>
        <v>-1.2740256940277852</v>
      </c>
      <c r="U336">
        <f t="shared" si="278"/>
        <v>0.19253156159795315</v>
      </c>
      <c r="V336">
        <f t="shared" si="279"/>
        <v>-1.377055001821915</v>
      </c>
      <c r="X336">
        <f t="shared" si="296"/>
        <v>-38.474520443521257</v>
      </c>
      <c r="Y336">
        <f t="shared" si="280"/>
        <v>-170.31097783897968</v>
      </c>
      <c r="Z336">
        <f t="shared" si="297"/>
        <v>9.6890221610203184</v>
      </c>
      <c r="AC336">
        <v>1</v>
      </c>
      <c r="AD336">
        <f t="shared" si="281"/>
        <v>297.22922220915001</v>
      </c>
      <c r="AE336">
        <f t="shared" si="282"/>
        <v>-9.3414664911342551E-2</v>
      </c>
      <c r="AF336">
        <f t="shared" si="283"/>
        <v>1.8328177183806003E-2</v>
      </c>
      <c r="AG336">
        <f t="shared" si="298"/>
        <v>590.83250902032944</v>
      </c>
      <c r="AH336">
        <f t="shared" si="299"/>
        <v>-3065.9034057413569</v>
      </c>
      <c r="AJ336">
        <f t="shared" si="284"/>
        <v>22100</v>
      </c>
      <c r="AK336">
        <f t="shared" si="285"/>
        <v>72269.129462198762</v>
      </c>
      <c r="AL336">
        <v>1</v>
      </c>
      <c r="AM336">
        <f t="shared" si="286"/>
        <v>231.96987313486559</v>
      </c>
      <c r="AN336">
        <f t="shared" si="300"/>
        <v>311.95023167832358</v>
      </c>
      <c r="AO336">
        <f t="shared" si="301"/>
        <v>-93.926204613882177</v>
      </c>
      <c r="AQ336">
        <f t="shared" si="287"/>
        <v>6.7186195118116689E-3</v>
      </c>
      <c r="AR336">
        <f t="shared" si="288"/>
        <v>-8.1967158044102355</v>
      </c>
      <c r="AT336">
        <f t="shared" si="261"/>
        <v>-25126.369321812028</v>
      </c>
      <c r="AU336">
        <f t="shared" si="262"/>
        <v>-4863.4848028894312</v>
      </c>
      <c r="AV336">
        <f t="shared" si="302"/>
        <v>-2.9503960507201126</v>
      </c>
      <c r="AW336">
        <f t="shared" si="303"/>
        <v>110.3674927984399</v>
      </c>
      <c r="AX336">
        <f t="shared" si="304"/>
        <v>-5957.8124774127691</v>
      </c>
      <c r="AY336">
        <f t="shared" si="312"/>
        <v>-1.5522736104629875</v>
      </c>
      <c r="BA336">
        <f t="shared" si="289"/>
        <v>4.2949222855929801</v>
      </c>
      <c r="BB336">
        <f t="shared" si="305"/>
        <v>12.659106198067064</v>
      </c>
      <c r="BC336">
        <f t="shared" si="306"/>
        <v>-1.3981224402571251</v>
      </c>
      <c r="BD336">
        <f t="shared" si="290"/>
        <v>-260.10651516079986</v>
      </c>
      <c r="BF336">
        <f t="shared" si="291"/>
        <v>-45.446357205028349</v>
      </c>
      <c r="BG336">
        <f t="shared" si="292"/>
        <v>-188.08199731974636</v>
      </c>
      <c r="BH336">
        <f t="shared" si="307"/>
        <v>-8.0819973197463639</v>
      </c>
      <c r="BI336">
        <f t="shared" si="308"/>
        <v>-8.0819973197463639</v>
      </c>
      <c r="BJ336">
        <f t="shared" si="293"/>
        <v>0</v>
      </c>
      <c r="BK336">
        <f t="shared" si="309"/>
        <v>0</v>
      </c>
      <c r="BM336">
        <f t="shared" si="310"/>
        <v>-58.105463403095413</v>
      </c>
      <c r="BN336">
        <f t="shared" si="294"/>
        <v>-107.97548215894649</v>
      </c>
      <c r="BQ336" s="47">
        <f t="shared" si="311"/>
        <v>29.561066998352203</v>
      </c>
      <c r="BR336" s="529"/>
      <c r="BS336" s="529"/>
      <c r="BT336" s="529">
        <v>181970.08600000001</v>
      </c>
      <c r="BU336" s="529">
        <v>11.8933</v>
      </c>
      <c r="BV336" s="529">
        <v>-143.41399999999999</v>
      </c>
      <c r="BY336" s="529"/>
      <c r="BZ336" s="529"/>
      <c r="CA336" s="529"/>
      <c r="CC336" s="529"/>
    </row>
    <row r="337" spans="1:81">
      <c r="A337">
        <f t="shared" si="263"/>
        <v>615000</v>
      </c>
      <c r="B337">
        <f t="shared" si="295"/>
        <v>615</v>
      </c>
      <c r="C337">
        <f t="shared" si="264"/>
        <v>3.249046576634727</v>
      </c>
      <c r="D337">
        <f t="shared" si="265"/>
        <v>1.2579347082224488</v>
      </c>
      <c r="F337">
        <f t="shared" si="266"/>
        <v>2.529273764370998E-5</v>
      </c>
      <c r="G337">
        <f t="shared" si="267"/>
        <v>1.5163152051116018E-3</v>
      </c>
      <c r="H337">
        <f t="shared" si="268"/>
        <v>-3.1400763347948888</v>
      </c>
      <c r="J337">
        <f t="shared" si="269"/>
        <v>15</v>
      </c>
      <c r="M337">
        <f t="shared" si="270"/>
        <v>2.4487427934731139E-3</v>
      </c>
      <c r="N337">
        <f t="shared" si="271"/>
        <v>-1.5707963250000001</v>
      </c>
      <c r="O337">
        <f t="shared" si="272"/>
        <v>299.66719583150217</v>
      </c>
      <c r="P337">
        <f t="shared" si="273"/>
        <v>1.5674592853372824</v>
      </c>
      <c r="Q337">
        <f t="shared" si="274"/>
        <v>233.87340345615073</v>
      </c>
      <c r="R337">
        <f t="shared" si="275"/>
        <v>1.5665204962286596</v>
      </c>
      <c r="S337">
        <f t="shared" si="276"/>
        <v>0.29025708462223482</v>
      </c>
      <c r="T337">
        <f t="shared" si="277"/>
        <v>-1.2763008496189983</v>
      </c>
      <c r="U337">
        <f t="shared" si="278"/>
        <v>0.19102360755453174</v>
      </c>
      <c r="V337">
        <f t="shared" si="279"/>
        <v>-1.3785914754193676</v>
      </c>
      <c r="X337">
        <f t="shared" si="296"/>
        <v>-38.614477649407149</v>
      </c>
      <c r="Y337">
        <f t="shared" si="280"/>
        <v>-170.38908246365912</v>
      </c>
      <c r="Z337">
        <f t="shared" si="297"/>
        <v>9.6109175363408781</v>
      </c>
      <c r="AC337">
        <v>1</v>
      </c>
      <c r="AD337">
        <f t="shared" si="281"/>
        <v>299.66552730922501</v>
      </c>
      <c r="AE337">
        <f t="shared" si="282"/>
        <v>-9.4952329040829189E-2</v>
      </c>
      <c r="AF337">
        <f t="shared" si="283"/>
        <v>1.8478408144329002E-2</v>
      </c>
      <c r="AG337">
        <f t="shared" si="298"/>
        <v>581.61366508887033</v>
      </c>
      <c r="AH337">
        <f t="shared" si="299"/>
        <v>-3042.7714153189431</v>
      </c>
      <c r="AJ337">
        <f t="shared" si="284"/>
        <v>22100</v>
      </c>
      <c r="AK337">
        <f t="shared" si="285"/>
        <v>72861.499375823347</v>
      </c>
      <c r="AL337">
        <v>1</v>
      </c>
      <c r="AM337">
        <f t="shared" si="286"/>
        <v>233.87126553761041</v>
      </c>
      <c r="AN337">
        <f t="shared" si="300"/>
        <v>311.94367470963113</v>
      </c>
      <c r="AO337">
        <f t="shared" si="301"/>
        <v>-93.162604970752525</v>
      </c>
      <c r="AQ337">
        <f t="shared" si="287"/>
        <v>6.6098178268108754E-3</v>
      </c>
      <c r="AR337">
        <f t="shared" si="288"/>
        <v>-8.1300759269773764</v>
      </c>
      <c r="AT337">
        <f t="shared" si="261"/>
        <v>-24734.118274607597</v>
      </c>
      <c r="AU337">
        <f t="shared" si="262"/>
        <v>-4748.675422083993</v>
      </c>
      <c r="AV337">
        <f t="shared" si="302"/>
        <v>-2.9519118357209249</v>
      </c>
      <c r="AW337">
        <f t="shared" si="303"/>
        <v>113.95947783267884</v>
      </c>
      <c r="AX337">
        <f t="shared" si="304"/>
        <v>-5911.0298304027456</v>
      </c>
      <c r="AY337">
        <f t="shared" si="312"/>
        <v>-1.5515195907176871</v>
      </c>
      <c r="BA337">
        <f t="shared" si="289"/>
        <v>4.2600293359085537</v>
      </c>
      <c r="BB337">
        <f t="shared" si="305"/>
        <v>12.588251796041884</v>
      </c>
      <c r="BC337">
        <f t="shared" si="306"/>
        <v>-1.4003922450032378</v>
      </c>
      <c r="BD337">
        <f t="shared" si="290"/>
        <v>-260.23656539321951</v>
      </c>
      <c r="BF337">
        <f t="shared" si="291"/>
        <v>-45.594887494705453</v>
      </c>
      <c r="BG337">
        <f t="shared" si="292"/>
        <v>-188.07533716493191</v>
      </c>
      <c r="BH337">
        <f t="shared" si="307"/>
        <v>-8.0753371649319092</v>
      </c>
      <c r="BI337">
        <f t="shared" si="308"/>
        <v>-8.0753371649319092</v>
      </c>
      <c r="BJ337">
        <f t="shared" si="293"/>
        <v>0</v>
      </c>
      <c r="BK337">
        <f t="shared" si="309"/>
        <v>0</v>
      </c>
      <c r="BM337">
        <f t="shared" si="310"/>
        <v>-58.183139290747334</v>
      </c>
      <c r="BN337">
        <f t="shared" si="294"/>
        <v>-107.83877177171242</v>
      </c>
      <c r="BQ337" s="47">
        <f t="shared" si="311"/>
        <v>29.490212596327019</v>
      </c>
      <c r="BR337" s="529"/>
      <c r="BS337" s="529"/>
      <c r="BT337" s="529">
        <v>186208.71400000001</v>
      </c>
      <c r="BU337" s="529">
        <v>12.027799999999999</v>
      </c>
      <c r="BV337" s="529">
        <v>-144.279</v>
      </c>
      <c r="BY337" s="529"/>
      <c r="BZ337" s="529"/>
      <c r="CA337" s="529"/>
      <c r="CC337" s="529"/>
    </row>
    <row r="338" spans="1:81">
      <c r="A338">
        <f t="shared" si="263"/>
        <v>620000</v>
      </c>
      <c r="B338">
        <f t="shared" si="295"/>
        <v>620</v>
      </c>
      <c r="C338">
        <f t="shared" si="264"/>
        <v>3.2729684329607744</v>
      </c>
      <c r="D338">
        <f t="shared" si="265"/>
        <v>1.2602981369475534</v>
      </c>
      <c r="F338">
        <f t="shared" si="266"/>
        <v>2.4886425377650722E-5</v>
      </c>
      <c r="G338">
        <f t="shared" si="267"/>
        <v>1.5040862530869847E-3</v>
      </c>
      <c r="H338">
        <f t="shared" si="268"/>
        <v>-3.1400885637469131</v>
      </c>
      <c r="J338">
        <f t="shared" si="269"/>
        <v>15</v>
      </c>
      <c r="M338">
        <f t="shared" si="270"/>
        <v>2.4289948677192982E-3</v>
      </c>
      <c r="N338">
        <f t="shared" si="271"/>
        <v>-1.5707963250000001</v>
      </c>
      <c r="O338">
        <f t="shared" si="272"/>
        <v>302.1034874758264</v>
      </c>
      <c r="P338">
        <f t="shared" si="273"/>
        <v>1.5674861967645624</v>
      </c>
      <c r="Q338">
        <f t="shared" si="274"/>
        <v>235.77477861777271</v>
      </c>
      <c r="R338">
        <f t="shared" si="275"/>
        <v>1.5665549783180086</v>
      </c>
      <c r="S338">
        <f t="shared" si="276"/>
        <v>0.28811132951567059</v>
      </c>
      <c r="T338">
        <f t="shared" si="277"/>
        <v>-1.2785423780310325</v>
      </c>
      <c r="U338">
        <f t="shared" si="278"/>
        <v>0.18953865419191057</v>
      </c>
      <c r="V338">
        <f t="shared" si="279"/>
        <v>-1.3801040644822244</v>
      </c>
      <c r="X338">
        <f t="shared" si="296"/>
        <v>-38.753331865474451</v>
      </c>
      <c r="Y338">
        <f t="shared" si="280"/>
        <v>-170.46594613767263</v>
      </c>
      <c r="Z338">
        <f t="shared" si="297"/>
        <v>9.5340538623273687</v>
      </c>
      <c r="AC338">
        <v>1</v>
      </c>
      <c r="AD338">
        <f t="shared" si="281"/>
        <v>302.10183240930002</v>
      </c>
      <c r="AE338">
        <f t="shared" si="282"/>
        <v>-9.6502545530556524E-2</v>
      </c>
      <c r="AF338">
        <f t="shared" si="283"/>
        <v>1.8628639104852004E-2</v>
      </c>
      <c r="AG338">
        <f t="shared" si="298"/>
        <v>572.60627336669688</v>
      </c>
      <c r="AH338">
        <f t="shared" si="299"/>
        <v>-3019.971703246913</v>
      </c>
      <c r="AJ338">
        <f t="shared" si="284"/>
        <v>22100</v>
      </c>
      <c r="AK338">
        <f t="shared" si="285"/>
        <v>73453.869289447917</v>
      </c>
      <c r="AL338">
        <v>1</v>
      </c>
      <c r="AM338">
        <f t="shared" si="286"/>
        <v>235.7726579403552</v>
      </c>
      <c r="AN338">
        <f t="shared" si="300"/>
        <v>311.93727573293995</v>
      </c>
      <c r="AO338">
        <f t="shared" si="301"/>
        <v>-92.411320780796018</v>
      </c>
      <c r="AQ338">
        <f t="shared" si="287"/>
        <v>6.5036378098089166E-3</v>
      </c>
      <c r="AR338">
        <f t="shared" si="288"/>
        <v>-8.0645108841630559</v>
      </c>
      <c r="AT338">
        <f t="shared" si="261"/>
        <v>-24350.870646889569</v>
      </c>
      <c r="AU338">
        <f t="shared" si="262"/>
        <v>-4637.4303260595634</v>
      </c>
      <c r="AV338">
        <f t="shared" si="302"/>
        <v>-2.9534040698693809</v>
      </c>
      <c r="AW338">
        <f t="shared" si="303"/>
        <v>117.45468759655607</v>
      </c>
      <c r="AX338">
        <f t="shared" si="304"/>
        <v>-5864.9641638419516</v>
      </c>
      <c r="AY338">
        <f t="shared" si="312"/>
        <v>-1.5507725063682609</v>
      </c>
      <c r="BA338">
        <f t="shared" si="289"/>
        <v>4.2256949390984664</v>
      </c>
      <c r="BB338">
        <f t="shared" si="305"/>
        <v>12.517962826175005</v>
      </c>
      <c r="BC338">
        <f t="shared" si="306"/>
        <v>-1.4026315635011199</v>
      </c>
      <c r="BD338">
        <f t="shared" si="290"/>
        <v>-260.36486889228036</v>
      </c>
      <c r="BF338">
        <f t="shared" si="291"/>
        <v>-45.742125256742732</v>
      </c>
      <c r="BG338">
        <f t="shared" si="292"/>
        <v>-188.06892684004919</v>
      </c>
      <c r="BH338">
        <f t="shared" si="307"/>
        <v>-8.0689268400491869</v>
      </c>
      <c r="BI338">
        <f t="shared" si="308"/>
        <v>-8.0689268400491869</v>
      </c>
      <c r="BJ338">
        <f t="shared" si="293"/>
        <v>0</v>
      </c>
      <c r="BK338">
        <f t="shared" si="309"/>
        <v>0</v>
      </c>
      <c r="BM338">
        <f t="shared" si="310"/>
        <v>-58.26008808291774</v>
      </c>
      <c r="BN338">
        <f t="shared" si="294"/>
        <v>-107.70405794776886</v>
      </c>
      <c r="BQ338" s="47">
        <f t="shared" si="311"/>
        <v>29.41992362646014</v>
      </c>
      <c r="BR338" s="529"/>
      <c r="BS338" s="529"/>
      <c r="BT338" s="529">
        <v>190546.07199999999</v>
      </c>
      <c r="BU338" s="529">
        <v>12.182600000000001</v>
      </c>
      <c r="BV338" s="529">
        <v>-145.40799999999999</v>
      </c>
      <c r="BY338" s="529"/>
      <c r="BZ338" s="529"/>
      <c r="CA338" s="529"/>
      <c r="CC338" s="529"/>
    </row>
    <row r="339" spans="1:81">
      <c r="A339">
        <f t="shared" si="263"/>
        <v>625000</v>
      </c>
      <c r="B339">
        <f t="shared" si="295"/>
        <v>625</v>
      </c>
      <c r="C339">
        <f t="shared" si="264"/>
        <v>3.2969083060549353</v>
      </c>
      <c r="D339">
        <f t="shared" si="265"/>
        <v>1.2626272553486519</v>
      </c>
      <c r="F339">
        <f t="shared" si="266"/>
        <v>2.4489825857044445E-5</v>
      </c>
      <c r="G339">
        <f t="shared" si="267"/>
        <v>1.4920529786080722E-3</v>
      </c>
      <c r="H339">
        <f t="shared" si="268"/>
        <v>-3.1401005970213922</v>
      </c>
      <c r="J339">
        <f t="shared" si="269"/>
        <v>15</v>
      </c>
      <c r="M339">
        <f t="shared" si="270"/>
        <v>2.4095629087775442E-3</v>
      </c>
      <c r="N339">
        <f t="shared" si="271"/>
        <v>-1.5707963250000001</v>
      </c>
      <c r="O339">
        <f t="shared" si="272"/>
        <v>304.53977933544087</v>
      </c>
      <c r="P339">
        <f t="shared" si="273"/>
        <v>1.5675126776136858</v>
      </c>
      <c r="Q339">
        <f t="shared" si="274"/>
        <v>237.67615405524893</v>
      </c>
      <c r="R339">
        <f t="shared" si="275"/>
        <v>1.5665889087037737</v>
      </c>
      <c r="S339">
        <f t="shared" si="276"/>
        <v>0.28599566153723549</v>
      </c>
      <c r="T339">
        <f t="shared" si="277"/>
        <v>-1.2807509972839997</v>
      </c>
      <c r="U339">
        <f t="shared" si="278"/>
        <v>0.1880761894026895</v>
      </c>
      <c r="V339">
        <f t="shared" si="279"/>
        <v>-1.3815933148811383</v>
      </c>
      <c r="X339">
        <f t="shared" si="296"/>
        <v>-38.891100077572595</v>
      </c>
      <c r="Y339">
        <f t="shared" si="280"/>
        <v>-170.54159795467925</v>
      </c>
      <c r="Z339">
        <f t="shared" si="297"/>
        <v>9.4584020453207529</v>
      </c>
      <c r="AC339">
        <v>1</v>
      </c>
      <c r="AD339">
        <f t="shared" si="281"/>
        <v>304.53813750937502</v>
      </c>
      <c r="AE339">
        <f t="shared" si="282"/>
        <v>-9.8065314380524571E-2</v>
      </c>
      <c r="AF339">
        <f t="shared" si="283"/>
        <v>1.8778870065375E-2</v>
      </c>
      <c r="AG339">
        <f t="shared" si="298"/>
        <v>563.80399714813166</v>
      </c>
      <c r="AH339">
        <f t="shared" si="299"/>
        <v>-2997.4975082827937</v>
      </c>
      <c r="AJ339">
        <f t="shared" si="284"/>
        <v>22100</v>
      </c>
      <c r="AK339">
        <f t="shared" si="285"/>
        <v>74046.239203072502</v>
      </c>
      <c r="AL339">
        <v>1</v>
      </c>
      <c r="AM339">
        <f t="shared" si="286"/>
        <v>237.67405034309999</v>
      </c>
      <c r="AN339">
        <f t="shared" si="300"/>
        <v>311.93102971293371</v>
      </c>
      <c r="AO339">
        <f t="shared" si="301"/>
        <v>-91.672056494322291</v>
      </c>
      <c r="AQ339">
        <f t="shared" si="287"/>
        <v>6.3999959040026214E-3</v>
      </c>
      <c r="AR339">
        <f t="shared" si="288"/>
        <v>-7.9999948800032765</v>
      </c>
      <c r="AT339">
        <f t="shared" si="261"/>
        <v>-23976.35637581252</v>
      </c>
      <c r="AU339">
        <f t="shared" si="262"/>
        <v>-4529.6130622857036</v>
      </c>
      <c r="AV339">
        <f t="shared" si="302"/>
        <v>-2.9548732910279121</v>
      </c>
      <c r="AW339">
        <f t="shared" si="303"/>
        <v>120.85659173551144</v>
      </c>
      <c r="AX339">
        <f t="shared" si="304"/>
        <v>-5819.5993844633531</v>
      </c>
      <c r="AY339">
        <f t="shared" si="312"/>
        <v>-1.5500321445727587</v>
      </c>
      <c r="BA339">
        <f t="shared" si="289"/>
        <v>4.1919058267325298</v>
      </c>
      <c r="BB339">
        <f t="shared" si="305"/>
        <v>12.448230348836836</v>
      </c>
      <c r="BC339">
        <f t="shared" si="306"/>
        <v>-1.4048411464551533</v>
      </c>
      <c r="BD339">
        <f t="shared" si="290"/>
        <v>-260.49146867017515</v>
      </c>
      <c r="BF339">
        <f t="shared" si="291"/>
        <v>-45.888093157821636</v>
      </c>
      <c r="BG339">
        <f t="shared" si="292"/>
        <v>-188.06276741926447</v>
      </c>
      <c r="BH339">
        <f t="shared" si="307"/>
        <v>-8.0627674192644747</v>
      </c>
      <c r="BI339">
        <f t="shared" si="308"/>
        <v>-8.0627674192644747</v>
      </c>
      <c r="BJ339">
        <f t="shared" si="293"/>
        <v>0</v>
      </c>
      <c r="BK339">
        <f t="shared" si="309"/>
        <v>0</v>
      </c>
      <c r="BM339">
        <f t="shared" si="310"/>
        <v>-58.336323506658474</v>
      </c>
      <c r="BN339">
        <f t="shared" si="294"/>
        <v>-107.57129874908934</v>
      </c>
      <c r="BQ339" s="47">
        <f t="shared" si="311"/>
        <v>29.350191149121972</v>
      </c>
      <c r="BR339" s="529"/>
      <c r="BS339" s="529"/>
      <c r="BT339" s="529">
        <v>194984.46</v>
      </c>
      <c r="BU339" s="529">
        <v>12.458399999999999</v>
      </c>
      <c r="BV339" s="529">
        <v>-146.886</v>
      </c>
      <c r="BY339" s="529"/>
      <c r="BZ339" s="529"/>
      <c r="CA339" s="529"/>
      <c r="CC339" s="529"/>
    </row>
    <row r="340" spans="1:81">
      <c r="A340">
        <f t="shared" si="263"/>
        <v>630000</v>
      </c>
      <c r="B340">
        <f t="shared" si="295"/>
        <v>630</v>
      </c>
      <c r="C340">
        <f t="shared" si="264"/>
        <v>3.3208658062726344</v>
      </c>
      <c r="D340">
        <f t="shared" si="265"/>
        <v>1.2649227804468477</v>
      </c>
      <c r="F340">
        <f t="shared" si="266"/>
        <v>2.4102631955535449E-5</v>
      </c>
      <c r="G340">
        <f t="shared" si="267"/>
        <v>1.480210722236672E-3</v>
      </c>
      <c r="H340">
        <f t="shared" si="268"/>
        <v>-3.1401124392777637</v>
      </c>
      <c r="J340">
        <f t="shared" si="269"/>
        <v>15</v>
      </c>
      <c r="M340">
        <f t="shared" si="270"/>
        <v>2.3904393936285159E-3</v>
      </c>
      <c r="N340">
        <f t="shared" si="271"/>
        <v>-1.5707963250000001</v>
      </c>
      <c r="O340">
        <f t="shared" si="272"/>
        <v>306.97607140521967</v>
      </c>
      <c r="P340">
        <f t="shared" si="273"/>
        <v>1.5675387381363675</v>
      </c>
      <c r="Q340">
        <f t="shared" si="274"/>
        <v>239.57752976201158</v>
      </c>
      <c r="R340">
        <f t="shared" si="275"/>
        <v>1.5666223005214457</v>
      </c>
      <c r="S340">
        <f t="shared" si="276"/>
        <v>0.2839094839651064</v>
      </c>
      <c r="T340">
        <f t="shared" si="277"/>
        <v>-1.2829274057531777</v>
      </c>
      <c r="U340">
        <f t="shared" si="278"/>
        <v>0.1866357158550008</v>
      </c>
      <c r="V340">
        <f t="shared" si="279"/>
        <v>-1.3830597561848956</v>
      </c>
      <c r="X340">
        <f t="shared" si="296"/>
        <v>-39.027798888789825</v>
      </c>
      <c r="Y340">
        <f t="shared" si="280"/>
        <v>-170.6160661153863</v>
      </c>
      <c r="Z340">
        <f t="shared" si="297"/>
        <v>9.3839338846136968</v>
      </c>
      <c r="AC340">
        <v>1</v>
      </c>
      <c r="AD340">
        <f t="shared" si="281"/>
        <v>306.97444260945002</v>
      </c>
      <c r="AE340">
        <f t="shared" si="282"/>
        <v>-9.9640635590733287E-2</v>
      </c>
      <c r="AF340">
        <f t="shared" si="283"/>
        <v>1.8929101025898003E-2</v>
      </c>
      <c r="AG340">
        <f t="shared" si="298"/>
        <v>555.20073224218743</v>
      </c>
      <c r="AH340">
        <f t="shared" si="299"/>
        <v>-2975.3422396550504</v>
      </c>
      <c r="AJ340">
        <f t="shared" si="284"/>
        <v>22100</v>
      </c>
      <c r="AK340">
        <f t="shared" si="285"/>
        <v>74638.609116697087</v>
      </c>
      <c r="AL340">
        <v>1</v>
      </c>
      <c r="AM340">
        <f t="shared" si="286"/>
        <v>239.57544274584481</v>
      </c>
      <c r="AN340">
        <f t="shared" si="300"/>
        <v>311.92493181330678</v>
      </c>
      <c r="AO340">
        <f t="shared" si="301"/>
        <v>-90.944525943340182</v>
      </c>
      <c r="AQ340">
        <f t="shared" si="287"/>
        <v>6.2988118551197689E-3</v>
      </c>
      <c r="AR340">
        <f t="shared" si="288"/>
        <v>-7.9365029374509088</v>
      </c>
      <c r="AT340">
        <f t="shared" si="261"/>
        <v>-23610.315319989855</v>
      </c>
      <c r="AU340">
        <f t="shared" si="262"/>
        <v>-4425.0933632871938</v>
      </c>
      <c r="AV340">
        <f t="shared" si="302"/>
        <v>-2.9563200210113059</v>
      </c>
      <c r="AW340">
        <f t="shared" si="303"/>
        <v>124.16850559390882</v>
      </c>
      <c r="AX340">
        <f t="shared" si="304"/>
        <v>-5774.9198694701563</v>
      </c>
      <c r="AY340">
        <f t="shared" si="312"/>
        <v>-1.5492983010167283</v>
      </c>
      <c r="BA340">
        <f t="shared" si="289"/>
        <v>4.1586491450292895</v>
      </c>
      <c r="BB340">
        <f t="shared" si="305"/>
        <v>12.379045631125205</v>
      </c>
      <c r="BC340">
        <f t="shared" si="306"/>
        <v>-1.4070217199945776</v>
      </c>
      <c r="BD340">
        <f t="shared" si="290"/>
        <v>-260.61640633104486</v>
      </c>
      <c r="BF340">
        <f t="shared" si="291"/>
        <v>-46.032813275326696</v>
      </c>
      <c r="BG340">
        <f t="shared" si="292"/>
        <v>-188.05685969140168</v>
      </c>
      <c r="BH340">
        <f t="shared" si="307"/>
        <v>-8.0568596914016837</v>
      </c>
      <c r="BI340">
        <f t="shared" si="308"/>
        <v>-8.0568596914016837</v>
      </c>
      <c r="BJ340">
        <f t="shared" si="293"/>
        <v>0</v>
      </c>
      <c r="BK340">
        <f t="shared" si="309"/>
        <v>0</v>
      </c>
      <c r="BM340">
        <f t="shared" si="310"/>
        <v>-58.411858906451897</v>
      </c>
      <c r="BN340">
        <f t="shared" si="294"/>
        <v>-107.44045336035684</v>
      </c>
      <c r="BQ340" s="47">
        <f t="shared" si="311"/>
        <v>29.281006431410344</v>
      </c>
      <c r="BR340" s="529"/>
      <c r="BS340" s="529"/>
      <c r="BT340" s="529">
        <v>199526.231</v>
      </c>
      <c r="BU340" s="529">
        <v>12.6511</v>
      </c>
      <c r="BV340" s="529">
        <v>-147.23699999999999</v>
      </c>
      <c r="BY340" s="529"/>
      <c r="BZ340" s="529"/>
      <c r="CA340" s="529"/>
      <c r="CC340" s="529"/>
    </row>
    <row r="341" spans="1:81">
      <c r="A341">
        <f t="shared" si="263"/>
        <v>635000</v>
      </c>
      <c r="B341">
        <f t="shared" si="295"/>
        <v>635</v>
      </c>
      <c r="C341">
        <f t="shared" si="264"/>
        <v>3.3448405548498146</v>
      </c>
      <c r="D341">
        <f t="shared" si="265"/>
        <v>1.2671854101446653</v>
      </c>
      <c r="F341">
        <f t="shared" si="266"/>
        <v>2.3724548591123444E-5</v>
      </c>
      <c r="G341">
        <f t="shared" si="267"/>
        <v>1.4685549713060215E-3</v>
      </c>
      <c r="H341">
        <f t="shared" si="268"/>
        <v>-3.1401240950286944</v>
      </c>
      <c r="J341">
        <f t="shared" si="269"/>
        <v>15</v>
      </c>
      <c r="M341">
        <f t="shared" si="270"/>
        <v>2.3716170361983702E-3</v>
      </c>
      <c r="N341">
        <f t="shared" si="271"/>
        <v>-1.5707963250000001</v>
      </c>
      <c r="O341">
        <f t="shared" si="272"/>
        <v>309.41236368019838</v>
      </c>
      <c r="P341">
        <f t="shared" si="273"/>
        <v>1.5675643882614378</v>
      </c>
      <c r="Q341">
        <f t="shared" si="274"/>
        <v>241.47890573169968</v>
      </c>
      <c r="R341">
        <f t="shared" si="275"/>
        <v>1.5666551664928112</v>
      </c>
      <c r="S341">
        <f t="shared" si="276"/>
        <v>0.28185221478277789</v>
      </c>
      <c r="T341">
        <f t="shared" si="277"/>
        <v>-1.2850722828120884</v>
      </c>
      <c r="U341">
        <f t="shared" si="278"/>
        <v>0.18521675047571648</v>
      </c>
      <c r="V341">
        <f t="shared" si="279"/>
        <v>-1.3845039022566039</v>
      </c>
      <c r="X341">
        <f t="shared" si="296"/>
        <v>-39.16344453065102</v>
      </c>
      <c r="Y341">
        <f t="shared" si="280"/>
        <v>-170.68937796111948</v>
      </c>
      <c r="Z341">
        <f t="shared" si="297"/>
        <v>9.3106220388805241</v>
      </c>
      <c r="AC341">
        <v>1</v>
      </c>
      <c r="AD341">
        <f t="shared" si="281"/>
        <v>309.41074770952503</v>
      </c>
      <c r="AE341">
        <f t="shared" si="282"/>
        <v>-0.10122850916118274</v>
      </c>
      <c r="AF341">
        <f t="shared" si="283"/>
        <v>1.9079331986421002E-2</v>
      </c>
      <c r="AG341">
        <f t="shared" si="298"/>
        <v>546.79059694997363</v>
      </c>
      <c r="AH341">
        <f t="shared" si="299"/>
        <v>-2953.4994722406709</v>
      </c>
      <c r="AJ341">
        <f t="shared" si="284"/>
        <v>22100</v>
      </c>
      <c r="AK341">
        <f t="shared" si="285"/>
        <v>75230.979030321672</v>
      </c>
      <c r="AL341">
        <v>1</v>
      </c>
      <c r="AM341">
        <f t="shared" si="286"/>
        <v>241.4768351485896</v>
      </c>
      <c r="AN341">
        <f t="shared" si="300"/>
        <v>311.91897738740028</v>
      </c>
      <c r="AO341">
        <f t="shared" si="301"/>
        <v>-90.228451972238204</v>
      </c>
      <c r="AQ341">
        <f t="shared" si="287"/>
        <v>6.2000085560118077E-3</v>
      </c>
      <c r="AR341">
        <f t="shared" si="288"/>
        <v>-7.874010866134995</v>
      </c>
      <c r="AT341">
        <f t="shared" si="261"/>
        <v>-23252.49683116758</v>
      </c>
      <c r="AU341">
        <f t="shared" si="262"/>
        <v>-4323.7468238826013</v>
      </c>
      <c r="AV341">
        <f t="shared" si="302"/>
        <v>-2.957744766172886</v>
      </c>
      <c r="AW341">
        <f t="shared" si="303"/>
        <v>127.39359835514021</v>
      </c>
      <c r="AX341">
        <f t="shared" si="304"/>
        <v>-5730.9104497349108</v>
      </c>
      <c r="AY341">
        <f t="shared" si="312"/>
        <v>-1.5485707794990666</v>
      </c>
      <c r="BA341">
        <f t="shared" si="289"/>
        <v>4.1259124389027697</v>
      </c>
      <c r="BB341">
        <f t="shared" si="305"/>
        <v>12.31040014067835</v>
      </c>
      <c r="BC341">
        <f t="shared" si="306"/>
        <v>-1.4091739866738193</v>
      </c>
      <c r="BD341">
        <f t="shared" si="290"/>
        <v>-260.73972212829295</v>
      </c>
      <c r="BF341">
        <f t="shared" si="291"/>
        <v>-46.176307117350667</v>
      </c>
      <c r="BG341">
        <f t="shared" si="292"/>
        <v>-188.05120418155187</v>
      </c>
      <c r="BH341">
        <f t="shared" si="307"/>
        <v>-8.0512041815518671</v>
      </c>
      <c r="BI341">
        <f t="shared" si="308"/>
        <v>-8.0512041815518671</v>
      </c>
      <c r="BJ341">
        <f t="shared" si="293"/>
        <v>0</v>
      </c>
      <c r="BK341">
        <f t="shared" si="309"/>
        <v>0</v>
      </c>
      <c r="BM341">
        <f t="shared" si="310"/>
        <v>-58.486707258029014</v>
      </c>
      <c r="BN341">
        <f t="shared" si="294"/>
        <v>-107.31148205325894</v>
      </c>
      <c r="BQ341" s="47">
        <f t="shared" si="311"/>
        <v>29.212360940963489</v>
      </c>
      <c r="BR341" s="529"/>
      <c r="BS341" s="529"/>
      <c r="BT341" s="529">
        <v>204173.79399999999</v>
      </c>
      <c r="BU341" s="529">
        <v>12.903600000000001</v>
      </c>
      <c r="BV341" s="529">
        <v>-148.923</v>
      </c>
      <c r="BY341" s="529"/>
      <c r="BZ341" s="529"/>
      <c r="CA341" s="529"/>
      <c r="CC341" s="529"/>
    </row>
    <row r="342" spans="1:81">
      <c r="A342">
        <f t="shared" si="263"/>
        <v>640000</v>
      </c>
      <c r="B342">
        <f t="shared" si="295"/>
        <v>640</v>
      </c>
      <c r="C342">
        <f t="shared" si="264"/>
        <v>3.3688321835356678</v>
      </c>
      <c r="D342">
        <f t="shared" si="265"/>
        <v>1.2694158238325874</v>
      </c>
      <c r="F342">
        <f t="shared" si="266"/>
        <v>2.3355292163771281E-5</v>
      </c>
      <c r="G342">
        <f t="shared" si="267"/>
        <v>1.4570813541867175E-3</v>
      </c>
      <c r="H342">
        <f t="shared" si="268"/>
        <v>-3.1401355686458134</v>
      </c>
      <c r="J342">
        <f t="shared" si="269"/>
        <v>15</v>
      </c>
      <c r="M342">
        <f t="shared" si="270"/>
        <v>2.3530887781030704E-3</v>
      </c>
      <c r="N342">
        <f t="shared" si="271"/>
        <v>-1.5707963250000001</v>
      </c>
      <c r="O342">
        <f t="shared" si="272"/>
        <v>311.84865615556765</v>
      </c>
      <c r="P342">
        <f t="shared" si="273"/>
        <v>1.5675896376074581</v>
      </c>
      <c r="Q342">
        <f t="shared" si="274"/>
        <v>243.38028195815102</v>
      </c>
      <c r="R342">
        <f t="shared" si="275"/>
        <v>1.5666875189421121</v>
      </c>
      <c r="S342">
        <f t="shared" si="276"/>
        <v>0.27982328626706071</v>
      </c>
      <c r="T342">
        <f t="shared" si="277"/>
        <v>-1.2871862894515624</v>
      </c>
      <c r="U342">
        <f t="shared" si="278"/>
        <v>0.1838188239546179</v>
      </c>
      <c r="V342">
        <f t="shared" si="279"/>
        <v>-1.3859262518242612</v>
      </c>
      <c r="X342">
        <f t="shared" si="296"/>
        <v>-39.29805287391757</v>
      </c>
      <c r="Y342">
        <f t="shared" si="280"/>
        <v>-170.76156000591175</v>
      </c>
      <c r="Z342">
        <f t="shared" si="297"/>
        <v>9.2384399940882531</v>
      </c>
      <c r="AC342">
        <v>1</v>
      </c>
      <c r="AD342">
        <f t="shared" si="281"/>
        <v>311.84705280960003</v>
      </c>
      <c r="AE342">
        <f t="shared" si="282"/>
        <v>-0.10282893509187291</v>
      </c>
      <c r="AF342">
        <f t="shared" si="283"/>
        <v>1.9229562946944001E-2</v>
      </c>
      <c r="AG342">
        <f t="shared" si="298"/>
        <v>538.56792253506899</v>
      </c>
      <c r="AH342">
        <f t="shared" si="299"/>
        <v>-2931.9629418766131</v>
      </c>
      <c r="AJ342">
        <f t="shared" si="284"/>
        <v>22100</v>
      </c>
      <c r="AK342">
        <f t="shared" si="285"/>
        <v>75823.348943946243</v>
      </c>
      <c r="AL342">
        <v>1</v>
      </c>
      <c r="AM342">
        <f t="shared" si="286"/>
        <v>243.37822755133442</v>
      </c>
      <c r="AN342">
        <f t="shared" si="300"/>
        <v>311.91316196934724</v>
      </c>
      <c r="AO342">
        <f t="shared" si="301"/>
        <v>-89.523566085774917</v>
      </c>
      <c r="AQ342">
        <f t="shared" si="287"/>
        <v>6.1035118997119749E-3</v>
      </c>
      <c r="AR342">
        <f t="shared" si="288"/>
        <v>-7.8124952316313285</v>
      </c>
      <c r="AT342">
        <f t="shared" ref="AT342:AT405" si="313">-AR342*AH342+AG342*AQ342</f>
        <v>-22902.659347006807</v>
      </c>
      <c r="AU342">
        <f t="shared" ref="AU342:AU405" si="314">AQ342*AH342+AG342*AR342</f>
        <v>-4225.4545974200755</v>
      </c>
      <c r="AV342">
        <f t="shared" si="302"/>
        <v>-2.9591480179655418</v>
      </c>
      <c r="AW342">
        <f t="shared" si="303"/>
        <v>130.53490068762193</v>
      </c>
      <c r="AX342">
        <f t="shared" si="304"/>
        <v>-5687.5563937025854</v>
      </c>
      <c r="AY342">
        <f t="shared" si="312"/>
        <v>-1.5478493915412832</v>
      </c>
      <c r="BA342">
        <f t="shared" si="289"/>
        <v>4.0936836367330507</v>
      </c>
      <c r="BB342">
        <f t="shared" si="305"/>
        <v>12.242285539710151</v>
      </c>
      <c r="BC342">
        <f t="shared" si="306"/>
        <v>-1.4112986264242586</v>
      </c>
      <c r="BD342">
        <f t="shared" si="290"/>
        <v>-260.86145501911795</v>
      </c>
      <c r="BF342">
        <f t="shared" si="291"/>
        <v>-46.318595641873948</v>
      </c>
      <c r="BG342">
        <f t="shared" si="292"/>
        <v>-188.04580117118212</v>
      </c>
      <c r="BH342">
        <f t="shared" si="307"/>
        <v>-8.04580117118212</v>
      </c>
      <c r="BI342">
        <f t="shared" si="308"/>
        <v>-8.04580117118212</v>
      </c>
      <c r="BJ342">
        <f t="shared" si="293"/>
        <v>0</v>
      </c>
      <c r="BK342">
        <f t="shared" si="309"/>
        <v>0</v>
      </c>
      <c r="BM342">
        <f t="shared" si="310"/>
        <v>-58.560881181584101</v>
      </c>
      <c r="BN342">
        <f t="shared" si="294"/>
        <v>-107.18434615206419</v>
      </c>
      <c r="BQ342" s="47">
        <f t="shared" si="311"/>
        <v>29.144246339995288</v>
      </c>
      <c r="BR342" s="529"/>
      <c r="BS342" s="529"/>
      <c r="BT342" s="529">
        <v>208929.61300000001</v>
      </c>
      <c r="BU342" s="529">
        <v>13.1541</v>
      </c>
      <c r="BV342" s="529">
        <v>-149.92099999999999</v>
      </c>
      <c r="BY342" s="529"/>
      <c r="BZ342" s="529"/>
      <c r="CA342" s="529"/>
      <c r="CC342" s="529"/>
    </row>
    <row r="343" spans="1:81">
      <c r="A343">
        <f t="shared" si="263"/>
        <v>645000</v>
      </c>
      <c r="B343">
        <f t="shared" si="295"/>
        <v>645</v>
      </c>
      <c r="C343">
        <f t="shared" si="264"/>
        <v>3.3928403342397089</v>
      </c>
      <c r="D343">
        <f t="shared" si="265"/>
        <v>1.271614682973816</v>
      </c>
      <c r="F343">
        <f t="shared" si="266"/>
        <v>2.2994590023412839E-5</v>
      </c>
      <c r="G343">
        <f t="shared" si="267"/>
        <v>1.4457856348193939E-3</v>
      </c>
      <c r="H343">
        <f t="shared" si="268"/>
        <v>-3.1401468643651809</v>
      </c>
      <c r="J343">
        <f t="shared" si="269"/>
        <v>15</v>
      </c>
      <c r="M343">
        <f t="shared" si="270"/>
        <v>2.3348477798232018E-3</v>
      </c>
      <c r="N343">
        <f t="shared" si="271"/>
        <v>-1.5707963250000001</v>
      </c>
      <c r="O343">
        <f t="shared" si="272"/>
        <v>314.28494882666735</v>
      </c>
      <c r="P343">
        <f t="shared" si="273"/>
        <v>1.5676144954947435</v>
      </c>
      <c r="Q343">
        <f t="shared" si="274"/>
        <v>245.28165843539443</v>
      </c>
      <c r="R343">
        <f t="shared" si="275"/>
        <v>1.5667193698114545</v>
      </c>
      <c r="S343">
        <f t="shared" si="276"/>
        <v>0.27782214458797405</v>
      </c>
      <c r="T343">
        <f t="shared" si="277"/>
        <v>-1.2892700688757688</v>
      </c>
      <c r="U343">
        <f t="shared" si="278"/>
        <v>0.18244148026857498</v>
      </c>
      <c r="V343">
        <f t="shared" si="279"/>
        <v>-1.3873272890269646</v>
      </c>
      <c r="X343">
        <f t="shared" si="296"/>
        <v>-39.431639439005821</v>
      </c>
      <c r="Y343">
        <f t="shared" si="280"/>
        <v>-170.83263796718583</v>
      </c>
      <c r="Z343">
        <f t="shared" si="297"/>
        <v>9.1673620328141681</v>
      </c>
      <c r="AC343">
        <v>1</v>
      </c>
      <c r="AD343">
        <f t="shared" si="281"/>
        <v>314.28335790967503</v>
      </c>
      <c r="AE343">
        <f t="shared" si="282"/>
        <v>-0.10444191338280379</v>
      </c>
      <c r="AF343">
        <f t="shared" si="283"/>
        <v>1.9379793907467004E-2</v>
      </c>
      <c r="AG343">
        <f t="shared" si="298"/>
        <v>530.52724415978696</v>
      </c>
      <c r="AH343">
        <f t="shared" si="299"/>
        <v>-2910.7265408028743</v>
      </c>
      <c r="AJ343">
        <f t="shared" si="284"/>
        <v>22100</v>
      </c>
      <c r="AK343">
        <f t="shared" si="285"/>
        <v>76415.718857570828</v>
      </c>
      <c r="AL343">
        <v>1</v>
      </c>
      <c r="AM343">
        <f t="shared" si="286"/>
        <v>245.27961995407921</v>
      </c>
      <c r="AN343">
        <f t="shared" si="300"/>
        <v>311.90748126569707</v>
      </c>
      <c r="AO343">
        <f t="shared" si="301"/>
        <v>-88.829608113439789</v>
      </c>
      <c r="AQ343">
        <f t="shared" si="287"/>
        <v>6.0092506404358873E-3</v>
      </c>
      <c r="AR343">
        <f t="shared" si="288"/>
        <v>-7.7519333261622938</v>
      </c>
      <c r="AT343">
        <f t="shared" si="313"/>
        <v>-22560.570003813158</v>
      </c>
      <c r="AU343">
        <f t="shared" si="314"/>
        <v>-4130.1031097687464</v>
      </c>
      <c r="AV343">
        <f t="shared" si="302"/>
        <v>-2.9605302534788427</v>
      </c>
      <c r="AW343">
        <f t="shared" si="303"/>
        <v>133.59531193044333</v>
      </c>
      <c r="AX343">
        <f t="shared" si="304"/>
        <v>-5644.8433919639574</v>
      </c>
      <c r="AY343">
        <f t="shared" si="312"/>
        <v>-1.5471339560186725</v>
      </c>
      <c r="BA343">
        <f t="shared" si="289"/>
        <v>4.061951035823121</v>
      </c>
      <c r="BB343">
        <f t="shared" si="305"/>
        <v>12.174693679258596</v>
      </c>
      <c r="BC343">
        <f t="shared" si="306"/>
        <v>-1.4133962974601701</v>
      </c>
      <c r="BD343">
        <f t="shared" si="290"/>
        <v>-260.98164271641986</v>
      </c>
      <c r="BF343">
        <f t="shared" si="291"/>
        <v>-46.459699275157995</v>
      </c>
      <c r="BG343">
        <f t="shared" si="292"/>
        <v>-188.04065071685096</v>
      </c>
      <c r="BH343">
        <f t="shared" si="307"/>
        <v>-8.040650716850962</v>
      </c>
      <c r="BI343">
        <f t="shared" si="308"/>
        <v>-8.040650716850962</v>
      </c>
      <c r="BJ343">
        <f t="shared" si="293"/>
        <v>0</v>
      </c>
      <c r="BK343">
        <f t="shared" si="309"/>
        <v>0</v>
      </c>
      <c r="BM343">
        <f t="shared" si="310"/>
        <v>-58.634392954416583</v>
      </c>
      <c r="BN343">
        <f t="shared" si="294"/>
        <v>-107.05900800043113</v>
      </c>
      <c r="BQ343" s="47">
        <f t="shared" si="311"/>
        <v>29.076654479543734</v>
      </c>
      <c r="BR343" s="529"/>
      <c r="BS343" s="529"/>
      <c r="BT343" s="529">
        <v>213796.209</v>
      </c>
      <c r="BU343" s="529">
        <v>13.368399999999999</v>
      </c>
      <c r="BV343" s="529">
        <v>-151.101</v>
      </c>
      <c r="BY343" s="529"/>
      <c r="BZ343" s="529"/>
      <c r="CA343" s="529"/>
      <c r="CC343" s="529"/>
    </row>
    <row r="344" spans="1:81">
      <c r="A344">
        <f t="shared" si="263"/>
        <v>650000</v>
      </c>
      <c r="B344">
        <f t="shared" si="295"/>
        <v>650</v>
      </c>
      <c r="C344">
        <f t="shared" si="264"/>
        <v>3.4168646586925857</v>
      </c>
      <c r="D344">
        <f t="shared" si="265"/>
        <v>1.2737826316681082</v>
      </c>
      <c r="F344">
        <f t="shared" si="266"/>
        <v>2.2642179966497472E-5</v>
      </c>
      <c r="G344">
        <f t="shared" si="267"/>
        <v>1.4346637074997746E-3</v>
      </c>
      <c r="H344">
        <f t="shared" si="268"/>
        <v>-3.1401579862925004</v>
      </c>
      <c r="J344">
        <f t="shared" si="269"/>
        <v>15</v>
      </c>
      <c r="M344">
        <f t="shared" si="270"/>
        <v>2.3168874122860999E-3</v>
      </c>
      <c r="N344">
        <f t="shared" si="271"/>
        <v>-1.5707963250000001</v>
      </c>
      <c r="O344">
        <f t="shared" si="272"/>
        <v>316.72124168898051</v>
      </c>
      <c r="P344">
        <f t="shared" si="273"/>
        <v>1.5676389709568357</v>
      </c>
      <c r="Q344">
        <f t="shared" si="274"/>
        <v>247.18303515764259</v>
      </c>
      <c r="R344">
        <f t="shared" si="275"/>
        <v>1.5667507306755051</v>
      </c>
      <c r="S344">
        <f t="shared" si="276"/>
        <v>0.27584824942024677</v>
      </c>
      <c r="T344">
        <f t="shared" si="277"/>
        <v>-1.2913242470761568</v>
      </c>
      <c r="U344">
        <f t="shared" si="278"/>
        <v>0.18108427622482762</v>
      </c>
      <c r="V344">
        <f t="shared" si="279"/>
        <v>-1.3887074839379447</v>
      </c>
      <c r="X344">
        <f t="shared" si="296"/>
        <v>-39.564219406039875</v>
      </c>
      <c r="Y344">
        <f t="shared" si="280"/>
        <v>-170.90263679510059</v>
      </c>
      <c r="Z344">
        <f t="shared" si="297"/>
        <v>9.0973632048994091</v>
      </c>
      <c r="AC344">
        <v>1</v>
      </c>
      <c r="AD344">
        <f t="shared" si="281"/>
        <v>316.71966300975004</v>
      </c>
      <c r="AE344">
        <f t="shared" si="282"/>
        <v>-0.10606744403397536</v>
      </c>
      <c r="AF344">
        <f t="shared" si="283"/>
        <v>1.9530024867990003E-2</v>
      </c>
      <c r="AG344">
        <f t="shared" si="298"/>
        <v>522.66329226190192</v>
      </c>
      <c r="AH344">
        <f t="shared" si="299"/>
        <v>-2889.7843132347762</v>
      </c>
      <c r="AJ344">
        <f t="shared" si="284"/>
        <v>22100</v>
      </c>
      <c r="AK344">
        <f t="shared" si="285"/>
        <v>77008.088771195398</v>
      </c>
      <c r="AL344">
        <v>1</v>
      </c>
      <c r="AM344">
        <f t="shared" si="286"/>
        <v>247.18101235682403</v>
      </c>
      <c r="AN344">
        <f t="shared" si="300"/>
        <v>311.90193114748877</v>
      </c>
      <c r="AO344">
        <f t="shared" si="301"/>
        <v>-88.146325889303284</v>
      </c>
      <c r="AQ344">
        <f t="shared" si="287"/>
        <v>5.9171562620377151E-3</v>
      </c>
      <c r="AR344">
        <f t="shared" si="288"/>
        <v>-7.6923031406490292</v>
      </c>
      <c r="AT344">
        <f t="shared" si="313"/>
        <v>-22226.004268121422</v>
      </c>
      <c r="AU344">
        <f t="shared" si="314"/>
        <v>-4037.5837899131852</v>
      </c>
      <c r="AV344">
        <f t="shared" si="302"/>
        <v>-2.9618919359533935</v>
      </c>
      <c r="AW344">
        <f t="shared" si="303"/>
        <v>136.5776068498713</v>
      </c>
      <c r="AX344">
        <f t="shared" si="304"/>
        <v>-5602.7575424674233</v>
      </c>
      <c r="AY344">
        <f t="shared" si="312"/>
        <v>-1.5464242988120058</v>
      </c>
      <c r="BA344">
        <f t="shared" si="289"/>
        <v>4.0307032885066594</v>
      </c>
      <c r="BB344">
        <f t="shared" si="305"/>
        <v>12.107616593638845</v>
      </c>
      <c r="BC344">
        <f t="shared" si="306"/>
        <v>-1.4154676371413877</v>
      </c>
      <c r="BD344">
        <f t="shared" si="290"/>
        <v>-261.10032173822719</v>
      </c>
      <c r="BF344">
        <f t="shared" si="291"/>
        <v>-46.599637929389992</v>
      </c>
      <c r="BG344">
        <f t="shared" si="292"/>
        <v>-188.03575266762871</v>
      </c>
      <c r="BH344">
        <f t="shared" si="307"/>
        <v>-8.0357526676287137</v>
      </c>
      <c r="BI344">
        <f t="shared" si="308"/>
        <v>-8.0357526676287137</v>
      </c>
      <c r="BJ344">
        <f t="shared" si="293"/>
        <v>0</v>
      </c>
      <c r="BK344">
        <f t="shared" si="309"/>
        <v>0</v>
      </c>
      <c r="BM344">
        <f t="shared" si="310"/>
        <v>-58.707254523028837</v>
      </c>
      <c r="BN344">
        <f t="shared" si="294"/>
        <v>-106.93543092940155</v>
      </c>
      <c r="BQ344" s="47">
        <f t="shared" si="311"/>
        <v>29.009577393923983</v>
      </c>
      <c r="BR344" s="529"/>
      <c r="BS344" s="529"/>
      <c r="BT344" s="529">
        <v>218776.16200000001</v>
      </c>
      <c r="BU344" s="529">
        <v>13.6015</v>
      </c>
      <c r="BV344" s="529">
        <v>-153.08699999999999</v>
      </c>
      <c r="BY344" s="529"/>
      <c r="BZ344" s="529"/>
      <c r="CA344" s="529"/>
      <c r="CC344" s="529"/>
    </row>
    <row r="345" spans="1:81">
      <c r="A345">
        <f t="shared" si="263"/>
        <v>655000</v>
      </c>
      <c r="B345">
        <f t="shared" si="295"/>
        <v>655</v>
      </c>
      <c r="C345">
        <f t="shared" si="264"/>
        <v>3.4409048181199999</v>
      </c>
      <c r="D345">
        <f t="shared" si="265"/>
        <v>1.2759202971954946</v>
      </c>
      <c r="F345">
        <f t="shared" si="266"/>
        <v>2.2297809759334849E-5</v>
      </c>
      <c r="G345">
        <f t="shared" si="267"/>
        <v>1.4237115919026185E-3</v>
      </c>
      <c r="H345">
        <f t="shared" si="268"/>
        <v>-3.1401689384080975</v>
      </c>
      <c r="J345">
        <f t="shared" si="269"/>
        <v>15</v>
      </c>
      <c r="M345">
        <f t="shared" si="270"/>
        <v>2.2992012488335344E-3</v>
      </c>
      <c r="N345">
        <f t="shared" si="271"/>
        <v>-1.5707963250000001</v>
      </c>
      <c r="O345">
        <f t="shared" si="272"/>
        <v>319.15753473812845</v>
      </c>
      <c r="P345">
        <f t="shared" si="273"/>
        <v>1.567663072751448</v>
      </c>
      <c r="Q345">
        <f t="shared" si="274"/>
        <v>249.08441211928465</v>
      </c>
      <c r="R345">
        <f t="shared" si="275"/>
        <v>1.5667816127555145</v>
      </c>
      <c r="S345">
        <f t="shared" si="276"/>
        <v>0.27390107356614579</v>
      </c>
      <c r="T345">
        <f t="shared" si="277"/>
        <v>-1.2933494333842042</v>
      </c>
      <c r="U345">
        <f t="shared" si="278"/>
        <v>0.17974678102250946</v>
      </c>
      <c r="V345">
        <f t="shared" si="279"/>
        <v>-1.3900672930655487</v>
      </c>
      <c r="X345">
        <f t="shared" si="296"/>
        <v>-39.695807624553453</v>
      </c>
      <c r="Y345">
        <f t="shared" si="280"/>
        <v>-170.9715807006267</v>
      </c>
      <c r="Z345">
        <f t="shared" si="297"/>
        <v>9.0284192993732972</v>
      </c>
      <c r="AC345">
        <v>1</v>
      </c>
      <c r="AD345">
        <f t="shared" si="281"/>
        <v>319.15596810982504</v>
      </c>
      <c r="AE345">
        <f t="shared" si="282"/>
        <v>-0.10770552704538763</v>
      </c>
      <c r="AF345">
        <f t="shared" si="283"/>
        <v>1.9680255828513002E-2</v>
      </c>
      <c r="AG345">
        <f t="shared" si="298"/>
        <v>514.97098434792952</v>
      </c>
      <c r="AH345">
        <f t="shared" si="299"/>
        <v>-2869.1304510619366</v>
      </c>
      <c r="AJ345">
        <f t="shared" si="284"/>
        <v>22100</v>
      </c>
      <c r="AK345">
        <f t="shared" si="285"/>
        <v>77600.458684819983</v>
      </c>
      <c r="AL345">
        <v>1</v>
      </c>
      <c r="AM345">
        <f t="shared" si="286"/>
        <v>249.08240475956882</v>
      </c>
      <c r="AN345">
        <f t="shared" si="300"/>
        <v>311.89650764274649</v>
      </c>
      <c r="AO345">
        <f t="shared" si="301"/>
        <v>-87.473474946528668</v>
      </c>
      <c r="AQ345">
        <f t="shared" si="287"/>
        <v>5.8271628534684143E-3</v>
      </c>
      <c r="AR345">
        <f t="shared" si="288"/>
        <v>-7.6335833380436231</v>
      </c>
      <c r="AT345">
        <f t="shared" si="313"/>
        <v>-21898.745586109377</v>
      </c>
      <c r="AU345">
        <f t="shared" si="314"/>
        <v>-3947.7928160804618</v>
      </c>
      <c r="AV345">
        <f t="shared" si="302"/>
        <v>-2.9632335152735418</v>
      </c>
      <c r="AW345">
        <f t="shared" si="303"/>
        <v>139.48444199558756</v>
      </c>
      <c r="AX345">
        <f t="shared" si="304"/>
        <v>-5561.285336339085</v>
      </c>
      <c r="AY345">
        <f t="shared" si="312"/>
        <v>-1.5457202524784475</v>
      </c>
      <c r="BA345">
        <f t="shared" si="289"/>
        <v>3.9999293888733618</v>
      </c>
      <c r="BB345">
        <f t="shared" si="305"/>
        <v>12.04104649509258</v>
      </c>
      <c r="BC345">
        <f t="shared" si="306"/>
        <v>-1.4175132627950944</v>
      </c>
      <c r="BD345">
        <f t="shared" si="290"/>
        <v>-261.21752745478221</v>
      </c>
      <c r="BF345">
        <f t="shared" si="291"/>
        <v>-46.738431019614524</v>
      </c>
      <c r="BG345">
        <f t="shared" si="292"/>
        <v>-188.03110668131512</v>
      </c>
      <c r="BH345">
        <f t="shared" si="307"/>
        <v>-8.0311066813151228</v>
      </c>
      <c r="BI345">
        <f t="shared" si="308"/>
        <v>-8.0311066813151228</v>
      </c>
      <c r="BJ345">
        <f t="shared" si="293"/>
        <v>0</v>
      </c>
      <c r="BK345">
        <f t="shared" si="309"/>
        <v>0</v>
      </c>
      <c r="BM345">
        <f t="shared" si="310"/>
        <v>-58.779477514707104</v>
      </c>
      <c r="BN345">
        <f t="shared" si="294"/>
        <v>-106.81357922653292</v>
      </c>
      <c r="BQ345" s="47">
        <f t="shared" si="311"/>
        <v>28.943007295377718</v>
      </c>
      <c r="BR345" s="529"/>
      <c r="BS345" s="529"/>
      <c r="BT345" s="529">
        <v>223872.114</v>
      </c>
      <c r="BU345" s="529">
        <v>13.8704</v>
      </c>
      <c r="BV345" s="529">
        <v>-154.70699999999999</v>
      </c>
      <c r="BY345" s="529"/>
      <c r="BZ345" s="529"/>
      <c r="CA345" s="529"/>
      <c r="CC345" s="529"/>
    </row>
    <row r="346" spans="1:81">
      <c r="A346">
        <f t="shared" si="263"/>
        <v>660000</v>
      </c>
      <c r="B346">
        <f t="shared" si="295"/>
        <v>660</v>
      </c>
      <c r="C346">
        <f t="shared" si="264"/>
        <v>3.4649604829291945</v>
      </c>
      <c r="D346">
        <f t="shared" si="265"/>
        <v>1.278028290540659</v>
      </c>
      <c r="F346">
        <f t="shared" si="266"/>
        <v>2.1961236686622103E-5</v>
      </c>
      <c r="G346">
        <f t="shared" si="267"/>
        <v>1.4129254283318849E-3</v>
      </c>
      <c r="H346">
        <f t="shared" si="268"/>
        <v>-3.1401797245716683</v>
      </c>
      <c r="J346">
        <f t="shared" si="269"/>
        <v>15</v>
      </c>
      <c r="M346">
        <f t="shared" si="270"/>
        <v>2.2817830575544928E-3</v>
      </c>
      <c r="N346">
        <f t="shared" si="271"/>
        <v>-1.5707963250000001</v>
      </c>
      <c r="O346">
        <f t="shared" si="272"/>
        <v>321.59382796986478</v>
      </c>
      <c r="P346">
        <f t="shared" si="273"/>
        <v>1.5676868093709118</v>
      </c>
      <c r="Q346">
        <f t="shared" si="274"/>
        <v>250.98578931488004</v>
      </c>
      <c r="R346">
        <f t="shared" si="275"/>
        <v>1.5668120269327057</v>
      </c>
      <c r="S346">
        <f t="shared" si="276"/>
        <v>0.27198010258934407</v>
      </c>
      <c r="T346">
        <f t="shared" si="277"/>
        <v>-1.2953462210038371</v>
      </c>
      <c r="U346">
        <f t="shared" si="278"/>
        <v>0.17842857583159308</v>
      </c>
      <c r="V346">
        <f t="shared" si="279"/>
        <v>-1.3914071598332343</v>
      </c>
      <c r="X346">
        <f t="shared" si="296"/>
        <v>-39.826418622855371</v>
      </c>
      <c r="Y346">
        <f t="shared" si="280"/>
        <v>-171.03949318241601</v>
      </c>
      <c r="Z346">
        <f t="shared" si="297"/>
        <v>8.9605068175839904</v>
      </c>
      <c r="AC346">
        <v>1</v>
      </c>
      <c r="AD346">
        <f t="shared" si="281"/>
        <v>321.59227320990004</v>
      </c>
      <c r="AE346">
        <f t="shared" si="282"/>
        <v>-0.10935616241704063</v>
      </c>
      <c r="AF346">
        <f t="shared" si="283"/>
        <v>1.9830486789036001E-2</v>
      </c>
      <c r="AG346">
        <f t="shared" si="298"/>
        <v>507.44541718046548</v>
      </c>
      <c r="AH346">
        <f t="shared" si="299"/>
        <v>-2848.7592896712813</v>
      </c>
      <c r="AJ346">
        <f t="shared" si="284"/>
        <v>22100</v>
      </c>
      <c r="AK346">
        <f t="shared" si="285"/>
        <v>78192.828598444568</v>
      </c>
      <c r="AL346">
        <v>1</v>
      </c>
      <c r="AM346">
        <f t="shared" si="286"/>
        <v>250.98379716231364</v>
      </c>
      <c r="AN346">
        <f t="shared" si="300"/>
        <v>311.89120692937058</v>
      </c>
      <c r="AO346">
        <f t="shared" si="301"/>
        <v>-86.810818225767989</v>
      </c>
      <c r="AQ346">
        <f t="shared" si="287"/>
        <v>5.7392069908132511E-3</v>
      </c>
      <c r="AR346">
        <f t="shared" si="288"/>
        <v>-7.5757532278734914</v>
      </c>
      <c r="AT346">
        <f t="shared" si="313"/>
        <v>-21578.585049876066</v>
      </c>
      <c r="AU346">
        <f t="shared" si="314"/>
        <v>-3860.6308764049472</v>
      </c>
      <c r="AV346">
        <f t="shared" si="302"/>
        <v>-2.9645554284394695</v>
      </c>
      <c r="AW346">
        <f t="shared" si="303"/>
        <v>142.31836168335604</v>
      </c>
      <c r="AX346">
        <f t="shared" si="304"/>
        <v>-5520.413644282482</v>
      </c>
      <c r="AY346">
        <f t="shared" si="312"/>
        <v>-1.5450216559404908</v>
      </c>
      <c r="BA346">
        <f t="shared" si="289"/>
        <v>3.9696186600804366</v>
      </c>
      <c r="BB346">
        <f t="shared" si="305"/>
        <v>11.974975768625749</v>
      </c>
      <c r="BC346">
        <f t="shared" si="306"/>
        <v>-1.4195337724989787</v>
      </c>
      <c r="BD346">
        <f t="shared" si="290"/>
        <v>-261.33329413341227</v>
      </c>
      <c r="BF346">
        <f t="shared" si="291"/>
        <v>-46.876097479985475</v>
      </c>
      <c r="BG346">
        <f t="shared" si="292"/>
        <v>-188.02671223953806</v>
      </c>
      <c r="BH346">
        <f t="shared" si="307"/>
        <v>-8.0267122395380568</v>
      </c>
      <c r="BI346">
        <f t="shared" si="308"/>
        <v>-8.0267122395380568</v>
      </c>
      <c r="BJ346">
        <f t="shared" si="293"/>
        <v>0</v>
      </c>
      <c r="BK346">
        <f t="shared" si="309"/>
        <v>0</v>
      </c>
      <c r="BM346">
        <f t="shared" si="310"/>
        <v>-58.851073248611229</v>
      </c>
      <c r="BN346">
        <f t="shared" si="294"/>
        <v>-106.69341810612576</v>
      </c>
      <c r="BQ346" s="47">
        <f t="shared" si="311"/>
        <v>28.876936568910885</v>
      </c>
      <c r="BR346" s="529"/>
      <c r="BS346" s="529"/>
      <c r="BT346" s="529">
        <v>229086.76500000001</v>
      </c>
      <c r="BU346" s="529">
        <v>14.1297</v>
      </c>
      <c r="BV346" s="529">
        <v>-156.46</v>
      </c>
      <c r="BY346" s="529"/>
      <c r="BZ346" s="529"/>
      <c r="CA346" s="529"/>
      <c r="CC346" s="529"/>
    </row>
    <row r="347" spans="1:81">
      <c r="A347">
        <f t="shared" si="263"/>
        <v>665000</v>
      </c>
      <c r="B347">
        <f t="shared" si="295"/>
        <v>665</v>
      </c>
      <c r="C347">
        <f t="shared" si="264"/>
        <v>3.4890313324074427</v>
      </c>
      <c r="D347">
        <f t="shared" si="265"/>
        <v>1.2801072068987307</v>
      </c>
      <c r="F347">
        <f t="shared" si="266"/>
        <v>2.1632227123644137E-5</v>
      </c>
      <c r="G347">
        <f t="shared" si="267"/>
        <v>1.4023014731852073E-3</v>
      </c>
      <c r="H347">
        <f t="shared" si="268"/>
        <v>-3.140190348526815</v>
      </c>
      <c r="J347">
        <f t="shared" si="269"/>
        <v>15</v>
      </c>
      <c r="M347">
        <f t="shared" si="270"/>
        <v>2.2646267939638574E-3</v>
      </c>
      <c r="N347">
        <f t="shared" si="271"/>
        <v>-1.5707963250000001</v>
      </c>
      <c r="O347">
        <f t="shared" si="272"/>
        <v>324.03012138007114</v>
      </c>
      <c r="P347">
        <f t="shared" si="273"/>
        <v>1.5677101890521552</v>
      </c>
      <c r="Q347">
        <f t="shared" si="274"/>
        <v>252.88716673915167</v>
      </c>
      <c r="R347">
        <f t="shared" si="275"/>
        <v>1.566841983761055</v>
      </c>
      <c r="S347">
        <f t="shared" si="276"/>
        <v>0.27008483445954623</v>
      </c>
      <c r="T347">
        <f t="shared" si="277"/>
        <v>-1.2973151875243434</v>
      </c>
      <c r="U347">
        <f t="shared" si="278"/>
        <v>0.17712925338847932</v>
      </c>
      <c r="V347">
        <f t="shared" si="279"/>
        <v>-1.3927275150395806</v>
      </c>
      <c r="X347">
        <f t="shared" si="296"/>
        <v>-39.956066617071968</v>
      </c>
      <c r="Y347">
        <f t="shared" si="280"/>
        <v>-171.10639705252163</v>
      </c>
      <c r="Z347">
        <f t="shared" si="297"/>
        <v>8.8936029474783709</v>
      </c>
      <c r="AC347">
        <v>1</v>
      </c>
      <c r="AD347">
        <f t="shared" si="281"/>
        <v>324.02857830997505</v>
      </c>
      <c r="AE347">
        <f t="shared" si="282"/>
        <v>-0.11101935014893433</v>
      </c>
      <c r="AF347">
        <f t="shared" si="283"/>
        <v>1.9980717749559004E-2</v>
      </c>
      <c r="AG347">
        <f t="shared" si="298"/>
        <v>500.08185933843862</v>
      </c>
      <c r="AH347">
        <f t="shared" si="299"/>
        <v>-2828.6653038913814</v>
      </c>
      <c r="AJ347">
        <f t="shared" si="284"/>
        <v>22100</v>
      </c>
      <c r="AK347">
        <f t="shared" si="285"/>
        <v>78785.198512069139</v>
      </c>
      <c r="AL347">
        <v>1</v>
      </c>
      <c r="AM347">
        <f t="shared" si="286"/>
        <v>252.8851895650584</v>
      </c>
      <c r="AN347">
        <f t="shared" si="300"/>
        <v>311.88602532840321</v>
      </c>
      <c r="AO347">
        <f t="shared" si="301"/>
        <v>-86.158125796711744</v>
      </c>
      <c r="AQ347">
        <f t="shared" si="287"/>
        <v>5.6532276255143732E-3</v>
      </c>
      <c r="AR347">
        <f t="shared" si="288"/>
        <v>-7.5187927419341163</v>
      </c>
      <c r="AT347">
        <f t="shared" si="313"/>
        <v>-21265.321079677149</v>
      </c>
      <c r="AU347">
        <f t="shared" si="314"/>
        <v>-3776.0029432060628</v>
      </c>
      <c r="AV347">
        <f t="shared" si="302"/>
        <v>-2.9658581000196556</v>
      </c>
      <c r="AW347">
        <f t="shared" si="303"/>
        <v>145.08180362887416</v>
      </c>
      <c r="AX347">
        <f t="shared" si="304"/>
        <v>-5480.1297035309526</v>
      </c>
      <c r="AY347">
        <f t="shared" si="312"/>
        <v>-1.5443283541917978</v>
      </c>
      <c r="BA347">
        <f t="shared" si="289"/>
        <v>3.9397607422205811</v>
      </c>
      <c r="BB347">
        <f t="shared" si="305"/>
        <v>11.909396967027138</v>
      </c>
      <c r="BC347">
        <f t="shared" si="306"/>
        <v>-1.4215297458278577</v>
      </c>
      <c r="BD347">
        <f t="shared" si="290"/>
        <v>-261.4476549813084</v>
      </c>
      <c r="BF347">
        <f t="shared" si="291"/>
        <v>-47.012655779370121</v>
      </c>
      <c r="BG347">
        <f t="shared" si="292"/>
        <v>-188.02256866181219</v>
      </c>
      <c r="BH347">
        <f t="shared" si="307"/>
        <v>-8.022568661812187</v>
      </c>
      <c r="BI347">
        <f t="shared" si="308"/>
        <v>-8.022568661812187</v>
      </c>
      <c r="BJ347">
        <f t="shared" si="293"/>
        <v>0</v>
      </c>
      <c r="BK347">
        <f t="shared" si="309"/>
        <v>0</v>
      </c>
      <c r="BM347">
        <f t="shared" si="310"/>
        <v>-58.92205274639727</v>
      </c>
      <c r="BN347">
        <f t="shared" si="294"/>
        <v>-106.5749136805038</v>
      </c>
      <c r="BQ347" s="47">
        <f t="shared" si="311"/>
        <v>28.811357767312277</v>
      </c>
      <c r="BR347" s="529"/>
      <c r="BS347" s="529"/>
      <c r="BT347" s="529">
        <v>234422.88200000001</v>
      </c>
      <c r="BU347" s="529">
        <v>14.451599999999999</v>
      </c>
      <c r="BV347" s="529">
        <v>-158.77500000000001</v>
      </c>
      <c r="BY347" s="529"/>
      <c r="BZ347" s="529"/>
      <c r="CA347" s="529"/>
      <c r="CC347" s="529"/>
    </row>
    <row r="348" spans="1:81">
      <c r="A348">
        <f t="shared" si="263"/>
        <v>670000</v>
      </c>
      <c r="B348">
        <f t="shared" si="295"/>
        <v>670</v>
      </c>
      <c r="C348">
        <f t="shared" si="264"/>
        <v>3.5131170544320387</v>
      </c>
      <c r="D348">
        <f t="shared" si="265"/>
        <v>1.2821576261632044</v>
      </c>
      <c r="F348">
        <f t="shared" si="266"/>
        <v>2.1310556130738988E-5</v>
      </c>
      <c r="G348">
        <f t="shared" si="267"/>
        <v>1.3918360946214828E-3</v>
      </c>
      <c r="H348">
        <f t="shared" si="268"/>
        <v>-3.1402008139053788</v>
      </c>
      <c r="J348">
        <f t="shared" si="269"/>
        <v>15</v>
      </c>
      <c r="M348">
        <f t="shared" si="270"/>
        <v>2.2477265940089031E-3</v>
      </c>
      <c r="N348">
        <f t="shared" si="271"/>
        <v>-1.5707963250000001</v>
      </c>
      <c r="O348">
        <f t="shared" si="272"/>
        <v>326.46641496475189</v>
      </c>
      <c r="P348">
        <f t="shared" si="273"/>
        <v>1.567733219786231</v>
      </c>
      <c r="Q348">
        <f t="shared" si="274"/>
        <v>254.78854438697999</v>
      </c>
      <c r="R348">
        <f t="shared" si="275"/>
        <v>1.5668714934795029</v>
      </c>
      <c r="S348">
        <f t="shared" si="276"/>
        <v>0.26821477920758707</v>
      </c>
      <c r="T348">
        <f t="shared" si="277"/>
        <v>-1.2992568954145687</v>
      </c>
      <c r="U348">
        <f t="shared" si="278"/>
        <v>0.1758484176074889</v>
      </c>
      <c r="V348">
        <f t="shared" si="279"/>
        <v>-1.394028777299265</v>
      </c>
      <c r="X348">
        <f t="shared" si="296"/>
        <v>-40.084765519879667</v>
      </c>
      <c r="Y348">
        <f t="shared" si="280"/>
        <v>-171.17231446102642</v>
      </c>
      <c r="Z348">
        <f t="shared" si="297"/>
        <v>8.8276855389735829</v>
      </c>
      <c r="AC348">
        <v>1</v>
      </c>
      <c r="AD348">
        <f t="shared" si="281"/>
        <v>326.46488341005005</v>
      </c>
      <c r="AE348">
        <f t="shared" si="282"/>
        <v>-0.11269509024106875</v>
      </c>
      <c r="AF348">
        <f t="shared" si="283"/>
        <v>2.0130948710082003E-2</v>
      </c>
      <c r="AG348">
        <f t="shared" si="298"/>
        <v>492.87574413036344</v>
      </c>
      <c r="AH348">
        <f t="shared" si="299"/>
        <v>-2808.8431040553228</v>
      </c>
      <c r="AJ348">
        <f t="shared" si="284"/>
        <v>22100</v>
      </c>
      <c r="AK348">
        <f t="shared" si="285"/>
        <v>79377.568425693724</v>
      </c>
      <c r="AL348">
        <v>1</v>
      </c>
      <c r="AM348">
        <f t="shared" si="286"/>
        <v>254.78658196780319</v>
      </c>
      <c r="AN348">
        <f t="shared" si="300"/>
        <v>311.88095929764228</v>
      </c>
      <c r="AO348">
        <f t="shared" si="301"/>
        <v>-85.515174592104998</v>
      </c>
      <c r="AQ348">
        <f t="shared" si="287"/>
        <v>5.5691659784105714E-3</v>
      </c>
      <c r="AR348">
        <f t="shared" si="288"/>
        <v>-7.4626824110701655</v>
      </c>
      <c r="AT348">
        <f t="shared" si="313"/>
        <v>-20958.759121263589</v>
      </c>
      <c r="AU348">
        <f t="shared" si="314"/>
        <v>-3693.8180600185806</v>
      </c>
      <c r="AV348">
        <f t="shared" si="302"/>
        <v>-2.9671419425846475</v>
      </c>
      <c r="AW348">
        <f t="shared" si="303"/>
        <v>147.77710425571576</v>
      </c>
      <c r="AX348">
        <f t="shared" si="304"/>
        <v>-5440.4211053269046</v>
      </c>
      <c r="AY348">
        <f t="shared" si="312"/>
        <v>-1.5436401980188976</v>
      </c>
      <c r="BA348">
        <f t="shared" si="289"/>
        <v>3.9103455807185075</v>
      </c>
      <c r="BB348">
        <f t="shared" si="305"/>
        <v>11.844302806060565</v>
      </c>
      <c r="BC348">
        <f t="shared" si="306"/>
        <v>-1.4235017445657498</v>
      </c>
      <c r="BD348">
        <f t="shared" si="290"/>
        <v>-261.56064218632389</v>
      </c>
      <c r="BF348">
        <f t="shared" si="291"/>
        <v>-47.148123936335445</v>
      </c>
      <c r="BG348">
        <f t="shared" si="292"/>
        <v>-188.01867511863014</v>
      </c>
      <c r="BH348">
        <f t="shared" si="307"/>
        <v>-8.0186751186301422</v>
      </c>
      <c r="BI348">
        <f t="shared" si="308"/>
        <v>-8.0186751186301422</v>
      </c>
      <c r="BJ348">
        <f t="shared" si="293"/>
        <v>0</v>
      </c>
      <c r="BK348">
        <f t="shared" si="309"/>
        <v>0</v>
      </c>
      <c r="BM348">
        <f t="shared" si="310"/>
        <v>-58.992426742396013</v>
      </c>
      <c r="BN348">
        <f t="shared" si="294"/>
        <v>-106.4580329323063</v>
      </c>
      <c r="BQ348" s="47">
        <f t="shared" si="311"/>
        <v>28.746263606345703</v>
      </c>
      <c r="BR348" s="529"/>
      <c r="BS348" s="529"/>
      <c r="BT348" s="529">
        <v>239883.29199999999</v>
      </c>
      <c r="BU348" s="529">
        <v>14.4628</v>
      </c>
      <c r="BV348" s="529">
        <v>-161.529</v>
      </c>
      <c r="BY348" s="529"/>
      <c r="BZ348" s="529"/>
      <c r="CA348" s="529"/>
      <c r="CC348" s="529"/>
    </row>
    <row r="349" spans="1:81">
      <c r="A349">
        <f t="shared" si="263"/>
        <v>675000</v>
      </c>
      <c r="B349">
        <f t="shared" si="295"/>
        <v>675</v>
      </c>
      <c r="C349">
        <f t="shared" si="264"/>
        <v>3.5372173451912854</v>
      </c>
      <c r="D349">
        <f t="shared" si="265"/>
        <v>1.2841801133966793</v>
      </c>
      <c r="F349">
        <f t="shared" si="266"/>
        <v>2.0996007068713752E-5</v>
      </c>
      <c r="G349">
        <f t="shared" si="267"/>
        <v>1.381525768421041E-3</v>
      </c>
      <c r="H349">
        <f t="shared" si="268"/>
        <v>-3.1402111242315791</v>
      </c>
      <c r="J349">
        <f t="shared" si="269"/>
        <v>15</v>
      </c>
      <c r="M349">
        <f t="shared" si="270"/>
        <v>2.231076767386615E-3</v>
      </c>
      <c r="N349">
        <f t="shared" si="271"/>
        <v>-1.5707963250000001</v>
      </c>
      <c r="O349">
        <f t="shared" si="272"/>
        <v>328.90270872002986</v>
      </c>
      <c r="P349">
        <f t="shared" si="273"/>
        <v>1.567755909327424</v>
      </c>
      <c r="Q349">
        <f t="shared" si="274"/>
        <v>256.68992225339719</v>
      </c>
      <c r="R349">
        <f t="shared" si="275"/>
        <v>1.5669005660236213</v>
      </c>
      <c r="S349">
        <f t="shared" si="276"/>
        <v>0.2663694585907237</v>
      </c>
      <c r="T349">
        <f t="shared" si="277"/>
        <v>-1.3011718924991533</v>
      </c>
      <c r="U349">
        <f t="shared" si="278"/>
        <v>0.17458568320755227</v>
      </c>
      <c r="V349">
        <f t="shared" si="279"/>
        <v>-1.3953113534659065</v>
      </c>
      <c r="X349">
        <f t="shared" si="296"/>
        <v>-40.212528948939863</v>
      </c>
      <c r="Y349">
        <f t="shared" si="280"/>
        <v>-171.23726691963213</v>
      </c>
      <c r="Z349">
        <f t="shared" si="297"/>
        <v>8.762733080367866</v>
      </c>
      <c r="AC349">
        <v>1</v>
      </c>
      <c r="AD349">
        <f t="shared" si="281"/>
        <v>328.901188510125</v>
      </c>
      <c r="AE349">
        <f t="shared" si="282"/>
        <v>-0.11438338269344386</v>
      </c>
      <c r="AF349">
        <f t="shared" si="283"/>
        <v>2.0281179670605002E-2</v>
      </c>
      <c r="AG349">
        <f t="shared" si="298"/>
        <v>485.8226628418625</v>
      </c>
      <c r="AH349">
        <f t="shared" si="299"/>
        <v>-2789.2874321792933</v>
      </c>
      <c r="AJ349">
        <f t="shared" si="284"/>
        <v>22100</v>
      </c>
      <c r="AK349">
        <f t="shared" si="285"/>
        <v>79969.938339318294</v>
      </c>
      <c r="AL349">
        <v>1</v>
      </c>
      <c r="AM349">
        <f t="shared" si="286"/>
        <v>256.68797437054798</v>
      </c>
      <c r="AN349">
        <f t="shared" si="300"/>
        <v>311.87600542558664</v>
      </c>
      <c r="AO349">
        <f t="shared" si="301"/>
        <v>-84.881748153583743</v>
      </c>
      <c r="AQ349">
        <f t="shared" si="287"/>
        <v>5.4869654392507876E-3</v>
      </c>
      <c r="AR349">
        <f t="shared" si="288"/>
        <v>-7.4074033429885633</v>
      </c>
      <c r="AT349">
        <f t="shared" si="313"/>
        <v>-20658.711357520264</v>
      </c>
      <c r="AU349">
        <f t="shared" si="314"/>
        <v>-3613.9891405749222</v>
      </c>
      <c r="AV349">
        <f t="shared" si="302"/>
        <v>-2.9684073571230156</v>
      </c>
      <c r="AW349">
        <f t="shared" si="303"/>
        <v>150.40650369863067</v>
      </c>
      <c r="AX349">
        <f t="shared" si="304"/>
        <v>-5401.2757829037255</v>
      </c>
      <c r="AY349">
        <f t="shared" si="312"/>
        <v>-1.5429570437377722</v>
      </c>
      <c r="BA349">
        <f t="shared" si="289"/>
        <v>3.8813634152295959</v>
      </c>
      <c r="BB349">
        <f t="shared" si="305"/>
        <v>11.779686159823656</v>
      </c>
      <c r="BC349">
        <f t="shared" si="306"/>
        <v>-1.4254503133852434</v>
      </c>
      <c r="BD349">
        <f t="shared" si="290"/>
        <v>-261.67228695589921</v>
      </c>
      <c r="BF349">
        <f t="shared" si="291"/>
        <v>-47.282519533545212</v>
      </c>
      <c r="BG349">
        <f t="shared" si="292"/>
        <v>-188.01503064365323</v>
      </c>
      <c r="BH349">
        <f t="shared" si="307"/>
        <v>-8.0150306436532333</v>
      </c>
      <c r="BI349">
        <f t="shared" si="308"/>
        <v>-8.0150306436532333</v>
      </c>
      <c r="BJ349">
        <f t="shared" si="293"/>
        <v>0</v>
      </c>
      <c r="BK349">
        <f t="shared" si="309"/>
        <v>0</v>
      </c>
      <c r="BM349">
        <f t="shared" si="310"/>
        <v>-59.062205693368867</v>
      </c>
      <c r="BN349">
        <f t="shared" si="294"/>
        <v>-106.34274368775402</v>
      </c>
      <c r="BQ349" s="47">
        <f t="shared" si="311"/>
        <v>28.681646960108793</v>
      </c>
      <c r="BR349" s="529"/>
      <c r="BS349" s="529"/>
      <c r="BT349" s="529">
        <v>245470.89199999999</v>
      </c>
      <c r="BU349" s="529">
        <v>14.575900000000001</v>
      </c>
      <c r="BV349" s="529">
        <v>-163.59700000000001</v>
      </c>
      <c r="BY349" s="529"/>
      <c r="BZ349" s="529"/>
      <c r="CA349" s="529"/>
      <c r="CC349" s="529"/>
    </row>
    <row r="350" spans="1:81">
      <c r="A350">
        <f t="shared" si="263"/>
        <v>680000</v>
      </c>
      <c r="B350">
        <f t="shared" si="295"/>
        <v>680</v>
      </c>
      <c r="C350">
        <f t="shared" si="264"/>
        <v>3.561331908916014</v>
      </c>
      <c r="D350">
        <f t="shared" si="265"/>
        <v>1.2861752192850782</v>
      </c>
      <c r="F350">
        <f t="shared" si="266"/>
        <v>2.0688371233983084E-5</v>
      </c>
      <c r="G350">
        <f t="shared" si="267"/>
        <v>1.3713670740284798E-3</v>
      </c>
      <c r="H350">
        <f t="shared" si="268"/>
        <v>-3.1402212829259719</v>
      </c>
      <c r="J350">
        <f t="shared" si="269"/>
        <v>15</v>
      </c>
      <c r="M350">
        <f t="shared" si="270"/>
        <v>2.214671791155831E-3</v>
      </c>
      <c r="N350">
        <f t="shared" si="271"/>
        <v>-1.5707963250000001</v>
      </c>
      <c r="O350">
        <f t="shared" si="272"/>
        <v>331.33900264214196</v>
      </c>
      <c r="P350">
        <f t="shared" si="273"/>
        <v>1.5677782652019558</v>
      </c>
      <c r="Q350">
        <f t="shared" si="274"/>
        <v>258.59130033358144</v>
      </c>
      <c r="R350">
        <f t="shared" si="275"/>
        <v>1.5669292110367676</v>
      </c>
      <c r="S350">
        <f t="shared" si="276"/>
        <v>0.26454840576784194</v>
      </c>
      <c r="T350">
        <f t="shared" si="277"/>
        <v>-1.3030607124175269</v>
      </c>
      <c r="U350">
        <f t="shared" si="278"/>
        <v>0.17334067535342645</v>
      </c>
      <c r="V350">
        <f t="shared" si="279"/>
        <v>-1.3965756390376309</v>
      </c>
      <c r="X350">
        <f t="shared" si="296"/>
        <v>-40.339370235048222</v>
      </c>
      <c r="Y350">
        <f t="shared" si="280"/>
        <v>-171.30127532425917</v>
      </c>
      <c r="Z350">
        <f t="shared" si="297"/>
        <v>8.6987246757408343</v>
      </c>
      <c r="AC350">
        <v>1</v>
      </c>
      <c r="AD350">
        <f t="shared" si="281"/>
        <v>331.33749361020006</v>
      </c>
      <c r="AE350">
        <f t="shared" si="282"/>
        <v>-0.11608422750605969</v>
      </c>
      <c r="AF350">
        <f t="shared" si="283"/>
        <v>2.0431410631128005E-2</v>
      </c>
      <c r="AG350">
        <f t="shared" si="298"/>
        <v>478.91835829980755</v>
      </c>
      <c r="AH350">
        <f t="shared" si="299"/>
        <v>-2769.9931582540412</v>
      </c>
      <c r="AJ350">
        <f t="shared" si="284"/>
        <v>22100</v>
      </c>
      <c r="AK350">
        <f t="shared" si="285"/>
        <v>80562.308252942894</v>
      </c>
      <c r="AL350">
        <v>1</v>
      </c>
      <c r="AM350">
        <f t="shared" si="286"/>
        <v>258.5893667732928</v>
      </c>
      <c r="AN350">
        <f t="shared" si="300"/>
        <v>311.8711604256917</v>
      </c>
      <c r="AO350">
        <f t="shared" si="301"/>
        <v>-84.257636388723299</v>
      </c>
      <c r="AQ350">
        <f t="shared" si="287"/>
        <v>5.4065714713605797E-3</v>
      </c>
      <c r="AR350">
        <f t="shared" si="288"/>
        <v>-7.3529372010503886</v>
      </c>
      <c r="AT350">
        <f t="shared" si="313"/>
        <v>-20364.996433648103</v>
      </c>
      <c r="AU350">
        <f t="shared" si="314"/>
        <v>-3536.4327789939143</v>
      </c>
      <c r="AV350">
        <f t="shared" si="302"/>
        <v>-2.9696547334403354</v>
      </c>
      <c r="AW350">
        <f t="shared" si="303"/>
        <v>152.97215052190478</v>
      </c>
      <c r="AX350">
        <f t="shared" si="304"/>
        <v>-5362.6819999472409</v>
      </c>
      <c r="AY350">
        <f t="shared" si="312"/>
        <v>-1.5422787529444295</v>
      </c>
      <c r="BA350">
        <f t="shared" si="289"/>
        <v>3.852804769015779</v>
      </c>
      <c r="BB350">
        <f t="shared" si="305"/>
        <v>11.715540056266725</v>
      </c>
      <c r="BC350">
        <f t="shared" si="306"/>
        <v>-1.4273759804959059</v>
      </c>
      <c r="BD350">
        <f t="shared" si="290"/>
        <v>-261.7826195542134</v>
      </c>
      <c r="BF350">
        <f t="shared" si="291"/>
        <v>-47.415859731594779</v>
      </c>
      <c r="BG350">
        <f t="shared" si="292"/>
        <v>-188.01163414506456</v>
      </c>
      <c r="BH350">
        <f t="shared" si="307"/>
        <v>-8.0116341450645621</v>
      </c>
      <c r="BI350">
        <f t="shared" si="308"/>
        <v>-8.0116341450645621</v>
      </c>
      <c r="BJ350">
        <f t="shared" si="293"/>
        <v>0</v>
      </c>
      <c r="BK350">
        <f t="shared" si="309"/>
        <v>0</v>
      </c>
      <c r="BM350">
        <f t="shared" si="310"/>
        <v>-59.131399787861497</v>
      </c>
      <c r="BN350">
        <f t="shared" si="294"/>
        <v>-106.22901459085119</v>
      </c>
      <c r="BQ350" s="47">
        <f t="shared" si="311"/>
        <v>28.617500856551864</v>
      </c>
      <c r="BR350" s="529"/>
      <c r="BS350" s="529"/>
      <c r="BT350" s="529">
        <v>251188.64300000001</v>
      </c>
      <c r="BU350" s="529">
        <v>14.7446</v>
      </c>
      <c r="BV350" s="529">
        <v>-165.89599999999999</v>
      </c>
      <c r="BY350" s="529"/>
      <c r="BZ350" s="529"/>
      <c r="CA350" s="529"/>
      <c r="CC350" s="529"/>
    </row>
    <row r="351" spans="1:81">
      <c r="A351">
        <f t="shared" si="263"/>
        <v>685000</v>
      </c>
      <c r="B351">
        <f t="shared" si="295"/>
        <v>685</v>
      </c>
      <c r="C351">
        <f t="shared" si="264"/>
        <v>3.5854604576211861</v>
      </c>
      <c r="D351">
        <f t="shared" si="265"/>
        <v>1.2881434805759804</v>
      </c>
      <c r="F351">
        <f t="shared" si="266"/>
        <v>2.0387447512282791E-5</v>
      </c>
      <c r="G351">
        <f t="shared" si="267"/>
        <v>1.3613566907688323E-3</v>
      </c>
      <c r="H351">
        <f t="shared" si="268"/>
        <v>-3.1402312933092316</v>
      </c>
      <c r="J351">
        <f t="shared" si="269"/>
        <v>15</v>
      </c>
      <c r="M351">
        <f t="shared" si="270"/>
        <v>2.1985063036291459E-3</v>
      </c>
      <c r="N351">
        <f t="shared" si="271"/>
        <v>-1.5707963250000001</v>
      </c>
      <c r="O351">
        <f t="shared" si="272"/>
        <v>333.77529672743492</v>
      </c>
      <c r="P351">
        <f t="shared" si="273"/>
        <v>1.5678002947163068</v>
      </c>
      <c r="Q351">
        <f t="shared" si="274"/>
        <v>260.49267862285188</v>
      </c>
      <c r="R351">
        <f t="shared" si="275"/>
        <v>1.5669574378807476</v>
      </c>
      <c r="S351">
        <f t="shared" si="276"/>
        <v>0.2627511649843039</v>
      </c>
      <c r="T351">
        <f t="shared" si="277"/>
        <v>-1.3049238750663579</v>
      </c>
      <c r="U351">
        <f t="shared" si="278"/>
        <v>0.17211302931080205</v>
      </c>
      <c r="V351">
        <f t="shared" si="279"/>
        <v>-1.3978220185461636</v>
      </c>
      <c r="X351">
        <f t="shared" si="296"/>
        <v>-40.46530243000948</v>
      </c>
      <c r="Y351">
        <f t="shared" si="280"/>
        <v>-171.36435997670458</v>
      </c>
      <c r="Z351">
        <f t="shared" si="297"/>
        <v>8.6356400232954229</v>
      </c>
      <c r="AC351">
        <v>1</v>
      </c>
      <c r="AD351">
        <f t="shared" si="281"/>
        <v>333.773798710275</v>
      </c>
      <c r="AE351">
        <f t="shared" si="282"/>
        <v>-0.11779762467891619</v>
      </c>
      <c r="AF351">
        <f t="shared" si="283"/>
        <v>2.0581641591651E-2</v>
      </c>
      <c r="AG351">
        <f t="shared" si="298"/>
        <v>472.15871873646296</v>
      </c>
      <c r="AH351">
        <f t="shared" si="299"/>
        <v>-2750.9552766463266</v>
      </c>
      <c r="AJ351">
        <f t="shared" si="284"/>
        <v>22100</v>
      </c>
      <c r="AK351">
        <f t="shared" si="285"/>
        <v>81154.678166567464</v>
      </c>
      <c r="AL351">
        <v>1</v>
      </c>
      <c r="AM351">
        <f t="shared" si="286"/>
        <v>260.49075917603761</v>
      </c>
      <c r="AN351">
        <f t="shared" si="300"/>
        <v>311.86642113091608</v>
      </c>
      <c r="AO351">
        <f t="shared" si="301"/>
        <v>-83.642635338725526</v>
      </c>
      <c r="AQ351">
        <f t="shared" si="287"/>
        <v>5.327931521161745E-3</v>
      </c>
      <c r="AR351">
        <f t="shared" si="288"/>
        <v>-7.2992661839915902</v>
      </c>
      <c r="AT351">
        <f t="shared" si="313"/>
        <v>-20077.439195177216</v>
      </c>
      <c r="AU351">
        <f t="shared" si="314"/>
        <v>-3461.0690704816107</v>
      </c>
      <c r="AV351">
        <f t="shared" si="302"/>
        <v>-2.970884450541984</v>
      </c>
      <c r="AW351">
        <f t="shared" si="303"/>
        <v>155.47610617108961</v>
      </c>
      <c r="AX351">
        <f t="shared" si="304"/>
        <v>-5324.6283395148348</v>
      </c>
      <c r="AY351">
        <f t="shared" si="312"/>
        <v>-1.5416051922786167</v>
      </c>
      <c r="BA351">
        <f t="shared" si="289"/>
        <v>3.8246604387751169</v>
      </c>
      <c r="BB351">
        <f t="shared" si="305"/>
        <v>11.651857672865319</v>
      </c>
      <c r="BC351">
        <f t="shared" si="306"/>
        <v>-1.4292792582633673</v>
      </c>
      <c r="BD351">
        <f t="shared" si="290"/>
        <v>-261.8916693376546</v>
      </c>
      <c r="BF351">
        <f t="shared" si="291"/>
        <v>-47.548161282309408</v>
      </c>
      <c r="BG351">
        <f t="shared" si="292"/>
        <v>-188.00848441614201</v>
      </c>
      <c r="BH351">
        <f t="shared" si="307"/>
        <v>-8.0084844161420108</v>
      </c>
      <c r="BI351">
        <f t="shared" si="308"/>
        <v>-8.0084844161420108</v>
      </c>
      <c r="BJ351">
        <f t="shared" si="293"/>
        <v>0</v>
      </c>
      <c r="BK351">
        <f t="shared" si="309"/>
        <v>0</v>
      </c>
      <c r="BM351">
        <f t="shared" si="310"/>
        <v>-59.20001895517472</v>
      </c>
      <c r="BN351">
        <f t="shared" si="294"/>
        <v>-106.11681507848741</v>
      </c>
      <c r="BQ351" s="47">
        <f t="shared" si="311"/>
        <v>28.553818473150457</v>
      </c>
      <c r="BR351" s="529"/>
      <c r="BS351" s="529"/>
      <c r="BT351" s="529">
        <v>257039.57800000001</v>
      </c>
      <c r="BU351" s="529">
        <v>14.891</v>
      </c>
      <c r="BV351" s="529">
        <v>-168.07</v>
      </c>
      <c r="BY351" s="529"/>
      <c r="BZ351" s="529"/>
      <c r="CA351" s="529"/>
      <c r="CC351" s="529"/>
    </row>
    <row r="352" spans="1:81">
      <c r="A352">
        <f t="shared" si="263"/>
        <v>690000</v>
      </c>
      <c r="B352">
        <f t="shared" si="295"/>
        <v>690</v>
      </c>
      <c r="C352">
        <f t="shared" si="264"/>
        <v>3.6096027108571551</v>
      </c>
      <c r="D352">
        <f t="shared" si="265"/>
        <v>1.2900854205016821</v>
      </c>
      <c r="F352">
        <f t="shared" si="266"/>
        <v>2.0093042049885606E-5</v>
      </c>
      <c r="G352">
        <f t="shared" si="267"/>
        <v>1.3514913942282722E-3</v>
      </c>
      <c r="H352">
        <f t="shared" si="268"/>
        <v>-3.1402411586057721</v>
      </c>
      <c r="J352">
        <f t="shared" si="269"/>
        <v>15</v>
      </c>
      <c r="M352">
        <f t="shared" si="270"/>
        <v>2.1825750985303843E-3</v>
      </c>
      <c r="N352">
        <f t="shared" si="271"/>
        <v>-1.5707963250000001</v>
      </c>
      <c r="O352">
        <f t="shared" si="272"/>
        <v>336.21159097236131</v>
      </c>
      <c r="P352">
        <f t="shared" si="273"/>
        <v>1.5678220049651788</v>
      </c>
      <c r="Q352">
        <f t="shared" si="274"/>
        <v>262.39405711666319</v>
      </c>
      <c r="R352">
        <f t="shared" si="275"/>
        <v>1.5669852556460175</v>
      </c>
      <c r="S352">
        <f t="shared" si="276"/>
        <v>0.26097729126616559</v>
      </c>
      <c r="T352">
        <f t="shared" si="277"/>
        <v>-1.3067618870261166</v>
      </c>
      <c r="U352">
        <f t="shared" si="278"/>
        <v>0.17090239011469213</v>
      </c>
      <c r="V352">
        <f t="shared" si="279"/>
        <v>-1.3990508659302139</v>
      </c>
      <c r="X352">
        <f t="shared" si="296"/>
        <v>-40.590338314248562</v>
      </c>
      <c r="Y352">
        <f t="shared" si="280"/>
        <v>-171.42654060540292</v>
      </c>
      <c r="Z352">
        <f t="shared" si="297"/>
        <v>8.5734593945970801</v>
      </c>
      <c r="AC352">
        <v>1</v>
      </c>
      <c r="AD352">
        <f t="shared" si="281"/>
        <v>336.21010381035006</v>
      </c>
      <c r="AE352">
        <f t="shared" si="282"/>
        <v>-0.11952357421201339</v>
      </c>
      <c r="AF352">
        <f t="shared" si="283"/>
        <v>2.0731872552174003E-2</v>
      </c>
      <c r="AG352">
        <f t="shared" si="298"/>
        <v>465.53977193797215</v>
      </c>
      <c r="AH352">
        <f t="shared" si="299"/>
        <v>-2732.1689026075101</v>
      </c>
      <c r="AJ352">
        <f t="shared" si="284"/>
        <v>22100</v>
      </c>
      <c r="AK352">
        <f t="shared" si="285"/>
        <v>81747.048080192049</v>
      </c>
      <c r="AL352">
        <v>1</v>
      </c>
      <c r="AM352">
        <f t="shared" si="286"/>
        <v>262.39215157878238</v>
      </c>
      <c r="AN352">
        <f t="shared" si="300"/>
        <v>311.8617844885465</v>
      </c>
      <c r="AO352">
        <f t="shared" si="301"/>
        <v>-83.036546956205882</v>
      </c>
      <c r="AQ352">
        <f t="shared" si="287"/>
        <v>5.2509949322647907E-3</v>
      </c>
      <c r="AR352">
        <f t="shared" si="288"/>
        <v>-7.2463730065254115</v>
      </c>
      <c r="AT352">
        <f t="shared" si="313"/>
        <v>-19795.870438140002</v>
      </c>
      <c r="AU352">
        <f t="shared" si="314"/>
        <v>-3387.821441897001</v>
      </c>
      <c r="AV352">
        <f t="shared" si="302"/>
        <v>-2.9720968770005043</v>
      </c>
      <c r="AW352">
        <f t="shared" si="303"/>
        <v>157.92034917509463</v>
      </c>
      <c r="AX352">
        <f t="shared" si="304"/>
        <v>-5287.1036933915038</v>
      </c>
      <c r="AY352">
        <f t="shared" si="312"/>
        <v>-1.5409362331998864</v>
      </c>
      <c r="BA352">
        <f t="shared" si="289"/>
        <v>3.7969214849028159</v>
      </c>
      <c r="BB352">
        <f t="shared" si="305"/>
        <v>11.58863233244036</v>
      </c>
      <c r="BC352">
        <f t="shared" si="306"/>
        <v>-1.4311606438006179</v>
      </c>
      <c r="BD352">
        <f t="shared" si="290"/>
        <v>-261.99946478869919</v>
      </c>
      <c r="BF352">
        <f t="shared" si="291"/>
        <v>-47.679440541530163</v>
      </c>
      <c r="BG352">
        <f t="shared" si="292"/>
        <v>-188.00558014510489</v>
      </c>
      <c r="BH352">
        <f t="shared" si="307"/>
        <v>-8.0055801451048865</v>
      </c>
      <c r="BI352">
        <f t="shared" si="308"/>
        <v>-8.0055801451048865</v>
      </c>
      <c r="BJ352">
        <f t="shared" si="293"/>
        <v>0</v>
      </c>
      <c r="BK352">
        <f t="shared" si="309"/>
        <v>0</v>
      </c>
      <c r="BM352">
        <f t="shared" si="310"/>
        <v>-59.268072873970524</v>
      </c>
      <c r="BN352">
        <f t="shared" si="294"/>
        <v>-106.00611535640567</v>
      </c>
      <c r="BQ352" s="47">
        <f t="shared" si="311"/>
        <v>28.490593132725497</v>
      </c>
      <c r="BR352" s="529"/>
      <c r="BS352" s="529"/>
      <c r="BT352" s="529">
        <v>263026.799</v>
      </c>
      <c r="BU352" s="529">
        <v>14.9779</v>
      </c>
      <c r="BV352" s="529">
        <v>-170.82400000000001</v>
      </c>
      <c r="BY352" s="529"/>
      <c r="BZ352" s="529"/>
      <c r="CA352" s="529"/>
      <c r="CC352" s="529"/>
    </row>
    <row r="353" spans="1:81">
      <c r="A353">
        <f t="shared" si="263"/>
        <v>695000</v>
      </c>
      <c r="B353">
        <f t="shared" si="295"/>
        <v>695</v>
      </c>
      <c r="C353">
        <f t="shared" si="264"/>
        <v>3.6337583954701747</v>
      </c>
      <c r="D353">
        <f t="shared" si="265"/>
        <v>1.2920015491875623</v>
      </c>
      <c r="F353">
        <f t="shared" si="266"/>
        <v>1.9804967941315335E-5</v>
      </c>
      <c r="G353">
        <f t="shared" si="267"/>
        <v>1.341768052791067E-3</v>
      </c>
      <c r="H353">
        <f t="shared" si="268"/>
        <v>-3.140250881947209</v>
      </c>
      <c r="J353">
        <f t="shared" si="269"/>
        <v>15</v>
      </c>
      <c r="M353">
        <f t="shared" si="270"/>
        <v>2.1668731194042661E-3</v>
      </c>
      <c r="N353">
        <f t="shared" si="271"/>
        <v>-1.5707963250000001</v>
      </c>
      <c r="O353">
        <f t="shared" si="272"/>
        <v>338.64788537347584</v>
      </c>
      <c r="P353">
        <f t="shared" si="273"/>
        <v>1.5678434028391131</v>
      </c>
      <c r="Q353">
        <f t="shared" si="274"/>
        <v>264.29543581060079</v>
      </c>
      <c r="R353">
        <f t="shared" si="275"/>
        <v>1.5670126731614438</v>
      </c>
      <c r="S353">
        <f t="shared" si="276"/>
        <v>0.25922635012349748</v>
      </c>
      <c r="T353">
        <f t="shared" si="277"/>
        <v>-1.3085752419723853</v>
      </c>
      <c r="U353">
        <f t="shared" si="278"/>
        <v>0.16970841225052538</v>
      </c>
      <c r="V353">
        <f t="shared" si="279"/>
        <v>-1.4002625448938817</v>
      </c>
      <c r="X353">
        <f t="shared" si="296"/>
        <v>-40.714490404168501</v>
      </c>
      <c r="Y353">
        <f t="shared" si="280"/>
        <v>-171.48783638533283</v>
      </c>
      <c r="Z353">
        <f t="shared" si="297"/>
        <v>8.5121636146671733</v>
      </c>
      <c r="AC353">
        <v>1</v>
      </c>
      <c r="AD353">
        <f t="shared" si="281"/>
        <v>338.64640891042501</v>
      </c>
      <c r="AE353">
        <f t="shared" si="282"/>
        <v>-0.12126207610535135</v>
      </c>
      <c r="AF353">
        <f t="shared" si="283"/>
        <v>2.0882103512697002E-2</v>
      </c>
      <c r="AG353">
        <f t="shared" si="298"/>
        <v>459.05767966242365</v>
      </c>
      <c r="AH353">
        <f t="shared" si="299"/>
        <v>-2713.6292688864351</v>
      </c>
      <c r="AJ353">
        <f t="shared" si="284"/>
        <v>22100</v>
      </c>
      <c r="AK353">
        <f t="shared" si="285"/>
        <v>82339.41799381662</v>
      </c>
      <c r="AL353">
        <v>1</v>
      </c>
      <c r="AM353">
        <f t="shared" si="286"/>
        <v>264.29354398152719</v>
      </c>
      <c r="AN353">
        <f t="shared" si="300"/>
        <v>311.85724755527917</v>
      </c>
      <c r="AO353">
        <f t="shared" si="301"/>
        <v>-82.439178892571064</v>
      </c>
      <c r="AQ353">
        <f t="shared" si="287"/>
        <v>5.1757128638720232E-3</v>
      </c>
      <c r="AR353">
        <f t="shared" si="288"/>
        <v>-7.1942408807821119</v>
      </c>
      <c r="AT353">
        <f t="shared" si="313"/>
        <v>-19520.126670771777</v>
      </c>
      <c r="AU353">
        <f t="shared" si="314"/>
        <v>-3316.6164915791423</v>
      </c>
      <c r="AV353">
        <f t="shared" si="302"/>
        <v>-2.973292371308248</v>
      </c>
      <c r="AW353">
        <f t="shared" si="303"/>
        <v>160.30677911443371</v>
      </c>
      <c r="AX353">
        <f t="shared" si="304"/>
        <v>-5250.0972518631024</v>
      </c>
      <c r="AY353">
        <f t="shared" si="312"/>
        <v>-1.5402717517752877</v>
      </c>
      <c r="BA353">
        <f t="shared" si="289"/>
        <v>3.7695792221627191</v>
      </c>
      <c r="BB353">
        <f t="shared" si="305"/>
        <v>11.525857499120189</v>
      </c>
      <c r="BC353">
        <f t="shared" si="306"/>
        <v>-1.4330206195329602</v>
      </c>
      <c r="BD353">
        <f t="shared" si="290"/>
        <v>-262.10603354828095</v>
      </c>
      <c r="BF353">
        <f t="shared" si="291"/>
        <v>-47.809713481410718</v>
      </c>
      <c r="BG353">
        <f t="shared" si="292"/>
        <v>-188.00291992428401</v>
      </c>
      <c r="BH353">
        <f t="shared" si="307"/>
        <v>-8.002919924284015</v>
      </c>
      <c r="BI353">
        <f t="shared" si="308"/>
        <v>-8.002919924284015</v>
      </c>
      <c r="BJ353">
        <f t="shared" si="293"/>
        <v>0</v>
      </c>
      <c r="BK353">
        <f t="shared" si="309"/>
        <v>0</v>
      </c>
      <c r="BM353">
        <f t="shared" si="310"/>
        <v>-59.335570980530896</v>
      </c>
      <c r="BN353">
        <f t="shared" si="294"/>
        <v>-105.89688637600307</v>
      </c>
      <c r="BQ353" s="47">
        <f t="shared" si="311"/>
        <v>28.427818299405327</v>
      </c>
      <c r="BR353" s="529"/>
      <c r="BS353" s="529"/>
      <c r="BT353" s="529">
        <v>269153.48</v>
      </c>
      <c r="BU353" s="529">
        <v>15.0854</v>
      </c>
      <c r="BV353" s="529">
        <v>-173.35300000000001</v>
      </c>
      <c r="BY353" s="529"/>
      <c r="BZ353" s="529"/>
      <c r="CA353" s="529"/>
      <c r="CC353" s="529"/>
    </row>
    <row r="354" spans="1:81">
      <c r="A354">
        <f t="shared" si="263"/>
        <v>700000</v>
      </c>
      <c r="B354">
        <f t="shared" si="295"/>
        <v>700</v>
      </c>
      <c r="C354">
        <f t="shared" si="264"/>
        <v>3.6579272453717664</v>
      </c>
      <c r="D354">
        <f t="shared" si="265"/>
        <v>1.2938923640463236</v>
      </c>
      <c r="F354">
        <f t="shared" si="266"/>
        <v>1.9523044932620029E-5</v>
      </c>
      <c r="G354">
        <f t="shared" si="267"/>
        <v>1.332183624324973E-3</v>
      </c>
      <c r="H354">
        <f t="shared" si="268"/>
        <v>-3.140260466375675</v>
      </c>
      <c r="J354">
        <f t="shared" si="269"/>
        <v>15</v>
      </c>
      <c r="M354">
        <f t="shared" si="270"/>
        <v>2.1513954542656645E-3</v>
      </c>
      <c r="N354">
        <f t="shared" si="271"/>
        <v>-1.5707963250000001</v>
      </c>
      <c r="O354">
        <f t="shared" si="272"/>
        <v>341.08417992743165</v>
      </c>
      <c r="P354">
        <f t="shared" si="273"/>
        <v>1.5678644950317804</v>
      </c>
      <c r="Q354">
        <f t="shared" si="274"/>
        <v>266.19681470037654</v>
      </c>
      <c r="R354">
        <f t="shared" si="275"/>
        <v>1.5670396990036457</v>
      </c>
      <c r="S354">
        <f t="shared" si="276"/>
        <v>0.25749791726254806</v>
      </c>
      <c r="T354">
        <f t="shared" si="277"/>
        <v>-1.3103644210725232</v>
      </c>
      <c r="U354">
        <f t="shared" si="278"/>
        <v>0.16853075934739373</v>
      </c>
      <c r="V354">
        <f t="shared" si="279"/>
        <v>-1.4014574092507694</v>
      </c>
      <c r="X354">
        <f t="shared" si="296"/>
        <v>-40.837770959264702</v>
      </c>
      <c r="Y354">
        <f t="shared" si="280"/>
        <v>-171.54826595710909</v>
      </c>
      <c r="Z354">
        <f t="shared" si="297"/>
        <v>8.4517340428909051</v>
      </c>
      <c r="AC354">
        <v>1</v>
      </c>
      <c r="AD354">
        <f t="shared" si="281"/>
        <v>341.08271401050007</v>
      </c>
      <c r="AE354">
        <f t="shared" si="282"/>
        <v>-0.12301313035892998</v>
      </c>
      <c r="AF354">
        <f t="shared" si="283"/>
        <v>2.1032334473220005E-2</v>
      </c>
      <c r="AG354">
        <f t="shared" si="298"/>
        <v>452.70873231358769</v>
      </c>
      <c r="AH354">
        <f t="shared" si="299"/>
        <v>-2695.3317224437578</v>
      </c>
      <c r="AJ354">
        <f t="shared" si="284"/>
        <v>22100</v>
      </c>
      <c r="AK354">
        <f t="shared" si="285"/>
        <v>82931.787907441205</v>
      </c>
      <c r="AL354">
        <v>1</v>
      </c>
      <c r="AM354">
        <f t="shared" si="286"/>
        <v>266.19493638427201</v>
      </c>
      <c r="AN354">
        <f t="shared" si="300"/>
        <v>311.852807492549</v>
      </c>
      <c r="AO354">
        <f t="shared" si="301"/>
        <v>-81.850344294508503</v>
      </c>
      <c r="AQ354">
        <f t="shared" si="287"/>
        <v>5.1020382132458096E-3</v>
      </c>
      <c r="AR354">
        <f t="shared" si="288"/>
        <v>-7.1428534985441337</v>
      </c>
      <c r="AT354">
        <f t="shared" si="313"/>
        <v>-19250.049886142649</v>
      </c>
      <c r="AU354">
        <f t="shared" si="314"/>
        <v>-3247.383837872871</v>
      </c>
      <c r="AV354">
        <f t="shared" si="302"/>
        <v>-2.9744712822159736</v>
      </c>
      <c r="AW354">
        <f t="shared" si="303"/>
        <v>162.63722037031906</v>
      </c>
      <c r="AX354">
        <f t="shared" si="304"/>
        <v>-5213.5984938881156</v>
      </c>
      <c r="AY354">
        <f t="shared" si="312"/>
        <v>-1.5396116284779873</v>
      </c>
      <c r="BA354">
        <f t="shared" si="289"/>
        <v>3.7426252107493627</v>
      </c>
      <c r="BB354">
        <f t="shared" si="305"/>
        <v>11.463526774438824</v>
      </c>
      <c r="BC354">
        <f t="shared" si="306"/>
        <v>-1.4348596537379863</v>
      </c>
      <c r="BD354">
        <f t="shared" si="290"/>
        <v>-262.21140244672955</v>
      </c>
      <c r="BF354">
        <f t="shared" si="291"/>
        <v>-47.938995702246672</v>
      </c>
      <c r="BG354">
        <f t="shared" si="292"/>
        <v>-188.00050225866195</v>
      </c>
      <c r="BH354">
        <f t="shared" si="307"/>
        <v>-8.0005022586619532</v>
      </c>
      <c r="BI354">
        <f t="shared" si="308"/>
        <v>-8.0005022586619532</v>
      </c>
      <c r="BJ354">
        <f t="shared" si="293"/>
        <v>0</v>
      </c>
      <c r="BK354">
        <f t="shared" si="309"/>
        <v>0</v>
      </c>
      <c r="BM354">
        <f t="shared" si="310"/>
        <v>-59.402522476685498</v>
      </c>
      <c r="BN354">
        <f t="shared" si="294"/>
        <v>-105.78909981193242</v>
      </c>
      <c r="BQ354" s="47">
        <f t="shared" si="311"/>
        <v>28.365487574723961</v>
      </c>
      <c r="BR354" s="529"/>
      <c r="BS354" s="529"/>
      <c r="BT354" s="529">
        <v>275422.87</v>
      </c>
      <c r="BU354" s="529">
        <v>15.1145</v>
      </c>
      <c r="BV354" s="529">
        <v>-175.80699999999999</v>
      </c>
      <c r="BY354" s="529"/>
      <c r="BZ354" s="529"/>
      <c r="CA354" s="529"/>
      <c r="CC354" s="529"/>
    </row>
    <row r="355" spans="1:81">
      <c r="A355">
        <f t="shared" si="263"/>
        <v>705000</v>
      </c>
      <c r="B355">
        <f t="shared" si="295"/>
        <v>705</v>
      </c>
      <c r="C355">
        <f t="shared" si="264"/>
        <v>3.6821090013165874</v>
      </c>
      <c r="D355">
        <f t="shared" si="265"/>
        <v>1.2957583501586394</v>
      </c>
      <c r="F355">
        <f t="shared" si="266"/>
        <v>1.9247099139324446E-5</v>
      </c>
      <c r="G355">
        <f t="shared" si="267"/>
        <v>1.3227351530076901E-3</v>
      </c>
      <c r="H355">
        <f t="shared" si="268"/>
        <v>-3.1402699148469924</v>
      </c>
      <c r="J355">
        <f t="shared" si="269"/>
        <v>15</v>
      </c>
      <c r="M355">
        <f t="shared" si="270"/>
        <v>2.1361373304765461E-3</v>
      </c>
      <c r="N355">
        <f t="shared" si="271"/>
        <v>-1.5707963250000001</v>
      </c>
      <c r="O355">
        <f t="shared" si="272"/>
        <v>343.52047463097682</v>
      </c>
      <c r="P355">
        <f t="shared" si="273"/>
        <v>1.5678852880469634</v>
      </c>
      <c r="Q355">
        <f t="shared" si="274"/>
        <v>268.09819378182351</v>
      </c>
      <c r="R355">
        <f t="shared" si="275"/>
        <v>1.5670663415059396</v>
      </c>
      <c r="S355">
        <f t="shared" si="276"/>
        <v>0.25579157830649207</v>
      </c>
      <c r="T355">
        <f t="shared" si="277"/>
        <v>-1.3121298933682659</v>
      </c>
      <c r="U355">
        <f t="shared" si="278"/>
        <v>0.16736910388292917</v>
      </c>
      <c r="V355">
        <f t="shared" si="279"/>
        <v>-1.4026358032544559</v>
      </c>
      <c r="X355">
        <f t="shared" si="296"/>
        <v>-40.960191989005423</v>
      </c>
      <c r="Y355">
        <f t="shared" si="280"/>
        <v>-171.60784744529846</v>
      </c>
      <c r="Z355">
        <f t="shared" si="297"/>
        <v>8.3921525547015392</v>
      </c>
      <c r="AC355">
        <v>1</v>
      </c>
      <c r="AD355">
        <f t="shared" si="281"/>
        <v>343.51901911057502</v>
      </c>
      <c r="AE355">
        <f t="shared" si="282"/>
        <v>-0.12477673697274935</v>
      </c>
      <c r="AF355">
        <f t="shared" si="283"/>
        <v>2.1182565433743004E-2</v>
      </c>
      <c r="AG355">
        <f t="shared" si="298"/>
        <v>446.48934385718678</v>
      </c>
      <c r="AH355">
        <f t="shared" si="299"/>
        <v>-2677.2717212649063</v>
      </c>
      <c r="AJ355">
        <f t="shared" si="284"/>
        <v>22100</v>
      </c>
      <c r="AK355">
        <f t="shared" si="285"/>
        <v>83524.15782106579</v>
      </c>
      <c r="AL355">
        <v>1</v>
      </c>
      <c r="AM355">
        <f t="shared" si="286"/>
        <v>268.09632878701683</v>
      </c>
      <c r="AN355">
        <f t="shared" si="300"/>
        <v>311.848461562088</v>
      </c>
      <c r="AO355">
        <f t="shared" si="301"/>
        <v>-81.269861609134622</v>
      </c>
      <c r="AQ355">
        <f t="shared" si="287"/>
        <v>5.0299255420122018E-3</v>
      </c>
      <c r="AR355">
        <f t="shared" si="288"/>
        <v>-7.0921950142372046</v>
      </c>
      <c r="AT355">
        <f t="shared" si="313"/>
        <v>-18985.487345158323</v>
      </c>
      <c r="AU355">
        <f t="shared" si="314"/>
        <v>-3180.0559758276781</v>
      </c>
      <c r="AV355">
        <f t="shared" si="302"/>
        <v>-2.9756339490580404</v>
      </c>
      <c r="AW355">
        <f t="shared" si="303"/>
        <v>164.91342566825401</v>
      </c>
      <c r="AX355">
        <f t="shared" si="304"/>
        <v>-5177.597177650141</v>
      </c>
      <c r="AY355">
        <f t="shared" si="312"/>
        <v>-1.5389557479961895</v>
      </c>
      <c r="BA355">
        <f t="shared" si="289"/>
        <v>3.7160512477218313</v>
      </c>
      <c r="BB355">
        <f t="shared" si="305"/>
        <v>11.40163389356519</v>
      </c>
      <c r="BC355">
        <f t="shared" si="306"/>
        <v>-1.4366782010618508</v>
      </c>
      <c r="BD355">
        <f t="shared" si="290"/>
        <v>-262.31559753335085</v>
      </c>
      <c r="BF355">
        <f t="shared" si="291"/>
        <v>-48.067302443858473</v>
      </c>
      <c r="BG355">
        <f t="shared" si="292"/>
        <v>-187.99832557382533</v>
      </c>
      <c r="BH355">
        <f t="shared" si="307"/>
        <v>-7.9983255738253263</v>
      </c>
      <c r="BI355">
        <f t="shared" si="308"/>
        <v>-7.9983255738253263</v>
      </c>
      <c r="BJ355">
        <f t="shared" si="293"/>
        <v>0</v>
      </c>
      <c r="BK355">
        <f t="shared" si="309"/>
        <v>0</v>
      </c>
      <c r="BM355">
        <f t="shared" si="310"/>
        <v>-59.468936337423663</v>
      </c>
      <c r="BN355">
        <f t="shared" si="294"/>
        <v>-105.68272804047447</v>
      </c>
      <c r="BQ355" s="47">
        <f t="shared" si="311"/>
        <v>28.303594693850329</v>
      </c>
      <c r="BR355" s="529"/>
      <c r="BS355" s="529"/>
      <c r="BT355" s="529">
        <v>281838.29300000001</v>
      </c>
      <c r="BU355" s="529">
        <v>15.1486</v>
      </c>
      <c r="BV355" s="529">
        <v>-177.72399999999999</v>
      </c>
      <c r="BY355" s="529"/>
      <c r="BZ355" s="529"/>
      <c r="CA355" s="529"/>
      <c r="CC355" s="529"/>
    </row>
    <row r="356" spans="1:81">
      <c r="A356">
        <f t="shared" si="263"/>
        <v>710000</v>
      </c>
      <c r="B356">
        <f t="shared" si="295"/>
        <v>710</v>
      </c>
      <c r="C356">
        <f t="shared" si="264"/>
        <v>3.7063034106884243</v>
      </c>
      <c r="D356">
        <f t="shared" si="265"/>
        <v>1.2975999806407292</v>
      </c>
      <c r="F356">
        <f t="shared" si="266"/>
        <v>1.8976962778237701E-5</v>
      </c>
      <c r="G356">
        <f t="shared" si="267"/>
        <v>1.3134197662874342E-3</v>
      </c>
      <c r="H356">
        <f t="shared" si="268"/>
        <v>-3.1402792302337126</v>
      </c>
      <c r="J356">
        <f t="shared" si="269"/>
        <v>15</v>
      </c>
      <c r="M356">
        <f t="shared" si="270"/>
        <v>2.1210941098393876E-3</v>
      </c>
      <c r="N356">
        <f t="shared" si="271"/>
        <v>-1.5707963250000001</v>
      </c>
      <c r="O356">
        <f t="shared" si="272"/>
        <v>345.95676948095115</v>
      </c>
      <c r="P356">
        <f t="shared" si="273"/>
        <v>1.5679057882052421</v>
      </c>
      <c r="Q356">
        <f t="shared" si="274"/>
        <v>269.99957305089242</v>
      </c>
      <c r="R356">
        <f t="shared" si="275"/>
        <v>1.5670926087669066</v>
      </c>
      <c r="S356">
        <f t="shared" si="276"/>
        <v>0.254106928524513</v>
      </c>
      <c r="T356">
        <f t="shared" si="277"/>
        <v>-1.3138721161448146</v>
      </c>
      <c r="U356">
        <f t="shared" si="278"/>
        <v>0.16622312689931207</v>
      </c>
      <c r="V356">
        <f t="shared" si="279"/>
        <v>-1.4037980619159469</v>
      </c>
      <c r="X356">
        <f t="shared" si="296"/>
        <v>-41.081765259486929</v>
      </c>
      <c r="Y356">
        <f t="shared" si="280"/>
        <v>-171.66659847599504</v>
      </c>
      <c r="Z356">
        <f t="shared" si="297"/>
        <v>8.3334015240049553</v>
      </c>
      <c r="AC356">
        <v>1</v>
      </c>
      <c r="AD356">
        <f t="shared" si="281"/>
        <v>345.95532421065002</v>
      </c>
      <c r="AE356">
        <f t="shared" si="282"/>
        <v>-0.12655289594680941</v>
      </c>
      <c r="AF356">
        <f t="shared" si="283"/>
        <v>2.1332796394266003E-2</v>
      </c>
      <c r="AG356">
        <f t="shared" si="298"/>
        <v>440.39604696733295</v>
      </c>
      <c r="AH356">
        <f t="shared" si="299"/>
        <v>-2659.4448312689242</v>
      </c>
      <c r="AJ356">
        <f t="shared" si="284"/>
        <v>22100</v>
      </c>
      <c r="AK356">
        <f t="shared" si="285"/>
        <v>84116.52773469036</v>
      </c>
      <c r="AL356">
        <v>1</v>
      </c>
      <c r="AM356">
        <f t="shared" si="286"/>
        <v>269.99772118976159</v>
      </c>
      <c r="AN356">
        <f t="shared" si="300"/>
        <v>311.8442071217026</v>
      </c>
      <c r="AO356">
        <f t="shared" si="301"/>
        <v>-80.697554397375825</v>
      </c>
      <c r="AQ356">
        <f t="shared" si="287"/>
        <v>4.9593310060846033E-3</v>
      </c>
      <c r="AR356">
        <f t="shared" si="288"/>
        <v>-7.0422500286401366</v>
      </c>
      <c r="AT356">
        <f t="shared" si="313"/>
        <v>-18726.291369399762</v>
      </c>
      <c r="AU356">
        <f t="shared" si="314"/>
        <v>-3114.5681415793865</v>
      </c>
      <c r="AV356">
        <f t="shared" si="302"/>
        <v>-2.9767807020648016</v>
      </c>
      <c r="AW356">
        <f t="shared" si="303"/>
        <v>167.13707942885085</v>
      </c>
      <c r="AX356">
        <f t="shared" si="304"/>
        <v>-5142.0833314742522</v>
      </c>
      <c r="AY356">
        <f t="shared" si="312"/>
        <v>-1.5383039990517495</v>
      </c>
      <c r="BA356">
        <f t="shared" si="289"/>
        <v>3.6898493587916601</v>
      </c>
      <c r="BB356">
        <f t="shared" si="305"/>
        <v>11.340172721658288</v>
      </c>
      <c r="BC356">
        <f t="shared" si="306"/>
        <v>-1.4384767030130521</v>
      </c>
      <c r="BD356">
        <f t="shared" si="290"/>
        <v>-262.41864410471845</v>
      </c>
      <c r="BF356">
        <f t="shared" si="291"/>
        <v>-48.19464859654736</v>
      </c>
      <c r="BG356">
        <f t="shared" si="292"/>
        <v>-187.99638822337019</v>
      </c>
      <c r="BH356">
        <f t="shared" si="307"/>
        <v>-7.9963882233701895</v>
      </c>
      <c r="BI356">
        <f t="shared" si="308"/>
        <v>-7.9963882233701895</v>
      </c>
      <c r="BJ356">
        <f t="shared" si="293"/>
        <v>0</v>
      </c>
      <c r="BK356">
        <f t="shared" si="309"/>
        <v>0</v>
      </c>
      <c r="BM356">
        <f t="shared" si="310"/>
        <v>-59.534821318205644</v>
      </c>
      <c r="BN356">
        <f t="shared" si="294"/>
        <v>-105.57774411865172</v>
      </c>
      <c r="BQ356" s="47">
        <f t="shared" si="311"/>
        <v>28.242133521943423</v>
      </c>
      <c r="BR356" s="529"/>
      <c r="BS356" s="529"/>
      <c r="BT356" s="529">
        <v>288403.15000000002</v>
      </c>
      <c r="BU356" s="529">
        <v>14.961</v>
      </c>
      <c r="BV356" s="529">
        <v>-178.92099999999999</v>
      </c>
      <c r="BY356" s="529"/>
      <c r="BZ356" s="529"/>
      <c r="CA356" s="529"/>
      <c r="CC356" s="529"/>
    </row>
    <row r="357" spans="1:81">
      <c r="A357">
        <f t="shared" si="263"/>
        <v>715000</v>
      </c>
      <c r="B357">
        <f t="shared" si="295"/>
        <v>715</v>
      </c>
      <c r="C357">
        <f t="shared" si="264"/>
        <v>3.7305102272939963</v>
      </c>
      <c r="D357">
        <f t="shared" si="265"/>
        <v>1.2994177169993564</v>
      </c>
      <c r="F357">
        <f t="shared" si="266"/>
        <v>1.8712473912343718E-5</v>
      </c>
      <c r="G357">
        <f t="shared" si="267"/>
        <v>1.3042346719710502E-3</v>
      </c>
      <c r="H357">
        <f t="shared" si="268"/>
        <v>-3.1402884153280293</v>
      </c>
      <c r="J357">
        <f t="shared" si="269"/>
        <v>15</v>
      </c>
      <c r="M357">
        <f t="shared" si="270"/>
        <v>2.1062612838964549E-3</v>
      </c>
      <c r="N357">
        <f t="shared" si="271"/>
        <v>-1.5707963250000001</v>
      </c>
      <c r="O357">
        <f t="shared" si="272"/>
        <v>348.3930644742826</v>
      </c>
      <c r="P357">
        <f t="shared" si="273"/>
        <v>1.5679260016503991</v>
      </c>
      <c r="Q357">
        <f t="shared" si="274"/>
        <v>271.90095250364732</v>
      </c>
      <c r="R357">
        <f t="shared" si="275"/>
        <v>1.5671185086585986</v>
      </c>
      <c r="S357">
        <f t="shared" si="276"/>
        <v>0.25244357256897287</v>
      </c>
      <c r="T357">
        <f t="shared" si="277"/>
        <v>-1.3155915352869476</v>
      </c>
      <c r="U357">
        <f t="shared" si="278"/>
        <v>0.16509251772993408</v>
      </c>
      <c r="V357">
        <f t="shared" si="279"/>
        <v>-1.4049445113086974</v>
      </c>
      <c r="X357">
        <f t="shared" si="296"/>
        <v>-41.202502299872464</v>
      </c>
      <c r="Y357">
        <f t="shared" si="280"/>
        <v>-171.72453619369065</v>
      </c>
      <c r="Z357">
        <f t="shared" si="297"/>
        <v>8.2754638063093466</v>
      </c>
      <c r="AC357">
        <v>1</v>
      </c>
      <c r="AD357">
        <f t="shared" si="281"/>
        <v>348.39162931072502</v>
      </c>
      <c r="AE357">
        <f t="shared" si="282"/>
        <v>-0.12834160728111016</v>
      </c>
      <c r="AF357">
        <f t="shared" si="283"/>
        <v>2.1483027354789002E-2</v>
      </c>
      <c r="AG357">
        <f t="shared" si="298"/>
        <v>434.42548839143137</v>
      </c>
      <c r="AH357">
        <f t="shared" si="299"/>
        <v>-2641.8467233104257</v>
      </c>
      <c r="AJ357">
        <f t="shared" si="284"/>
        <v>22100</v>
      </c>
      <c r="AK357">
        <f t="shared" si="285"/>
        <v>84708.897648314945</v>
      </c>
      <c r="AL357">
        <v>1</v>
      </c>
      <c r="AM357">
        <f t="shared" si="286"/>
        <v>271.89911359250641</v>
      </c>
      <c r="AN357">
        <f t="shared" si="300"/>
        <v>311.84004162125717</v>
      </c>
      <c r="AO357">
        <f t="shared" si="301"/>
        <v>-80.13325115517857</v>
      </c>
      <c r="AQ357">
        <f t="shared" si="287"/>
        <v>4.8902122890056784E-3</v>
      </c>
      <c r="AR357">
        <f t="shared" si="288"/>
        <v>-6.9930035732781199</v>
      </c>
      <c r="AT357">
        <f t="shared" si="313"/>
        <v>-18472.319143300909</v>
      </c>
      <c r="AU357">
        <f t="shared" si="314"/>
        <v>-3050.858183956374</v>
      </c>
      <c r="AV357">
        <f t="shared" si="302"/>
        <v>-2.9779118626627814</v>
      </c>
      <c r="AW357">
        <f t="shared" si="303"/>
        <v>169.30980093770899</v>
      </c>
      <c r="AX357">
        <f t="shared" si="304"/>
        <v>-5107.0472450911784</v>
      </c>
      <c r="AY357">
        <f t="shared" si="312"/>
        <v>-1.5376562742279249</v>
      </c>
      <c r="BA357">
        <f t="shared" si="289"/>
        <v>3.6640117904479226</v>
      </c>
      <c r="BB357">
        <f t="shared" si="305"/>
        <v>11.279137250343291</v>
      </c>
      <c r="BC357">
        <f t="shared" si="306"/>
        <v>-1.4402555884348565</v>
      </c>
      <c r="BD357">
        <f t="shared" si="290"/>
        <v>-262.52056673174167</v>
      </c>
      <c r="BF357">
        <f t="shared" si="291"/>
        <v>-48.3210487116433</v>
      </c>
      <c r="BG357">
        <f t="shared" si="292"/>
        <v>-187.99468849579694</v>
      </c>
      <c r="BH357">
        <f t="shared" si="307"/>
        <v>-7.994688495796936</v>
      </c>
      <c r="BI357">
        <f t="shared" si="308"/>
        <v>-7.994688495796936</v>
      </c>
      <c r="BJ357">
        <f t="shared" si="293"/>
        <v>0</v>
      </c>
      <c r="BK357">
        <f t="shared" si="309"/>
        <v>0</v>
      </c>
      <c r="BM357">
        <f t="shared" si="310"/>
        <v>-59.60018596198659</v>
      </c>
      <c r="BN357">
        <f t="shared" si="294"/>
        <v>-105.47412176405528</v>
      </c>
      <c r="BQ357" s="47">
        <f t="shared" si="311"/>
        <v>28.181098050628428</v>
      </c>
      <c r="BR357" s="529"/>
      <c r="BS357" s="529"/>
      <c r="BT357" s="529">
        <v>295120.92300000001</v>
      </c>
      <c r="BU357" s="529">
        <v>14.946199999999999</v>
      </c>
      <c r="BV357" s="529">
        <v>-181.99</v>
      </c>
      <c r="BW357" s="49"/>
      <c r="BY357" s="529"/>
      <c r="BZ357" s="529"/>
      <c r="CA357" s="529"/>
      <c r="CC357" s="529"/>
    </row>
    <row r="358" spans="1:81">
      <c r="A358">
        <f t="shared" si="263"/>
        <v>720000</v>
      </c>
      <c r="B358">
        <f t="shared" si="295"/>
        <v>720</v>
      </c>
      <c r="C358">
        <f t="shared" si="264"/>
        <v>3.7547292111642379</v>
      </c>
      <c r="D358">
        <f t="shared" si="265"/>
        <v>1.3012120094747224</v>
      </c>
      <c r="F358">
        <f t="shared" si="266"/>
        <v>1.8453476208050086E-5</v>
      </c>
      <c r="G358">
        <f t="shared" si="267"/>
        <v>1.2951771554334723E-3</v>
      </c>
      <c r="H358">
        <f t="shared" si="268"/>
        <v>-3.140297472844567</v>
      </c>
      <c r="J358">
        <f t="shared" si="269"/>
        <v>15</v>
      </c>
      <c r="M358">
        <f t="shared" si="270"/>
        <v>2.0916344694249514E-3</v>
      </c>
      <c r="N358">
        <f t="shared" si="271"/>
        <v>-1.5707963250000001</v>
      </c>
      <c r="O358">
        <f t="shared" si="272"/>
        <v>350.82935960798466</v>
      </c>
      <c r="P358">
        <f t="shared" si="273"/>
        <v>1.5679459343555593</v>
      </c>
      <c r="Q358">
        <f t="shared" si="274"/>
        <v>273.80233213626133</v>
      </c>
      <c r="R358">
        <f t="shared" si="275"/>
        <v>1.5671440488344048</v>
      </c>
      <c r="S358">
        <f t="shared" si="276"/>
        <v>0.25080112422042872</v>
      </c>
      <c r="T358">
        <f t="shared" si="277"/>
        <v>-1.3172885856226644</v>
      </c>
      <c r="U358">
        <f t="shared" si="278"/>
        <v>0.1639769737362641</v>
      </c>
      <c r="V358">
        <f t="shared" si="279"/>
        <v>-1.4060754688617545</v>
      </c>
      <c r="X358">
        <f t="shared" si="296"/>
        <v>-41.322414408622848</v>
      </c>
      <c r="Y358">
        <f t="shared" si="280"/>
        <v>-171.78167727747066</v>
      </c>
      <c r="Z358">
        <f t="shared" si="297"/>
        <v>8.2183227225293365</v>
      </c>
      <c r="AC358">
        <v>1</v>
      </c>
      <c r="AD358">
        <f t="shared" si="281"/>
        <v>350.82793441080003</v>
      </c>
      <c r="AE358">
        <f t="shared" si="282"/>
        <v>-0.13014287097565166</v>
      </c>
      <c r="AF358">
        <f t="shared" si="283"/>
        <v>2.1633258315312001E-2</v>
      </c>
      <c r="AG358">
        <f t="shared" si="298"/>
        <v>428.57442452253099</v>
      </c>
      <c r="AH358">
        <f t="shared" si="299"/>
        <v>-2624.4731702719964</v>
      </c>
      <c r="AJ358">
        <f t="shared" si="284"/>
        <v>22100</v>
      </c>
      <c r="AK358">
        <f t="shared" si="285"/>
        <v>85301.267561939516</v>
      </c>
      <c r="AL358">
        <v>1</v>
      </c>
      <c r="AM358">
        <f t="shared" si="286"/>
        <v>273.80050599525123</v>
      </c>
      <c r="AN358">
        <f t="shared" si="300"/>
        <v>311.83596259885121</v>
      </c>
      <c r="AO358">
        <f t="shared" si="301"/>
        <v>-79.576785142168589</v>
      </c>
      <c r="AQ358">
        <f t="shared" si="287"/>
        <v>4.822528538518259E-3</v>
      </c>
      <c r="AR358">
        <f t="shared" si="288"/>
        <v>-6.944441095466293</v>
      </c>
      <c r="AT358">
        <f t="shared" si="313"/>
        <v>-18223.43252519242</v>
      </c>
      <c r="AU358">
        <f t="shared" si="314"/>
        <v>-2988.8664428822935</v>
      </c>
      <c r="AV358">
        <f t="shared" si="302"/>
        <v>-2.9790277437631763</v>
      </c>
      <c r="AW358">
        <f t="shared" si="303"/>
        <v>171.43314734539103</v>
      </c>
      <c r="AX358">
        <f t="shared" si="304"/>
        <v>-5072.4794612340338</v>
      </c>
      <c r="AY358">
        <f t="shared" si="312"/>
        <v>-1.5370124698057388</v>
      </c>
      <c r="BA358">
        <f t="shared" si="289"/>
        <v>3.6385310024036421</v>
      </c>
      <c r="BB358">
        <f t="shared" si="305"/>
        <v>11.218521594304097</v>
      </c>
      <c r="BC358">
        <f t="shared" si="306"/>
        <v>-1.4420152739574374</v>
      </c>
      <c r="BD358">
        <f t="shared" si="290"/>
        <v>-262.62138928557101</v>
      </c>
      <c r="BF358">
        <f t="shared" si="291"/>
        <v>-48.446517011662593</v>
      </c>
      <c r="BG358">
        <f t="shared" si="292"/>
        <v>-187.99322462092937</v>
      </c>
      <c r="BH358">
        <f t="shared" si="307"/>
        <v>-7.993224620929368</v>
      </c>
      <c r="BI358">
        <f t="shared" si="308"/>
        <v>-7.993224620929368</v>
      </c>
      <c r="BJ358">
        <f t="shared" si="293"/>
        <v>0</v>
      </c>
      <c r="BK358">
        <f t="shared" si="309"/>
        <v>0</v>
      </c>
      <c r="BM358">
        <f t="shared" si="310"/>
        <v>-59.665038605966686</v>
      </c>
      <c r="BN358">
        <f t="shared" si="294"/>
        <v>-105.37183533535833</v>
      </c>
      <c r="BQ358" s="47">
        <f t="shared" si="311"/>
        <v>28.120482394589231</v>
      </c>
      <c r="BR358" s="529"/>
      <c r="BS358" s="529"/>
      <c r="BT358" s="529">
        <v>301995.17200000002</v>
      </c>
      <c r="BU358" s="529">
        <v>15.1762</v>
      </c>
      <c r="BV358" s="529">
        <v>-183.36099999999999</v>
      </c>
      <c r="BW358" s="49"/>
      <c r="BY358" s="529"/>
      <c r="BZ358" s="529"/>
      <c r="CA358" s="529"/>
      <c r="CC358" s="529"/>
    </row>
    <row r="359" spans="1:81">
      <c r="A359">
        <f t="shared" si="263"/>
        <v>725000</v>
      </c>
      <c r="B359">
        <f t="shared" si="295"/>
        <v>725</v>
      </c>
      <c r="C359">
        <f t="shared" si="264"/>
        <v>3.7789601283627459</v>
      </c>
      <c r="D359">
        <f t="shared" si="265"/>
        <v>1.3029832973717193</v>
      </c>
      <c r="F359">
        <f t="shared" si="266"/>
        <v>1.8199818704115864E-5</v>
      </c>
      <c r="G359">
        <f t="shared" si="267"/>
        <v>1.2862445769426687E-3</v>
      </c>
      <c r="H359">
        <f t="shared" si="268"/>
        <v>-3.1403064054230576</v>
      </c>
      <c r="J359">
        <f t="shared" si="269"/>
        <v>15</v>
      </c>
      <c r="M359">
        <f t="shared" si="270"/>
        <v>2.0772094041185728E-3</v>
      </c>
      <c r="N359">
        <f t="shared" si="271"/>
        <v>-1.5707963250000001</v>
      </c>
      <c r="O359">
        <f t="shared" si="272"/>
        <v>353.26565487915303</v>
      </c>
      <c r="P359">
        <f t="shared" si="273"/>
        <v>1.5679655921290738</v>
      </c>
      <c r="Q359">
        <f t="shared" si="274"/>
        <v>275.70371194501331</v>
      </c>
      <c r="R359">
        <f t="shared" si="275"/>
        <v>1.5671692367365908</v>
      </c>
      <c r="S359">
        <f t="shared" si="276"/>
        <v>0.24917920614026123</v>
      </c>
      <c r="T359">
        <f t="shared" si="277"/>
        <v>-1.3189636912548468</v>
      </c>
      <c r="U359">
        <f t="shared" si="278"/>
        <v>0.16287620005448386</v>
      </c>
      <c r="V359">
        <f t="shared" si="279"/>
        <v>-1.4071912436415597</v>
      </c>
      <c r="X359">
        <f t="shared" si="296"/>
        <v>-41.441512659526907</v>
      </c>
      <c r="Y359">
        <f t="shared" si="280"/>
        <v>-171.8380379565678</v>
      </c>
      <c r="Z359">
        <f t="shared" si="297"/>
        <v>8.1619620434321973</v>
      </c>
      <c r="AC359">
        <v>1</v>
      </c>
      <c r="AD359">
        <f t="shared" si="281"/>
        <v>353.26423951087503</v>
      </c>
      <c r="AE359">
        <f t="shared" si="282"/>
        <v>-0.13195668703043384</v>
      </c>
      <c r="AF359">
        <f t="shared" si="283"/>
        <v>2.1783489275835004E-2</v>
      </c>
      <c r="AG359">
        <f t="shared" si="298"/>
        <v>422.83971716869968</v>
      </c>
      <c r="AH359">
        <f t="shared" si="299"/>
        <v>-2607.3200442443876</v>
      </c>
      <c r="AJ359">
        <f t="shared" si="284"/>
        <v>22100</v>
      </c>
      <c r="AK359">
        <f t="shared" si="285"/>
        <v>85893.637475564101</v>
      </c>
      <c r="AL359">
        <v>1</v>
      </c>
      <c r="AM359">
        <f t="shared" si="286"/>
        <v>275.70189839799599</v>
      </c>
      <c r="AN359">
        <f t="shared" si="300"/>
        <v>311.83196767718164</v>
      </c>
      <c r="AO359">
        <f t="shared" si="301"/>
        <v>-79.027994217399225</v>
      </c>
      <c r="AQ359">
        <f t="shared" si="287"/>
        <v>4.7562403061877263E-3</v>
      </c>
      <c r="AR359">
        <f t="shared" si="288"/>
        <v>-6.8965484439722022</v>
      </c>
      <c r="AT359">
        <f t="shared" si="313"/>
        <v>-17979.497866765312</v>
      </c>
      <c r="AU359">
        <f t="shared" si="314"/>
        <v>-2928.5356341750085</v>
      </c>
      <c r="AV359">
        <f t="shared" si="302"/>
        <v>-2.9801286500392044</v>
      </c>
      <c r="AW359">
        <f t="shared" si="303"/>
        <v>173.50861650778728</v>
      </c>
      <c r="AX359">
        <f t="shared" si="304"/>
        <v>-5038.3707675531678</v>
      </c>
      <c r="AY359">
        <f t="shared" si="312"/>
        <v>-1.5363724856084646</v>
      </c>
      <c r="BA359">
        <f t="shared" si="289"/>
        <v>3.6133996603483993</v>
      </c>
      <c r="BB359">
        <f t="shared" si="305"/>
        <v>11.158319987987701</v>
      </c>
      <c r="BC359">
        <f t="shared" si="306"/>
        <v>-1.4437561644307397</v>
      </c>
      <c r="BD359">
        <f t="shared" si="290"/>
        <v>-262.72113496239979</v>
      </c>
      <c r="BF359">
        <f t="shared" si="291"/>
        <v>-48.571067400092176</v>
      </c>
      <c r="BG359">
        <f t="shared" si="292"/>
        <v>-187.99199477588985</v>
      </c>
      <c r="BH359">
        <f t="shared" si="307"/>
        <v>-7.9919947758898502</v>
      </c>
      <c r="BI359">
        <f t="shared" si="308"/>
        <v>-7.9919947758898502</v>
      </c>
      <c r="BJ359">
        <f t="shared" si="293"/>
        <v>0</v>
      </c>
      <c r="BK359">
        <f t="shared" si="309"/>
        <v>0</v>
      </c>
      <c r="BM359">
        <f t="shared" si="310"/>
        <v>-59.729387388079886</v>
      </c>
      <c r="BN359">
        <f t="shared" si="294"/>
        <v>-105.27085981349011</v>
      </c>
      <c r="BQ359" s="47">
        <f t="shared" si="311"/>
        <v>28.060280788272838</v>
      </c>
      <c r="BR359" s="529"/>
      <c r="BS359" s="529"/>
      <c r="BT359" s="529">
        <v>309029.54300000001</v>
      </c>
      <c r="BU359" s="529">
        <v>15.284700000000001</v>
      </c>
      <c r="BV359" s="529">
        <v>-186.209</v>
      </c>
      <c r="BW359" s="49"/>
      <c r="BY359" s="529"/>
      <c r="BZ359" s="529"/>
      <c r="CA359" s="529"/>
      <c r="CC359" s="529"/>
    </row>
    <row r="360" spans="1:81">
      <c r="A360">
        <f t="shared" si="263"/>
        <v>730000</v>
      </c>
      <c r="B360">
        <f t="shared" si="295"/>
        <v>730</v>
      </c>
      <c r="C360">
        <f t="shared" si="264"/>
        <v>3.8032027508011192</v>
      </c>
      <c r="D360">
        <f t="shared" si="265"/>
        <v>1.3047320093799732</v>
      </c>
      <c r="F360">
        <f t="shared" si="266"/>
        <v>1.7951355591620559E-5</v>
      </c>
      <c r="G360">
        <f t="shared" si="267"/>
        <v>1.2774343690945327E-3</v>
      </c>
      <c r="H360">
        <f t="shared" si="268"/>
        <v>-3.1403152156309058</v>
      </c>
      <c r="J360">
        <f t="shared" si="269"/>
        <v>15</v>
      </c>
      <c r="M360">
        <f t="shared" si="270"/>
        <v>2.0629819424465277E-3</v>
      </c>
      <c r="N360">
        <f t="shared" si="271"/>
        <v>-1.5707963250000001</v>
      </c>
      <c r="O360">
        <f t="shared" si="272"/>
        <v>355.70195028496323</v>
      </c>
      <c r="P360">
        <f t="shared" si="273"/>
        <v>1.5679849806201624</v>
      </c>
      <c r="Q360">
        <f t="shared" si="274"/>
        <v>277.60509192628405</v>
      </c>
      <c r="R360">
        <f t="shared" si="275"/>
        <v>1.5671940796035293</v>
      </c>
      <c r="S360">
        <f t="shared" si="276"/>
        <v>0.24757744963068473</v>
      </c>
      <c r="T360">
        <f t="shared" si="277"/>
        <v>-1.3206172658814079</v>
      </c>
      <c r="U360">
        <f t="shared" si="278"/>
        <v>0.16178990935148285</v>
      </c>
      <c r="V360">
        <f t="shared" si="279"/>
        <v>-1.4082921366229071</v>
      </c>
      <c r="X360">
        <f t="shared" si="296"/>
        <v>-41.559807907539081</v>
      </c>
      <c r="Y360">
        <f t="shared" si="280"/>
        <v>-171.89363402530242</v>
      </c>
      <c r="Z360">
        <f t="shared" si="297"/>
        <v>8.1063659746975816</v>
      </c>
      <c r="AC360">
        <v>1</v>
      </c>
      <c r="AD360">
        <f t="shared" si="281"/>
        <v>355.70054461095003</v>
      </c>
      <c r="AE360">
        <f t="shared" si="282"/>
        <v>-0.13378305544545674</v>
      </c>
      <c r="AF360">
        <f t="shared" si="283"/>
        <v>2.1933720236358003E-2</v>
      </c>
      <c r="AG360">
        <f t="shared" ref="AG360:AG423" si="315">AC360*AE360/(AE360^2+AF360^2)+AD360*AF360/(AE360^2+AF360^2)</f>
        <v>417.21832950958208</v>
      </c>
      <c r="AH360">
        <f t="shared" ref="AH360:AH423" si="316">AD360*AE360/(AE360^2+AF360^2)-AC360*AF360/(AE360^2+AF360^2)</f>
        <v>-2590.3833137918887</v>
      </c>
      <c r="AJ360">
        <f t="shared" si="284"/>
        <v>22100</v>
      </c>
      <c r="AK360">
        <f t="shared" si="285"/>
        <v>86486.007389188686</v>
      </c>
      <c r="AL360">
        <v>1</v>
      </c>
      <c r="AM360">
        <f t="shared" si="286"/>
        <v>277.60329080074081</v>
      </c>
      <c r="AN360">
        <f t="shared" ref="AN360:AN423" si="317">AJ360*AL360/(AL360^2+AM360^2)+AK360*AM360/(AL360^2+AM360^2)</f>
        <v>311.8280545600777</v>
      </c>
      <c r="AO360">
        <f t="shared" ref="AO360:AO423" si="318">AK360*AL360/(AL360^2+AM360^2)-AJ360*AM360/(AL360^2+AM360^2)</f>
        <v>-78.486720681849263</v>
      </c>
      <c r="AQ360">
        <f t="shared" si="287"/>
        <v>4.691309489909228E-3</v>
      </c>
      <c r="AR360">
        <f t="shared" si="288"/>
        <v>-6.849311855267473</v>
      </c>
      <c r="AT360">
        <f t="shared" si="313"/>
        <v>-17740.385840533232</v>
      </c>
      <c r="AU360">
        <f t="shared" si="314"/>
        <v>-2869.8107403673657</v>
      </c>
      <c r="AV360">
        <f t="shared" si="302"/>
        <v>-2.9812148781927958</v>
      </c>
      <c r="AW360">
        <f t="shared" si="303"/>
        <v>175.53764967645444</v>
      </c>
      <c r="AX360">
        <f t="shared" si="304"/>
        <v>-5004.7121888352685</v>
      </c>
      <c r="AY360">
        <f t="shared" si="312"/>
        <v>-1.5357362248537763</v>
      </c>
      <c r="BA360">
        <f t="shared" si="289"/>
        <v>3.5886106289928907</v>
      </c>
      <c r="BB360">
        <f t="shared" si="305"/>
        <v>11.098526782416291</v>
      </c>
      <c r="BC360">
        <f t="shared" si="306"/>
        <v>-1.4454786533390196</v>
      </c>
      <c r="BD360">
        <f t="shared" si="290"/>
        <v>-262.81982630721507</v>
      </c>
      <c r="BF360">
        <f t="shared" si="291"/>
        <v>-48.694713470816581</v>
      </c>
      <c r="BG360">
        <f t="shared" si="292"/>
        <v>-187.99099709066081</v>
      </c>
      <c r="BH360">
        <f t="shared" si="307"/>
        <v>-7.9909970906608123</v>
      </c>
      <c r="BI360">
        <f t="shared" si="308"/>
        <v>-7.9909970906608123</v>
      </c>
      <c r="BJ360">
        <f t="shared" si="293"/>
        <v>0</v>
      </c>
      <c r="BK360">
        <f t="shared" si="309"/>
        <v>0</v>
      </c>
      <c r="BM360">
        <f t="shared" si="310"/>
        <v>-59.793240253232874</v>
      </c>
      <c r="BN360">
        <f t="shared" si="294"/>
        <v>-105.17117078344573</v>
      </c>
      <c r="BQ360" s="47">
        <f t="shared" si="311"/>
        <v>28.000487582701432</v>
      </c>
      <c r="BR360" s="529"/>
      <c r="BS360" s="529"/>
      <c r="BT360" s="529">
        <v>316227.766</v>
      </c>
      <c r="BU360" s="529">
        <v>15.331799999999999</v>
      </c>
      <c r="BV360" s="529">
        <v>-189.75</v>
      </c>
      <c r="BW360" s="49"/>
      <c r="BY360" s="529"/>
      <c r="BZ360" s="529"/>
      <c r="CA360" s="529"/>
      <c r="CC360" s="529"/>
    </row>
    <row r="361" spans="1:81">
      <c r="A361">
        <f t="shared" si="263"/>
        <v>735000</v>
      </c>
      <c r="B361">
        <f t="shared" si="295"/>
        <v>735</v>
      </c>
      <c r="C361">
        <f t="shared" si="264"/>
        <v>3.8274568560608841</v>
      </c>
      <c r="D361">
        <f t="shared" si="265"/>
        <v>1.3064585638831041</v>
      </c>
      <c r="F361">
        <f t="shared" si="266"/>
        <v>1.7707946004375413E-5</v>
      </c>
      <c r="G361">
        <f t="shared" si="267"/>
        <v>1.2687440343524892E-3</v>
      </c>
      <c r="H361">
        <f t="shared" si="268"/>
        <v>-3.1403239059656478</v>
      </c>
      <c r="J361">
        <f t="shared" si="269"/>
        <v>15</v>
      </c>
      <c r="M361">
        <f t="shared" si="270"/>
        <v>2.0489480516815849E-3</v>
      </c>
      <c r="N361">
        <f t="shared" si="271"/>
        <v>-1.5707963250000001</v>
      </c>
      <c r="O361">
        <f t="shared" si="272"/>
        <v>358.13824582266739</v>
      </c>
      <c r="P361">
        <f t="shared" si="273"/>
        <v>1.5680041053243277</v>
      </c>
      <c r="Q361">
        <f t="shared" si="274"/>
        <v>279.50647207655288</v>
      </c>
      <c r="R361">
        <f t="shared" si="275"/>
        <v>1.5672185844766342</v>
      </c>
      <c r="S361">
        <f t="shared" si="276"/>
        <v>0.24599549440191648</v>
      </c>
      <c r="T361">
        <f t="shared" si="277"/>
        <v>-1.3222497131043744</v>
      </c>
      <c r="U361">
        <f t="shared" si="278"/>
        <v>0.16071782158981973</v>
      </c>
      <c r="V361">
        <f t="shared" si="279"/>
        <v>-1.4093784409495402</v>
      </c>
      <c r="X361">
        <f t="shared" si="296"/>
        <v>-41.677310794431477</v>
      </c>
      <c r="Y361">
        <f t="shared" si="280"/>
        <v>-171.94848085743686</v>
      </c>
      <c r="Z361">
        <f t="shared" si="297"/>
        <v>8.0515191425631372</v>
      </c>
      <c r="AC361">
        <v>1</v>
      </c>
      <c r="AD361">
        <f t="shared" si="281"/>
        <v>358.13684971102504</v>
      </c>
      <c r="AE361">
        <f t="shared" si="282"/>
        <v>-0.13562197622072034</v>
      </c>
      <c r="AF361">
        <f t="shared" si="283"/>
        <v>2.2083951196881002E-2</v>
      </c>
      <c r="AG361">
        <f t="shared" si="315"/>
        <v>411.70732223085059</v>
      </c>
      <c r="AH361">
        <f t="shared" si="316"/>
        <v>-2573.6590413003678</v>
      </c>
      <c r="AJ361">
        <f t="shared" si="284"/>
        <v>22100</v>
      </c>
      <c r="AK361">
        <f t="shared" si="285"/>
        <v>87078.377302813271</v>
      </c>
      <c r="AL361">
        <v>1</v>
      </c>
      <c r="AM361">
        <f t="shared" si="286"/>
        <v>279.50468320348563</v>
      </c>
      <c r="AN361">
        <f t="shared" si="317"/>
        <v>311.8242210292014</v>
      </c>
      <c r="AO361">
        <f t="shared" si="318"/>
        <v>-77.952811127348866</v>
      </c>
      <c r="AQ361">
        <f t="shared" si="287"/>
        <v>4.627699279143283E-3</v>
      </c>
      <c r="AR361">
        <f t="shared" si="288"/>
        <v>-6.8027179403406262</v>
      </c>
      <c r="AT361">
        <f t="shared" si="313"/>
        <v>-17505.971274895561</v>
      </c>
      <c r="AU361">
        <f t="shared" si="314"/>
        <v>-2812.6389071995927</v>
      </c>
      <c r="AV361">
        <f t="shared" si="302"/>
        <v>-2.9822867172110987</v>
      </c>
      <c r="AW361">
        <f t="shared" si="303"/>
        <v>177.521634047894</v>
      </c>
      <c r="AX361">
        <f t="shared" si="304"/>
        <v>-4971.4949795136554</v>
      </c>
      <c r="AY361">
        <f t="shared" si="312"/>
        <v>-1.5351035940131288</v>
      </c>
      <c r="BA361">
        <f t="shared" si="289"/>
        <v>3.5641569653919039</v>
      </c>
      <c r="BB361">
        <f t="shared" si="305"/>
        <v>11.039136442102841</v>
      </c>
      <c r="BC361">
        <f t="shared" si="306"/>
        <v>-1.4471831231979699</v>
      </c>
      <c r="BD361">
        <f t="shared" si="290"/>
        <v>-262.91748523655178</v>
      </c>
      <c r="BF361">
        <f t="shared" si="291"/>
        <v>-48.817468517202975</v>
      </c>
      <c r="BG361">
        <f t="shared" si="292"/>
        <v>-187.9902296532596</v>
      </c>
      <c r="BH361">
        <f t="shared" si="307"/>
        <v>-7.990229653259604</v>
      </c>
      <c r="BI361">
        <f t="shared" si="308"/>
        <v>-7.990229653259604</v>
      </c>
      <c r="BJ361">
        <f t="shared" si="293"/>
        <v>0</v>
      </c>
      <c r="BK361">
        <f t="shared" si="309"/>
        <v>0</v>
      </c>
      <c r="BM361">
        <f t="shared" si="310"/>
        <v>-59.856604959305812</v>
      </c>
      <c r="BN361">
        <f t="shared" si="294"/>
        <v>-105.07274441670783</v>
      </c>
      <c r="BQ361" s="47">
        <f t="shared" si="311"/>
        <v>27.941097242387979</v>
      </c>
      <c r="BR361" s="529"/>
      <c r="BS361" s="529"/>
      <c r="BT361" s="529">
        <v>323593.65700000001</v>
      </c>
      <c r="BU361" s="529">
        <v>15.3347</v>
      </c>
      <c r="BV361" s="529">
        <v>-192.398</v>
      </c>
      <c r="BW361" s="49"/>
      <c r="BY361" s="529"/>
      <c r="BZ361" s="529"/>
      <c r="CA361" s="529"/>
      <c r="CC361" s="529"/>
    </row>
    <row r="362" spans="1:81">
      <c r="A362">
        <f t="shared" si="263"/>
        <v>740000</v>
      </c>
      <c r="B362">
        <f t="shared" si="295"/>
        <v>740</v>
      </c>
      <c r="C362">
        <f t="shared" si="264"/>
        <v>3.851722227221765</v>
      </c>
      <c r="D362">
        <f t="shared" si="265"/>
        <v>1.3081633692576018</v>
      </c>
      <c r="F362">
        <f t="shared" si="266"/>
        <v>1.7469453819214418E-5</v>
      </c>
      <c r="G362">
        <f t="shared" si="267"/>
        <v>1.2601711426868539E-3</v>
      </c>
      <c r="H362">
        <f t="shared" si="268"/>
        <v>-3.1403324788573133</v>
      </c>
      <c r="J362">
        <f t="shared" si="269"/>
        <v>15</v>
      </c>
      <c r="M362">
        <f t="shared" si="270"/>
        <v>2.035103808089142E-3</v>
      </c>
      <c r="N362">
        <f t="shared" si="271"/>
        <v>-1.5707963250000001</v>
      </c>
      <c r="O362">
        <f t="shared" si="272"/>
        <v>360.57454148959204</v>
      </c>
      <c r="P362">
        <f t="shared" si="273"/>
        <v>1.5680229715885459</v>
      </c>
      <c r="Q362">
        <f t="shared" si="274"/>
        <v>281.40785239239403</v>
      </c>
      <c r="R362">
        <f t="shared" si="275"/>
        <v>1.5672427582070154</v>
      </c>
      <c r="S362">
        <f t="shared" si="276"/>
        <v>0.24443298834628502</v>
      </c>
      <c r="T362">
        <f t="shared" si="277"/>
        <v>-1.3238614267283304</v>
      </c>
      <c r="U362">
        <f t="shared" si="278"/>
        <v>0.15965966380127597</v>
      </c>
      <c r="V362">
        <f t="shared" si="279"/>
        <v>-1.4104504421848396</v>
      </c>
      <c r="X362">
        <f t="shared" si="296"/>
        <v>-41.794031754267358</v>
      </c>
      <c r="Y362">
        <f t="shared" si="280"/>
        <v>-172.00259341997048</v>
      </c>
      <c r="Z362">
        <f t="shared" si="297"/>
        <v>7.9974065800295193</v>
      </c>
      <c r="AC362">
        <v>1</v>
      </c>
      <c r="AD362">
        <f t="shared" si="281"/>
        <v>360.57315481110004</v>
      </c>
      <c r="AE362">
        <f t="shared" si="282"/>
        <v>-0.13747344935622463</v>
      </c>
      <c r="AF362">
        <f t="shared" si="283"/>
        <v>2.2234182157404001E-2</v>
      </c>
      <c r="AG362">
        <f t="shared" si="315"/>
        <v>406.30384982775411</v>
      </c>
      <c r="AH362">
        <f t="shared" si="316"/>
        <v>-2557.1433804054609</v>
      </c>
      <c r="AJ362">
        <f t="shared" si="284"/>
        <v>22100</v>
      </c>
      <c r="AK362">
        <f t="shared" si="285"/>
        <v>87670.747216437841</v>
      </c>
      <c r="AL362">
        <v>1</v>
      </c>
      <c r="AM362">
        <f t="shared" si="286"/>
        <v>281.40607560623039</v>
      </c>
      <c r="AN362">
        <f t="shared" si="317"/>
        <v>311.8204649409023</v>
      </c>
      <c r="AO362">
        <f t="shared" si="318"/>
        <v>-77.426116291629569</v>
      </c>
      <c r="AQ362">
        <f t="shared" si="287"/>
        <v>4.5653741027327872E-3</v>
      </c>
      <c r="AR362">
        <f t="shared" si="288"/>
        <v>-6.7567536720445256</v>
      </c>
      <c r="AT362">
        <f t="shared" si="313"/>
        <v>-17276.132996425105</v>
      </c>
      <c r="AU362">
        <f t="shared" si="314"/>
        <v>-2756.9693454553831</v>
      </c>
      <c r="AV362">
        <f t="shared" si="302"/>
        <v>-2.9833444486132348</v>
      </c>
      <c r="AW362">
        <f t="shared" si="303"/>
        <v>179.4619051801206</v>
      </c>
      <c r="AX362">
        <f t="shared" si="304"/>
        <v>-4938.7106164572697</v>
      </c>
      <c r="AY362">
        <f t="shared" si="312"/>
        <v>-1.534474502677972</v>
      </c>
      <c r="BA362">
        <f t="shared" si="289"/>
        <v>3.5400319125328585</v>
      </c>
      <c r="BB362">
        <f t="shared" si="305"/>
        <v>10.980143542066346</v>
      </c>
      <c r="BC362">
        <f t="shared" si="306"/>
        <v>-1.4488699459352627</v>
      </c>
      <c r="BD362">
        <f t="shared" si="290"/>
        <v>-263.01413306029576</v>
      </c>
      <c r="BF362">
        <f t="shared" si="291"/>
        <v>-48.939345540858795</v>
      </c>
      <c r="BG362">
        <f t="shared" si="292"/>
        <v>-187.98969051455327</v>
      </c>
      <c r="BH362">
        <f t="shared" si="307"/>
        <v>-7.9896905145532742</v>
      </c>
      <c r="BI362">
        <f t="shared" si="308"/>
        <v>-7.9896905145532742</v>
      </c>
      <c r="BJ362">
        <f t="shared" si="293"/>
        <v>0</v>
      </c>
      <c r="BK362">
        <f t="shared" si="309"/>
        <v>0</v>
      </c>
      <c r="BM362">
        <f t="shared" si="310"/>
        <v>-59.919489082925132</v>
      </c>
      <c r="BN362">
        <f t="shared" si="294"/>
        <v>-104.9755574542575</v>
      </c>
      <c r="BQ362" s="47">
        <f t="shared" si="311"/>
        <v>27.882104342351482</v>
      </c>
      <c r="BR362" s="529"/>
      <c r="BS362" s="529"/>
      <c r="BT362" s="529">
        <v>331131.12099999998</v>
      </c>
      <c r="BU362" s="529">
        <v>15.331</v>
      </c>
      <c r="BV362" s="529">
        <v>-194.60300000000001</v>
      </c>
      <c r="BW362" s="49"/>
      <c r="BY362" s="529"/>
      <c r="BZ362" s="529"/>
      <c r="CA362" s="529"/>
      <c r="CC362" s="529"/>
    </row>
    <row r="363" spans="1:81">
      <c r="A363">
        <f t="shared" si="263"/>
        <v>745000</v>
      </c>
      <c r="B363">
        <f t="shared" si="295"/>
        <v>745</v>
      </c>
      <c r="C363">
        <f t="shared" si="264"/>
        <v>3.8759986526960208</v>
      </c>
      <c r="D363">
        <f t="shared" si="265"/>
        <v>1.3098468241617105</v>
      </c>
      <c r="F363">
        <f t="shared" si="266"/>
        <v>1.723574746563642E-5</v>
      </c>
      <c r="G363">
        <f t="shared" si="267"/>
        <v>1.2517133293092674E-3</v>
      </c>
      <c r="H363">
        <f t="shared" si="268"/>
        <v>-3.1403409366706909</v>
      </c>
      <c r="J363">
        <f t="shared" si="269"/>
        <v>15</v>
      </c>
      <c r="M363">
        <f t="shared" si="270"/>
        <v>2.021445393269752E-3</v>
      </c>
      <c r="N363">
        <f t="shared" si="271"/>
        <v>-1.5707963250000001</v>
      </c>
      <c r="O363">
        <f t="shared" si="272"/>
        <v>363.0108372831354</v>
      </c>
      <c r="P363">
        <f t="shared" si="273"/>
        <v>1.5680415846162532</v>
      </c>
      <c r="Q363">
        <f t="shared" si="274"/>
        <v>283.30923287047403</v>
      </c>
      <c r="R363">
        <f t="shared" si="275"/>
        <v>1.5672666074618644</v>
      </c>
      <c r="S363">
        <f t="shared" si="276"/>
        <v>0.24288958731906751</v>
      </c>
      <c r="T363">
        <f t="shared" si="277"/>
        <v>-1.3254527910486331</v>
      </c>
      <c r="U363">
        <f t="shared" si="278"/>
        <v>0.15861516986864505</v>
      </c>
      <c r="V363">
        <f t="shared" si="279"/>
        <v>-1.4115084185530347</v>
      </c>
      <c r="X363">
        <f t="shared" si="296"/>
        <v>-41.909981018702574</v>
      </c>
      <c r="Y363">
        <f t="shared" si="280"/>
        <v>-172.05598628640016</v>
      </c>
      <c r="Z363">
        <f t="shared" si="297"/>
        <v>7.9440137135998441</v>
      </c>
      <c r="AC363">
        <v>1</v>
      </c>
      <c r="AD363">
        <f t="shared" si="281"/>
        <v>363.00945991117499</v>
      </c>
      <c r="AE363">
        <f t="shared" si="282"/>
        <v>-0.13933747485196965</v>
      </c>
      <c r="AF363">
        <f t="shared" si="283"/>
        <v>2.2384413117927E-2</v>
      </c>
      <c r="AG363">
        <f t="shared" si="315"/>
        <v>401.00515706946061</v>
      </c>
      <c r="AH363">
        <f t="shared" si="316"/>
        <v>-2540.8325734985028</v>
      </c>
      <c r="AJ363">
        <f t="shared" si="284"/>
        <v>22100</v>
      </c>
      <c r="AK363">
        <f t="shared" si="285"/>
        <v>88263.117130062426</v>
      </c>
      <c r="AL363">
        <v>1</v>
      </c>
      <c r="AM363">
        <f t="shared" si="286"/>
        <v>283.30746800897521</v>
      </c>
      <c r="AN363">
        <f t="shared" si="317"/>
        <v>311.81678422322068</v>
      </c>
      <c r="AO363">
        <f t="shared" si="318"/>
        <v>-76.906490919210526</v>
      </c>
      <c r="AQ363">
        <f t="shared" si="287"/>
        <v>4.50429957916329E-3</v>
      </c>
      <c r="AR363">
        <f t="shared" si="288"/>
        <v>-6.7114063729533022</v>
      </c>
      <c r="AT363">
        <f t="shared" si="313"/>
        <v>-17050.753679024961</v>
      </c>
      <c r="AU363">
        <f t="shared" si="314"/>
        <v>-2702.7532378346514</v>
      </c>
      <c r="AV363">
        <f t="shared" si="302"/>
        <v>-2.9843883466877448</v>
      </c>
      <c r="AW363">
        <f t="shared" si="303"/>
        <v>181.35974928433939</v>
      </c>
      <c r="AX363">
        <f t="shared" si="304"/>
        <v>-4906.3507920264638</v>
      </c>
      <c r="AY363">
        <f t="shared" si="312"/>
        <v>-1.5338488634324128</v>
      </c>
      <c r="BA363">
        <f t="shared" si="289"/>
        <v>3.5162288931777912</v>
      </c>
      <c r="BB363">
        <f t="shared" si="305"/>
        <v>10.921542764942984</v>
      </c>
      <c r="BC363">
        <f t="shared" si="306"/>
        <v>-1.450539483255332</v>
      </c>
      <c r="BD363">
        <f t="shared" si="290"/>
        <v>-263.10979050258464</v>
      </c>
      <c r="BF363">
        <f t="shared" si="291"/>
        <v>-49.06035726007579</v>
      </c>
      <c r="BG363">
        <f t="shared" si="292"/>
        <v>-187.98937769273689</v>
      </c>
      <c r="BH363">
        <f t="shared" si="307"/>
        <v>-7.9893776927368947</v>
      </c>
      <c r="BI363">
        <f t="shared" si="308"/>
        <v>-7.9893776927368947</v>
      </c>
      <c r="BJ363">
        <f t="shared" si="293"/>
        <v>0</v>
      </c>
      <c r="BK363">
        <f t="shared" si="309"/>
        <v>0</v>
      </c>
      <c r="BM363">
        <f t="shared" si="310"/>
        <v>-59.981900025018774</v>
      </c>
      <c r="BN363">
        <f t="shared" si="294"/>
        <v>-104.87958719015225</v>
      </c>
      <c r="BQ363" s="47">
        <f t="shared" si="311"/>
        <v>27.823503565228123</v>
      </c>
      <c r="BR363" s="529"/>
      <c r="BS363" s="529"/>
      <c r="BT363" s="529">
        <v>338844.15600000002</v>
      </c>
      <c r="BU363" s="529">
        <v>15.2844</v>
      </c>
      <c r="BV363" s="529">
        <v>-197.85300000000001</v>
      </c>
      <c r="BW363" s="49"/>
      <c r="BY363" s="529"/>
      <c r="BZ363" s="529"/>
      <c r="CA363" s="529"/>
      <c r="CC363" s="529"/>
    </row>
    <row r="364" spans="1:81">
      <c r="A364">
        <f t="shared" ref="A364:A427" si="319">A363+5000</f>
        <v>750000</v>
      </c>
      <c r="B364">
        <f t="shared" si="295"/>
        <v>750</v>
      </c>
      <c r="C364">
        <f t="shared" si="264"/>
        <v>3.9002859260686251</v>
      </c>
      <c r="D364">
        <f t="shared" si="265"/>
        <v>1.3115093178146877</v>
      </c>
      <c r="F364">
        <f t="shared" si="266"/>
        <v>1.7006699744301215E-5</v>
      </c>
      <c r="G364">
        <f t="shared" si="267"/>
        <v>1.2433682924977616E-3</v>
      </c>
      <c r="H364">
        <f t="shared" si="268"/>
        <v>-3.1403492817075023</v>
      </c>
      <c r="J364">
        <f t="shared" si="269"/>
        <v>15</v>
      </c>
      <c r="M364">
        <f t="shared" si="270"/>
        <v>2.0079690906479532E-3</v>
      </c>
      <c r="N364">
        <f t="shared" si="271"/>
        <v>-1.5707963250000001</v>
      </c>
      <c r="O364">
        <f t="shared" si="272"/>
        <v>365.44713320076517</v>
      </c>
      <c r="P364">
        <f t="shared" si="273"/>
        <v>1.5680599494721283</v>
      </c>
      <c r="Q364">
        <f t="shared" si="274"/>
        <v>285.21061350754809</v>
      </c>
      <c r="R364">
        <f t="shared" si="275"/>
        <v>1.5672901387305842</v>
      </c>
      <c r="S364">
        <f t="shared" si="276"/>
        <v>0.24136495492584714</v>
      </c>
      <c r="T364">
        <f t="shared" si="277"/>
        <v>-1.327024181129796</v>
      </c>
      <c r="U364">
        <f t="shared" si="278"/>
        <v>0.1575840803154169</v>
      </c>
      <c r="V364">
        <f t="shared" si="279"/>
        <v>-1.4125526411713512</v>
      </c>
      <c r="X364">
        <f t="shared" si="296"/>
        <v>-42.025168622121363</v>
      </c>
      <c r="Y364">
        <f t="shared" si="280"/>
        <v>-172.10867364947038</v>
      </c>
      <c r="Z364">
        <f t="shared" si="297"/>
        <v>7.8913263505296243</v>
      </c>
      <c r="AC364">
        <v>1</v>
      </c>
      <c r="AD364">
        <f t="shared" si="281"/>
        <v>365.44576501125005</v>
      </c>
      <c r="AE364">
        <f t="shared" si="282"/>
        <v>-0.14121405270795537</v>
      </c>
      <c r="AF364">
        <f t="shared" si="283"/>
        <v>2.2534644078450003E-2</v>
      </c>
      <c r="AG364">
        <f t="shared" si="315"/>
        <v>395.80857561633644</v>
      </c>
      <c r="AH364">
        <f t="shared" si="316"/>
        <v>-2524.7229493078103</v>
      </c>
      <c r="AJ364">
        <f t="shared" si="284"/>
        <v>22100</v>
      </c>
      <c r="AK364">
        <f t="shared" si="285"/>
        <v>88855.487043686997</v>
      </c>
      <c r="AL364">
        <v>1</v>
      </c>
      <c r="AM364">
        <f t="shared" si="286"/>
        <v>285.20886041171997</v>
      </c>
      <c r="AN364">
        <f t="shared" si="317"/>
        <v>311.81317687302959</v>
      </c>
      <c r="AO364">
        <f t="shared" si="318"/>
        <v>-76.393793627849149</v>
      </c>
      <c r="AQ364">
        <f t="shared" si="287"/>
        <v>4.4444424691366807E-3</v>
      </c>
      <c r="AR364">
        <f t="shared" si="288"/>
        <v>-6.6666637037050203</v>
      </c>
      <c r="AT364">
        <f t="shared" si="313"/>
        <v>-16829.719699618352</v>
      </c>
      <c r="AU364">
        <f t="shared" si="314"/>
        <v>-2649.9436505753215</v>
      </c>
      <c r="AV364">
        <f t="shared" si="302"/>
        <v>-2.9854186787211145</v>
      </c>
      <c r="AW364">
        <f t="shared" si="303"/>
        <v>183.21640539902015</v>
      </c>
      <c r="AX364">
        <f t="shared" si="304"/>
        <v>-4874.4074073843021</v>
      </c>
      <c r="AY364">
        <f t="shared" si="312"/>
        <v>-1.5332265917319778</v>
      </c>
      <c r="BA364">
        <f t="shared" si="289"/>
        <v>3.4927415039472227</v>
      </c>
      <c r="BB364">
        <f t="shared" si="305"/>
        <v>10.863328898189568</v>
      </c>
      <c r="BC364">
        <f t="shared" si="306"/>
        <v>-1.4521920869891367</v>
      </c>
      <c r="BD364">
        <f t="shared" si="290"/>
        <v>-263.20447772184741</v>
      </c>
      <c r="BF364">
        <f t="shared" si="291"/>
        <v>-49.180516117973752</v>
      </c>
      <c r="BG364">
        <f t="shared" si="292"/>
        <v>-187.98928917749765</v>
      </c>
      <c r="BH364">
        <f t="shared" si="307"/>
        <v>-7.9892891774976533</v>
      </c>
      <c r="BI364">
        <f t="shared" si="308"/>
        <v>-7.9892891774976533</v>
      </c>
      <c r="BJ364">
        <f t="shared" si="293"/>
        <v>0</v>
      </c>
      <c r="BK364">
        <f t="shared" si="309"/>
        <v>0</v>
      </c>
      <c r="BM364">
        <f t="shared" si="310"/>
        <v>-60.043845016163324</v>
      </c>
      <c r="BN364">
        <f t="shared" si="294"/>
        <v>-104.78481145565024</v>
      </c>
      <c r="BQ364" s="47">
        <f t="shared" si="311"/>
        <v>27.765289698474707</v>
      </c>
      <c r="BR364" s="529"/>
      <c r="BS364" s="529"/>
      <c r="BT364" s="529">
        <v>346736.85</v>
      </c>
      <c r="BU364" s="529">
        <v>15.295400000000001</v>
      </c>
      <c r="BV364" s="529">
        <v>-200.482</v>
      </c>
      <c r="BW364" s="49"/>
      <c r="BY364" s="529"/>
      <c r="BZ364" s="529"/>
      <c r="CA364" s="529"/>
      <c r="CC364" s="529"/>
    </row>
    <row r="365" spans="1:81">
      <c r="A365">
        <f t="shared" si="319"/>
        <v>755000</v>
      </c>
      <c r="B365">
        <f t="shared" si="295"/>
        <v>755</v>
      </c>
      <c r="C365">
        <f t="shared" si="264"/>
        <v>3.9245838459430415</v>
      </c>
      <c r="D365">
        <f t="shared" si="265"/>
        <v>1.3131512302668009</v>
      </c>
      <c r="F365">
        <f t="shared" si="266"/>
        <v>1.6782187653912035E-5</v>
      </c>
      <c r="G365">
        <f t="shared" si="267"/>
        <v>1.2351337915082563E-3</v>
      </c>
      <c r="H365">
        <f t="shared" si="268"/>
        <v>-3.1403575162084918</v>
      </c>
      <c r="J365">
        <f t="shared" si="269"/>
        <v>15</v>
      </c>
      <c r="M365">
        <f t="shared" si="270"/>
        <v>1.9946712821006158E-3</v>
      </c>
      <c r="N365">
        <f t="shared" si="271"/>
        <v>-1.5707963250000001</v>
      </c>
      <c r="O365">
        <f t="shared" si="272"/>
        <v>367.88342924001603</v>
      </c>
      <c r="P365">
        <f t="shared" si="273"/>
        <v>1.5680780710866888</v>
      </c>
      <c r="Q365">
        <f t="shared" si="274"/>
        <v>287.11199430045735</v>
      </c>
      <c r="R365">
        <f t="shared" si="275"/>
        <v>1.5673133583306769</v>
      </c>
      <c r="S365">
        <f t="shared" si="276"/>
        <v>0.23985876231619094</v>
      </c>
      <c r="T365">
        <f t="shared" si="277"/>
        <v>-1.3285759630744109</v>
      </c>
      <c r="U365">
        <f t="shared" si="278"/>
        <v>0.15656614210303221</v>
      </c>
      <c r="V365">
        <f t="shared" si="279"/>
        <v>-1.4135833742734827</v>
      </c>
      <c r="X365">
        <f t="shared" si="296"/>
        <v>-42.139604406612541</v>
      </c>
      <c r="Y365">
        <f t="shared" si="280"/>
        <v>-172.16066933343484</v>
      </c>
      <c r="Z365">
        <f t="shared" si="297"/>
        <v>7.8393306665651608</v>
      </c>
      <c r="AC365">
        <v>1</v>
      </c>
      <c r="AD365">
        <f t="shared" si="281"/>
        <v>367.88207011132499</v>
      </c>
      <c r="AE365">
        <f t="shared" si="282"/>
        <v>-0.14310318292418178</v>
      </c>
      <c r="AF365">
        <f t="shared" si="283"/>
        <v>2.2684875038973002E-2</v>
      </c>
      <c r="AG365">
        <f t="shared" si="315"/>
        <v>390.71152078272655</v>
      </c>
      <c r="AH365">
        <f t="shared" si="316"/>
        <v>-2508.8109205530068</v>
      </c>
      <c r="AJ365">
        <f t="shared" si="284"/>
        <v>22100</v>
      </c>
      <c r="AK365">
        <f t="shared" si="285"/>
        <v>89447.856957311582</v>
      </c>
      <c r="AL365">
        <v>1</v>
      </c>
      <c r="AM365">
        <f t="shared" si="286"/>
        <v>287.11025281446479</v>
      </c>
      <c r="AN365">
        <f t="shared" si="317"/>
        <v>311.80964095330842</v>
      </c>
      <c r="AO365">
        <f t="shared" si="318"/>
        <v>-75.887886780297478</v>
      </c>
      <c r="AQ365">
        <f t="shared" si="287"/>
        <v>4.3857706303361121E-3</v>
      </c>
      <c r="AR365">
        <f t="shared" si="288"/>
        <v>-6.6225136518075294</v>
      </c>
      <c r="AT365">
        <f t="shared" si="313"/>
        <v>-16612.92100005332</v>
      </c>
      <c r="AU365">
        <f t="shared" si="314"/>
        <v>-2598.4954495545157</v>
      </c>
      <c r="AV365">
        <f t="shared" si="302"/>
        <v>-2.9864357052177741</v>
      </c>
      <c r="AW365">
        <f t="shared" si="303"/>
        <v>185.03306745320256</v>
      </c>
      <c r="AX365">
        <f t="shared" si="304"/>
        <v>-4842.8725660525797</v>
      </c>
      <c r="AY365">
        <f t="shared" si="312"/>
        <v>-1.5326076057881379</v>
      </c>
      <c r="BA365">
        <f t="shared" si="289"/>
        <v>3.4695635096349751</v>
      </c>
      <c r="BB365">
        <f t="shared" si="305"/>
        <v>10.80549683137585</v>
      </c>
      <c r="BC365">
        <f t="shared" si="306"/>
        <v>-1.4538280994296362</v>
      </c>
      <c r="BD365">
        <f t="shared" si="290"/>
        <v>-263.29821433002604</v>
      </c>
      <c r="BF365">
        <f t="shared" si="291"/>
        <v>-49.299834290356408</v>
      </c>
      <c r="BG365">
        <f t="shared" si="292"/>
        <v>-187.98942293388635</v>
      </c>
      <c r="BH365">
        <f t="shared" si="307"/>
        <v>-7.9894229338863454</v>
      </c>
      <c r="BI365">
        <f t="shared" si="308"/>
        <v>-7.9894229338863454</v>
      </c>
      <c r="BJ365">
        <f t="shared" si="293"/>
        <v>0</v>
      </c>
      <c r="BK365">
        <f t="shared" si="309"/>
        <v>0</v>
      </c>
      <c r="BM365">
        <f t="shared" si="310"/>
        <v>-60.105331121732263</v>
      </c>
      <c r="BN365">
        <f t="shared" si="294"/>
        <v>-104.69120860386032</v>
      </c>
      <c r="BQ365" s="47">
        <f t="shared" si="311"/>
        <v>27.707457631660986</v>
      </c>
      <c r="BR365" s="529"/>
      <c r="BS365" s="529"/>
      <c r="BT365" s="529">
        <v>354813.38900000002</v>
      </c>
      <c r="BU365" s="529">
        <v>15.3028</v>
      </c>
      <c r="BV365" s="529">
        <v>-203.33199999999999</v>
      </c>
      <c r="BW365" s="49"/>
      <c r="BY365" s="529"/>
      <c r="BZ365" s="529"/>
      <c r="CA365" s="529"/>
      <c r="CC365" s="529"/>
    </row>
    <row r="366" spans="1:81">
      <c r="A366">
        <f t="shared" si="319"/>
        <v>760000</v>
      </c>
      <c r="B366">
        <f t="shared" si="295"/>
        <v>760</v>
      </c>
      <c r="C366">
        <f t="shared" si="264"/>
        <v>3.948892215792374</v>
      </c>
      <c r="D366">
        <f t="shared" si="265"/>
        <v>1.3147729326604001</v>
      </c>
      <c r="F366">
        <f t="shared" si="266"/>
        <v>1.6562092226044599E-5</v>
      </c>
      <c r="G366">
        <f t="shared" si="267"/>
        <v>1.227007644568509E-3</v>
      </c>
      <c r="H366">
        <f t="shared" si="268"/>
        <v>-3.1403656423554316</v>
      </c>
      <c r="J366">
        <f t="shared" si="269"/>
        <v>15</v>
      </c>
      <c r="M366">
        <f t="shared" si="270"/>
        <v>1.981548444718375E-3</v>
      </c>
      <c r="N366">
        <f t="shared" si="271"/>
        <v>-1.5707963250000001</v>
      </c>
      <c r="O366">
        <f t="shared" si="272"/>
        <v>370.31972539848761</v>
      </c>
      <c r="P366">
        <f t="shared" si="273"/>
        <v>1.5680959542607027</v>
      </c>
      <c r="Q366">
        <f t="shared" si="274"/>
        <v>289.01337524612626</v>
      </c>
      <c r="R366">
        <f t="shared" si="275"/>
        <v>1.5673362724133977</v>
      </c>
      <c r="S366">
        <f t="shared" si="276"/>
        <v>0.23837068798345257</v>
      </c>
      <c r="T366">
        <f t="shared" si="277"/>
        <v>-1.3301084942829755</v>
      </c>
      <c r="U366">
        <f t="shared" si="278"/>
        <v>0.15556110843539769</v>
      </c>
      <c r="V366">
        <f t="shared" si="279"/>
        <v>-1.414600875424763</v>
      </c>
      <c r="X366">
        <f t="shared" si="296"/>
        <v>-42.253298026791946</v>
      </c>
      <c r="Y366">
        <f t="shared" si="280"/>
        <v>-172.21198680585164</v>
      </c>
      <c r="Z366">
        <f t="shared" si="297"/>
        <v>7.7880131941483626</v>
      </c>
      <c r="AC366">
        <v>1</v>
      </c>
      <c r="AD366">
        <f t="shared" si="281"/>
        <v>370.31837521140005</v>
      </c>
      <c r="AE366">
        <f t="shared" si="282"/>
        <v>-0.14500486550064892</v>
      </c>
      <c r="AF366">
        <f t="shared" si="283"/>
        <v>2.2835105999496005E-2</v>
      </c>
      <c r="AG366">
        <f t="shared" si="315"/>
        <v>385.71148843820606</v>
      </c>
      <c r="AH366">
        <f t="shared" si="316"/>
        <v>-2493.0929816701391</v>
      </c>
      <c r="AJ366">
        <f t="shared" si="284"/>
        <v>22100</v>
      </c>
      <c r="AK366">
        <f t="shared" si="285"/>
        <v>90040.226870936167</v>
      </c>
      <c r="AL366">
        <v>1</v>
      </c>
      <c r="AM366">
        <f t="shared" si="286"/>
        <v>289.0116452172096</v>
      </c>
      <c r="AN366">
        <f t="shared" si="317"/>
        <v>311.80617459054287</v>
      </c>
      <c r="AO366">
        <f t="shared" si="318"/>
        <v>-75.388636361120746</v>
      </c>
      <c r="AQ366">
        <f t="shared" si="287"/>
        <v>4.3282529742672375E-3</v>
      </c>
      <c r="AR366">
        <f t="shared" si="288"/>
        <v>-6.5789445208862007</v>
      </c>
      <c r="AT366">
        <f t="shared" si="313"/>
        <v>-16400.250954921561</v>
      </c>
      <c r="AU366">
        <f t="shared" si="314"/>
        <v>-2548.3652206164356</v>
      </c>
      <c r="AV366">
        <f t="shared" si="302"/>
        <v>-2.9874396801119292</v>
      </c>
      <c r="AW366">
        <f t="shared" si="303"/>
        <v>186.81088622541122</v>
      </c>
      <c r="AX366">
        <f t="shared" si="304"/>
        <v>-4811.7385677023049</v>
      </c>
      <c r="AY366">
        <f t="shared" si="312"/>
        <v>-1.5319918264582866</v>
      </c>
      <c r="BA366">
        <f t="shared" si="289"/>
        <v>3.4466888377435554</v>
      </c>
      <c r="BB366">
        <f t="shared" si="305"/>
        <v>10.748041553562411</v>
      </c>
      <c r="BC366">
        <f t="shared" si="306"/>
        <v>-1.4554478536536426</v>
      </c>
      <c r="BD366">
        <f t="shared" si="290"/>
        <v>-263.39101941101615</v>
      </c>
      <c r="BF366">
        <f t="shared" si="291"/>
        <v>-49.418323693291406</v>
      </c>
      <c r="BG366">
        <f t="shared" si="292"/>
        <v>-187.98977690591468</v>
      </c>
      <c r="BH366">
        <f t="shared" si="307"/>
        <v>-7.989776905914681</v>
      </c>
      <c r="BI366">
        <f t="shared" si="308"/>
        <v>-7.989776905914681</v>
      </c>
      <c r="BJ366">
        <f t="shared" si="293"/>
        <v>0</v>
      </c>
      <c r="BK366">
        <f t="shared" si="309"/>
        <v>0</v>
      </c>
      <c r="BM366">
        <f t="shared" si="310"/>
        <v>-60.166365246853815</v>
      </c>
      <c r="BN366">
        <f t="shared" si="294"/>
        <v>-104.59875749489854</v>
      </c>
      <c r="BQ366" s="47">
        <f t="shared" si="311"/>
        <v>27.650002353847547</v>
      </c>
      <c r="BR366" s="529"/>
      <c r="BS366" s="529"/>
      <c r="BT366" s="529">
        <v>363078.05499999999</v>
      </c>
      <c r="BU366" s="529">
        <v>15.049200000000001</v>
      </c>
      <c r="BV366" s="529">
        <v>-205.19499999999999</v>
      </c>
      <c r="BW366" s="49"/>
      <c r="BY366" s="529"/>
      <c r="BZ366" s="529"/>
      <c r="CA366" s="529"/>
      <c r="CC366" s="529"/>
    </row>
    <row r="367" spans="1:81">
      <c r="A367">
        <f t="shared" si="319"/>
        <v>765000</v>
      </c>
      <c r="B367">
        <f t="shared" si="295"/>
        <v>765</v>
      </c>
      <c r="C367">
        <f t="shared" si="264"/>
        <v>3.9732108438156906</v>
      </c>
      <c r="D367">
        <f t="shared" si="265"/>
        <v>1.3163747874823977</v>
      </c>
      <c r="F367">
        <f t="shared" si="266"/>
        <v>1.6346298367508433E-5</v>
      </c>
      <c r="G367">
        <f t="shared" si="267"/>
        <v>1.2189877269507393E-3</v>
      </c>
      <c r="H367">
        <f t="shared" si="268"/>
        <v>-3.1403736622730496</v>
      </c>
      <c r="J367">
        <f t="shared" si="269"/>
        <v>15</v>
      </c>
      <c r="M367">
        <f t="shared" si="270"/>
        <v>1.9685971476940721E-3</v>
      </c>
      <c r="N367">
        <f t="shared" si="271"/>
        <v>-1.5707963250000001</v>
      </c>
      <c r="O367">
        <f t="shared" si="272"/>
        <v>372.75602167384227</v>
      </c>
      <c r="P367">
        <f t="shared" si="273"/>
        <v>1.5681136036694294</v>
      </c>
      <c r="Q367">
        <f t="shared" si="274"/>
        <v>290.91475634155961</v>
      </c>
      <c r="R367">
        <f t="shared" si="275"/>
        <v>1.5673588869691879</v>
      </c>
      <c r="S367">
        <f t="shared" si="276"/>
        <v>0.23690041757050909</v>
      </c>
      <c r="T367">
        <f t="shared" si="277"/>
        <v>-1.3316221237049692</v>
      </c>
      <c r="U367">
        <f t="shared" si="278"/>
        <v>0.15456873857036516</v>
      </c>
      <c r="V367">
        <f t="shared" si="279"/>
        <v>-1.4156053957293877</v>
      </c>
      <c r="X367">
        <f t="shared" si="296"/>
        <v>-42.366258954476656</v>
      </c>
      <c r="Y367">
        <f t="shared" si="280"/>
        <v>-172.2626391889319</v>
      </c>
      <c r="Z367">
        <f t="shared" si="297"/>
        <v>7.7373608110681005</v>
      </c>
      <c r="AC367">
        <v>1</v>
      </c>
      <c r="AD367">
        <f t="shared" si="281"/>
        <v>372.754680311475</v>
      </c>
      <c r="AE367">
        <f t="shared" si="282"/>
        <v>-0.14691910043735679</v>
      </c>
      <c r="AF367">
        <f t="shared" si="283"/>
        <v>2.2985336960019004E-2</v>
      </c>
      <c r="AG367">
        <f t="shared" si="315"/>
        <v>380.80605204064057</v>
      </c>
      <c r="AH367">
        <f t="shared" si="316"/>
        <v>-2477.5657066053777</v>
      </c>
      <c r="AJ367">
        <f t="shared" si="284"/>
        <v>22100</v>
      </c>
      <c r="AK367">
        <f t="shared" si="285"/>
        <v>90632.596784560752</v>
      </c>
      <c r="AL367">
        <v>1</v>
      </c>
      <c r="AM367">
        <f t="shared" si="286"/>
        <v>290.91303761995442</v>
      </c>
      <c r="AN367">
        <f t="shared" si="317"/>
        <v>311.8027759722421</v>
      </c>
      <c r="AO367">
        <f t="shared" si="318"/>
        <v>-74.895911858345869</v>
      </c>
      <c r="AQ367">
        <f t="shared" si="287"/>
        <v>4.2718594250675274E-3</v>
      </c>
      <c r="AR367">
        <f t="shared" si="288"/>
        <v>-6.5359449203533169</v>
      </c>
      <c r="AT367">
        <f t="shared" si="313"/>
        <v>-16191.606245006462</v>
      </c>
      <c r="AU367">
        <f t="shared" si="314"/>
        <v>-2499.5111938898117</v>
      </c>
      <c r="AV367">
        <f t="shared" si="302"/>
        <v>-2.9884308509715787</v>
      </c>
      <c r="AW367">
        <f t="shared" si="303"/>
        <v>188.55097120415462</v>
      </c>
      <c r="AX367">
        <f t="shared" si="304"/>
        <v>-4780.9979021688605</v>
      </c>
      <c r="AY367">
        <f t="shared" si="312"/>
        <v>-1.5313791771408751</v>
      </c>
      <c r="BA367">
        <f t="shared" si="289"/>
        <v>3.4241115732302547</v>
      </c>
      <c r="BB367">
        <f t="shared" si="305"/>
        <v>10.690958150760991</v>
      </c>
      <c r="BC367">
        <f t="shared" si="306"/>
        <v>-1.4570516738307036</v>
      </c>
      <c r="BD367">
        <f t="shared" si="290"/>
        <v>-263.48291153836465</v>
      </c>
      <c r="BF367">
        <f t="shared" si="291"/>
        <v>-49.535995990425896</v>
      </c>
      <c r="BG367">
        <f t="shared" si="292"/>
        <v>-187.99034901989725</v>
      </c>
      <c r="BH367">
        <f t="shared" si="307"/>
        <v>-7.990349019897252</v>
      </c>
      <c r="BI367">
        <f t="shared" si="308"/>
        <v>-7.990349019897252</v>
      </c>
      <c r="BJ367">
        <f t="shared" si="293"/>
        <v>0</v>
      </c>
      <c r="BK367">
        <f t="shared" si="309"/>
        <v>0</v>
      </c>
      <c r="BM367">
        <f t="shared" si="310"/>
        <v>-60.22695414118688</v>
      </c>
      <c r="BN367">
        <f t="shared" si="294"/>
        <v>-104.50743748153261</v>
      </c>
      <c r="BQ367" s="47">
        <f t="shared" si="311"/>
        <v>27.59291895104613</v>
      </c>
      <c r="BR367" s="529"/>
      <c r="BS367" s="529"/>
      <c r="BT367" s="529">
        <v>371535.22899999999</v>
      </c>
      <c r="BU367" s="529">
        <v>14.9002</v>
      </c>
      <c r="BV367" s="529">
        <v>-207.41</v>
      </c>
      <c r="BW367" s="49"/>
      <c r="BY367" s="529"/>
      <c r="BZ367" s="529"/>
      <c r="CA367" s="529"/>
      <c r="CC367" s="529"/>
    </row>
    <row r="368" spans="1:81">
      <c r="A368">
        <f t="shared" si="319"/>
        <v>770000</v>
      </c>
      <c r="B368">
        <f t="shared" si="295"/>
        <v>770</v>
      </c>
      <c r="C368">
        <f t="shared" si="264"/>
        <v>3.9975395427992986</v>
      </c>
      <c r="D368">
        <f t="shared" si="265"/>
        <v>1.3179571488084716</v>
      </c>
      <c r="F368">
        <f t="shared" si="266"/>
        <v>1.6134694709850537E-5</v>
      </c>
      <c r="G368">
        <f t="shared" si="267"/>
        <v>1.2110719691193574E-3</v>
      </c>
      <c r="H368">
        <f t="shared" si="268"/>
        <v>-3.140381578030881</v>
      </c>
      <c r="J368">
        <f t="shared" si="269"/>
        <v>15</v>
      </c>
      <c r="M368">
        <f t="shared" si="270"/>
        <v>1.955814049332422E-3</v>
      </c>
      <c r="N368">
        <f t="shared" si="271"/>
        <v>-1.5707963250000001</v>
      </c>
      <c r="O368">
        <f t="shared" si="272"/>
        <v>375.1923180638031</v>
      </c>
      <c r="P368">
        <f t="shared" si="273"/>
        <v>1.5681310238666948</v>
      </c>
      <c r="Q368">
        <f t="shared" si="274"/>
        <v>292.81613758383975</v>
      </c>
      <c r="R368">
        <f t="shared" si="275"/>
        <v>1.5673812078328964</v>
      </c>
      <c r="S368">
        <f t="shared" si="276"/>
        <v>0.23544764368124829</v>
      </c>
      <c r="T368">
        <f t="shared" si="277"/>
        <v>-1.333117192081509</v>
      </c>
      <c r="U368">
        <f t="shared" si="278"/>
        <v>0.15358879763789293</v>
      </c>
      <c r="V368">
        <f t="shared" si="279"/>
        <v>-1.4165971800300279</v>
      </c>
      <c r="X368">
        <f t="shared" si="296"/>
        <v>-42.478496483216468</v>
      </c>
      <c r="Y368">
        <f t="shared" si="280"/>
        <v>-172.31263927046172</v>
      </c>
      <c r="Z368">
        <f t="shared" si="297"/>
        <v>7.687360729538284</v>
      </c>
      <c r="AC368">
        <v>1</v>
      </c>
      <c r="AD368">
        <f t="shared" si="281"/>
        <v>375.19098541155006</v>
      </c>
      <c r="AE368">
        <f t="shared" si="282"/>
        <v>-0.14884588773430527</v>
      </c>
      <c r="AF368">
        <f t="shared" si="283"/>
        <v>2.3135567920542003E-2</v>
      </c>
      <c r="AG368">
        <f t="shared" si="315"/>
        <v>375.99285979475741</v>
      </c>
      <c r="AH368">
        <f t="shared" si="316"/>
        <v>-2462.2257466751789</v>
      </c>
      <c r="AJ368">
        <f t="shared" si="284"/>
        <v>22100</v>
      </c>
      <c r="AK368">
        <f t="shared" si="285"/>
        <v>91224.966698185322</v>
      </c>
      <c r="AL368">
        <v>1</v>
      </c>
      <c r="AM368">
        <f t="shared" si="286"/>
        <v>292.81443002269918</v>
      </c>
      <c r="AN368">
        <f t="shared" si="317"/>
        <v>311.79944334456962</v>
      </c>
      <c r="AO368">
        <f t="shared" si="318"/>
        <v>-74.409586149720809</v>
      </c>
      <c r="AQ368">
        <f t="shared" si="287"/>
        <v>4.2165608801817845E-3</v>
      </c>
      <c r="AR368">
        <f t="shared" si="288"/>
        <v>-6.4935037554799475</v>
      </c>
      <c r="AT368">
        <f t="shared" si="313"/>
        <v>-15986.886736090855</v>
      </c>
      <c r="AU368">
        <f t="shared" si="314"/>
        <v>-2451.8931718725094</v>
      </c>
      <c r="AV368">
        <f t="shared" si="302"/>
        <v>-2.9894094591950431</v>
      </c>
      <c r="AW368">
        <f t="shared" si="303"/>
        <v>190.25439235560833</v>
      </c>
      <c r="AX368">
        <f t="shared" si="304"/>
        <v>-4750.6432436825417</v>
      </c>
      <c r="AY368">
        <f t="shared" si="312"/>
        <v>-1.5307695836754296</v>
      </c>
      <c r="BA368">
        <f t="shared" si="289"/>
        <v>3.4018259534545665</v>
      </c>
      <c r="BB368">
        <f t="shared" si="305"/>
        <v>10.634241803474145</v>
      </c>
      <c r="BC368">
        <f t="shared" si="306"/>
        <v>-1.4586398755196135</v>
      </c>
      <c r="BD368">
        <f t="shared" si="290"/>
        <v>-263.57390879225875</v>
      </c>
      <c r="BF368">
        <f t="shared" si="291"/>
        <v>-49.652862600048486</v>
      </c>
      <c r="BG368">
        <f t="shared" si="292"/>
        <v>-187.99113718755487</v>
      </c>
      <c r="BH368">
        <f t="shared" si="307"/>
        <v>-7.9911371875548696</v>
      </c>
      <c r="BI368">
        <f t="shared" si="308"/>
        <v>-7.9911371875548696</v>
      </c>
      <c r="BJ368">
        <f t="shared" si="293"/>
        <v>0</v>
      </c>
      <c r="BK368">
        <f t="shared" si="309"/>
        <v>0</v>
      </c>
      <c r="BM368">
        <f t="shared" si="310"/>
        <v>-60.287104403522633</v>
      </c>
      <c r="BN368">
        <f t="shared" si="294"/>
        <v>-104.41722839529615</v>
      </c>
      <c r="BQ368" s="47">
        <f t="shared" si="311"/>
        <v>27.536202603759282</v>
      </c>
      <c r="BR368" s="529"/>
      <c r="BS368" s="529"/>
      <c r="BT368" s="529">
        <v>380189.39600000001</v>
      </c>
      <c r="BU368" s="529">
        <v>14.938000000000001</v>
      </c>
      <c r="BV368" s="529">
        <v>-210.39400000000001</v>
      </c>
      <c r="BW368" s="49"/>
      <c r="BY368" s="529"/>
      <c r="BZ368" s="529"/>
      <c r="CA368" s="529"/>
      <c r="CC368" s="529"/>
    </row>
    <row r="369" spans="1:81">
      <c r="A369">
        <f t="shared" si="319"/>
        <v>775000</v>
      </c>
      <c r="B369">
        <f t="shared" si="295"/>
        <v>775</v>
      </c>
      <c r="C369">
        <f t="shared" si="264"/>
        <v>4.0218781299827961</v>
      </c>
      <c r="D369">
        <f t="shared" si="265"/>
        <v>1.3195203625392931</v>
      </c>
      <c r="F369">
        <f t="shared" si="266"/>
        <v>1.5927173465633864E-5</v>
      </c>
      <c r="G369">
        <f t="shared" si="267"/>
        <v>1.2032583549503994E-3</v>
      </c>
      <c r="H369">
        <f t="shared" si="268"/>
        <v>-3.1403893916450496</v>
      </c>
      <c r="J369">
        <f t="shared" si="269"/>
        <v>15</v>
      </c>
      <c r="M369">
        <f t="shared" si="270"/>
        <v>1.9431958941754388E-3</v>
      </c>
      <c r="N369">
        <f t="shared" si="271"/>
        <v>-1.5707963250000001</v>
      </c>
      <c r="O369">
        <f t="shared" si="272"/>
        <v>377.62861456615184</v>
      </c>
      <c r="P369">
        <f t="shared" si="273"/>
        <v>1.5681482192888079</v>
      </c>
      <c r="Q369">
        <f t="shared" si="274"/>
        <v>294.71751897012473</v>
      </c>
      <c r="R369">
        <f t="shared" si="275"/>
        <v>1.5674032406887977</v>
      </c>
      <c r="S369">
        <f t="shared" si="276"/>
        <v>0.23401206569762711</v>
      </c>
      <c r="T369">
        <f t="shared" si="277"/>
        <v>-1.3345940321799028</v>
      </c>
      <c r="U369">
        <f t="shared" si="278"/>
        <v>0.15262105646461946</v>
      </c>
      <c r="V369">
        <f t="shared" si="279"/>
        <v>-1.4175764671001516</v>
      </c>
      <c r="X369">
        <f t="shared" si="296"/>
        <v>-42.590019732687487</v>
      </c>
      <c r="Y369">
        <f t="shared" si="280"/>
        <v>-172.36199951431544</v>
      </c>
      <c r="Z369">
        <f t="shared" si="297"/>
        <v>7.6380004856845574</v>
      </c>
      <c r="AC369">
        <v>1</v>
      </c>
      <c r="AD369">
        <f t="shared" si="281"/>
        <v>377.62729051162501</v>
      </c>
      <c r="AE369">
        <f t="shared" si="282"/>
        <v>-0.15078522739149453</v>
      </c>
      <c r="AF369">
        <f t="shared" si="283"/>
        <v>2.3285798881065002E-2</v>
      </c>
      <c r="AG369">
        <f t="shared" si="315"/>
        <v>371.2696319302479</v>
      </c>
      <c r="AH369">
        <f t="shared" si="316"/>
        <v>-2447.0698284907962</v>
      </c>
      <c r="AJ369">
        <f t="shared" si="284"/>
        <v>22100</v>
      </c>
      <c r="AK369">
        <f t="shared" si="285"/>
        <v>91817.336611809907</v>
      </c>
      <c r="AL369">
        <v>1</v>
      </c>
      <c r="AM369">
        <f t="shared" si="286"/>
        <v>294.715822425444</v>
      </c>
      <c r="AN369">
        <f t="shared" si="317"/>
        <v>311.79617501007959</v>
      </c>
      <c r="AO369">
        <f t="shared" si="318"/>
        <v>-73.929535393376483</v>
      </c>
      <c r="AQ369">
        <f t="shared" si="287"/>
        <v>4.1623291728078368E-3</v>
      </c>
      <c r="AR369">
        <f t="shared" si="288"/>
        <v>-6.4516102178521466</v>
      </c>
      <c r="AT369">
        <f t="shared" si="313"/>
        <v>-15785.99536286896</v>
      </c>
      <c r="AU369">
        <f t="shared" si="314"/>
        <v>-2405.4724610744183</v>
      </c>
      <c r="AV369">
        <f t="shared" si="302"/>
        <v>-2.9903757402003266</v>
      </c>
      <c r="AW369">
        <f t="shared" si="303"/>
        <v>191.92218180370932</v>
      </c>
      <c r="AX369">
        <f t="shared" si="304"/>
        <v>-4720.667445305533</v>
      </c>
      <c r="AY369">
        <f t="shared" si="312"/>
        <v>-1.5301629742471932</v>
      </c>
      <c r="BA369">
        <f t="shared" si="289"/>
        <v>3.3798263633180756</v>
      </c>
      <c r="BB369">
        <f t="shared" si="305"/>
        <v>10.577887784311429</v>
      </c>
      <c r="BC369">
        <f t="shared" si="306"/>
        <v>-1.4602127659531334</v>
      </c>
      <c r="BD369">
        <f t="shared" si="290"/>
        <v>-263.66402877583891</v>
      </c>
      <c r="BF369">
        <f t="shared" si="291"/>
        <v>-49.76893470190798</v>
      </c>
      <c r="BG369">
        <f t="shared" si="292"/>
        <v>-187.99213930889485</v>
      </c>
      <c r="BH369">
        <f t="shared" si="307"/>
        <v>-7.9921393088948491</v>
      </c>
      <c r="BI369">
        <f t="shared" si="308"/>
        <v>-7.9921393088948491</v>
      </c>
      <c r="BJ369">
        <f t="shared" si="293"/>
        <v>0</v>
      </c>
      <c r="BK369">
        <f t="shared" si="309"/>
        <v>0</v>
      </c>
      <c r="BM369">
        <f t="shared" si="310"/>
        <v>-60.346822486219402</v>
      </c>
      <c r="BN369">
        <f t="shared" si="294"/>
        <v>-104.32811053305595</v>
      </c>
      <c r="BQ369" s="47">
        <f t="shared" si="311"/>
        <v>27.479848584596564</v>
      </c>
      <c r="BR369" s="529"/>
      <c r="BS369" s="529"/>
      <c r="BT369" s="529">
        <v>389045.14500000002</v>
      </c>
      <c r="BU369" s="529">
        <v>14.7561</v>
      </c>
      <c r="BV369" s="529">
        <v>-213.04300000000001</v>
      </c>
      <c r="BW369" s="49"/>
      <c r="BY369" s="529"/>
      <c r="BZ369" s="529"/>
      <c r="CA369" s="529"/>
      <c r="CC369" s="529"/>
    </row>
    <row r="370" spans="1:81">
      <c r="A370">
        <f t="shared" si="319"/>
        <v>780000</v>
      </c>
      <c r="B370">
        <f t="shared" si="295"/>
        <v>780</v>
      </c>
      <c r="C370">
        <f t="shared" si="264"/>
        <v>4.0462264269296959</v>
      </c>
      <c r="D370">
        <f t="shared" si="265"/>
        <v>1.3210647666290734</v>
      </c>
      <c r="F370">
        <f t="shared" si="266"/>
        <v>1.5723630291144372E-5</v>
      </c>
      <c r="G370">
        <f t="shared" si="267"/>
        <v>1.195544920019453E-3</v>
      </c>
      <c r="H370">
        <f t="shared" si="268"/>
        <v>-3.1403971050799808</v>
      </c>
      <c r="J370">
        <f t="shared" si="269"/>
        <v>15</v>
      </c>
      <c r="M370">
        <f t="shared" si="270"/>
        <v>1.9307395102384165E-3</v>
      </c>
      <c r="N370">
        <f t="shared" si="271"/>
        <v>-1.5707963250000001</v>
      </c>
      <c r="O370">
        <f t="shared" si="272"/>
        <v>380.0649111787273</v>
      </c>
      <c r="P370">
        <f t="shared" si="273"/>
        <v>1.5681651942583272</v>
      </c>
      <c r="Q370">
        <f t="shared" si="274"/>
        <v>296.61890049764509</v>
      </c>
      <c r="R370">
        <f t="shared" si="275"/>
        <v>1.5674249910754188</v>
      </c>
      <c r="S370">
        <f t="shared" si="276"/>
        <v>0.23259338960212686</v>
      </c>
      <c r="T370">
        <f t="shared" si="277"/>
        <v>-1.3360529690204079</v>
      </c>
      <c r="U370">
        <f t="shared" si="278"/>
        <v>0.15166529140459145</v>
      </c>
      <c r="V370">
        <f t="shared" si="279"/>
        <v>-1.4185434898293634</v>
      </c>
      <c r="X370">
        <f t="shared" si="296"/>
        <v>-42.70083765295314</v>
      </c>
      <c r="Y370">
        <f t="shared" si="280"/>
        <v>-172.41073207057823</v>
      </c>
      <c r="Z370">
        <f t="shared" si="297"/>
        <v>7.5892679294217658</v>
      </c>
      <c r="AC370">
        <v>1</v>
      </c>
      <c r="AD370">
        <f t="shared" si="281"/>
        <v>380.06359561170007</v>
      </c>
      <c r="AE370">
        <f t="shared" si="282"/>
        <v>-0.15273711940892451</v>
      </c>
      <c r="AF370">
        <f t="shared" si="283"/>
        <v>2.3436029841588001E-2</v>
      </c>
      <c r="AG370">
        <f t="shared" si="315"/>
        <v>366.63415809375761</v>
      </c>
      <c r="AH370">
        <f t="shared" si="316"/>
        <v>-2432.0947519451784</v>
      </c>
      <c r="AJ370">
        <f t="shared" si="284"/>
        <v>22100</v>
      </c>
      <c r="AK370">
        <f t="shared" si="285"/>
        <v>92409.706525434478</v>
      </c>
      <c r="AL370">
        <v>1</v>
      </c>
      <c r="AM370">
        <f t="shared" si="286"/>
        <v>296.61721482818882</v>
      </c>
      <c r="AN370">
        <f t="shared" si="317"/>
        <v>311.79296932555548</v>
      </c>
      <c r="AO370">
        <f t="shared" si="318"/>
        <v>-73.45563892269351</v>
      </c>
      <c r="AQ370">
        <f t="shared" si="287"/>
        <v>4.1091370360219282E-3</v>
      </c>
      <c r="AR370">
        <f t="shared" si="288"/>
        <v>-6.4102537761942076</v>
      </c>
      <c r="AT370">
        <f t="shared" si="313"/>
        <v>-15588.838017721</v>
      </c>
      <c r="AU370">
        <f t="shared" si="314"/>
        <v>-2360.2118070226265</v>
      </c>
      <c r="AV370">
        <f t="shared" si="302"/>
        <v>-2.9913299236076059</v>
      </c>
      <c r="AW370">
        <f t="shared" si="303"/>
        <v>193.55533542759369</v>
      </c>
      <c r="AX370">
        <f t="shared" si="304"/>
        <v>-4691.0635335669213</v>
      </c>
      <c r="AY370">
        <f t="shared" si="312"/>
        <v>-1.5295592792961432</v>
      </c>
      <c r="BA370">
        <f t="shared" si="289"/>
        <v>3.3581073305883518</v>
      </c>
      <c r="BB370">
        <f t="shared" si="305"/>
        <v>10.521891455679299</v>
      </c>
      <c r="BC370">
        <f t="shared" si="306"/>
        <v>-1.4617706443114626</v>
      </c>
      <c r="BD370">
        <f t="shared" si="290"/>
        <v>-263.75328863086793</v>
      </c>
      <c r="BF370">
        <f t="shared" si="291"/>
        <v>-49.884223243798552</v>
      </c>
      <c r="BG370">
        <f t="shared" si="292"/>
        <v>-187.99335327488322</v>
      </c>
      <c r="BH370">
        <f t="shared" si="307"/>
        <v>-7.9933532748832192</v>
      </c>
      <c r="BI370">
        <f t="shared" si="308"/>
        <v>-7.9933532748832192</v>
      </c>
      <c r="BJ370">
        <f t="shared" si="293"/>
        <v>0</v>
      </c>
      <c r="BK370">
        <f t="shared" si="309"/>
        <v>0</v>
      </c>
      <c r="BM370">
        <f t="shared" si="310"/>
        <v>-60.406114699477854</v>
      </c>
      <c r="BN370">
        <f t="shared" si="294"/>
        <v>-104.24006464401531</v>
      </c>
      <c r="BQ370" s="47">
        <f t="shared" si="311"/>
        <v>27.423852255964434</v>
      </c>
      <c r="BR370" s="529"/>
      <c r="BS370" s="529"/>
      <c r="BT370" s="529">
        <v>398107.17099999997</v>
      </c>
      <c r="BU370" s="529">
        <v>14.525499999999999</v>
      </c>
      <c r="BV370" s="529">
        <v>-214.58500000000001</v>
      </c>
      <c r="BW370" s="49"/>
      <c r="BY370" s="529"/>
      <c r="BZ370" s="529"/>
      <c r="CA370" s="529"/>
      <c r="CC370" s="529"/>
    </row>
    <row r="371" spans="1:81">
      <c r="A371">
        <f t="shared" si="319"/>
        <v>785000</v>
      </c>
      <c r="B371">
        <f t="shared" si="295"/>
        <v>785</v>
      </c>
      <c r="C371">
        <f t="shared" si="264"/>
        <v>4.0705842594024571</v>
      </c>
      <c r="D371">
        <f t="shared" si="265"/>
        <v>1.322590691306706</v>
      </c>
      <c r="F371">
        <f t="shared" si="266"/>
        <v>1.5523964155200011E-5</v>
      </c>
      <c r="G371">
        <f t="shared" si="267"/>
        <v>1.1879297499550235E-3</v>
      </c>
      <c r="H371">
        <f t="shared" si="268"/>
        <v>-3.1404047202500451</v>
      </c>
      <c r="J371">
        <f t="shared" si="269"/>
        <v>15</v>
      </c>
      <c r="M371">
        <f t="shared" si="270"/>
        <v>1.9184418063515479E-3</v>
      </c>
      <c r="N371">
        <f t="shared" si="271"/>
        <v>-1.5707963250000001</v>
      </c>
      <c r="O371">
        <f t="shared" si="272"/>
        <v>382.50120789942326</v>
      </c>
      <c r="P371">
        <f t="shared" si="273"/>
        <v>1.5681819529876844</v>
      </c>
      <c r="Q371">
        <f t="shared" si="274"/>
        <v>298.52028216370218</v>
      </c>
      <c r="R371">
        <f t="shared" si="275"/>
        <v>1.5674464643901804</v>
      </c>
      <c r="S371">
        <f t="shared" si="276"/>
        <v>0.23119132780543764</v>
      </c>
      <c r="T371">
        <f t="shared" si="277"/>
        <v>-1.3374943200954812</v>
      </c>
      <c r="U371">
        <f t="shared" si="278"/>
        <v>0.15072128417590067</v>
      </c>
      <c r="V371">
        <f t="shared" si="279"/>
        <v>-1.4194984754020514</v>
      </c>
      <c r="X371">
        <f t="shared" si="296"/>
        <v>-42.810959028596933</v>
      </c>
      <c r="Y371">
        <f t="shared" si="280"/>
        <v>-172.45884878529407</v>
      </c>
      <c r="Z371">
        <f t="shared" si="297"/>
        <v>7.5411512147059341</v>
      </c>
      <c r="AC371">
        <v>1</v>
      </c>
      <c r="AD371">
        <f t="shared" si="281"/>
        <v>382.49990071177501</v>
      </c>
      <c r="AE371">
        <f t="shared" si="282"/>
        <v>-0.15470156378659516</v>
      </c>
      <c r="AF371">
        <f t="shared" si="283"/>
        <v>2.3586260802111004E-2</v>
      </c>
      <c r="AG371">
        <f t="shared" si="315"/>
        <v>362.08429484939109</v>
      </c>
      <c r="AH371">
        <f t="shared" si="316"/>
        <v>-2417.2973882602228</v>
      </c>
      <c r="AJ371">
        <f t="shared" si="284"/>
        <v>22100</v>
      </c>
      <c r="AK371">
        <f t="shared" si="285"/>
        <v>93002.076439059063</v>
      </c>
      <c r="AL371">
        <v>1</v>
      </c>
      <c r="AM371">
        <f t="shared" si="286"/>
        <v>298.51860723093358</v>
      </c>
      <c r="AN371">
        <f t="shared" si="317"/>
        <v>311.78982469994412</v>
      </c>
      <c r="AO371">
        <f t="shared" si="318"/>
        <v>-72.987779145186508</v>
      </c>
      <c r="AQ371">
        <f t="shared" si="287"/>
        <v>4.056958068498491E-3</v>
      </c>
      <c r="AR371">
        <f t="shared" si="288"/>
        <v>-6.3694241675426317</v>
      </c>
      <c r="AT371">
        <f t="shared" si="313"/>
        <v>-15395.323444120882</v>
      </c>
      <c r="AU371">
        <f t="shared" si="314"/>
        <v>-2316.0753324446064</v>
      </c>
      <c r="AV371">
        <f t="shared" si="302"/>
        <v>-2.9922722334151359</v>
      </c>
      <c r="AW371">
        <f t="shared" si="303"/>
        <v>195.15481438096052</v>
      </c>
      <c r="AX371">
        <f t="shared" si="304"/>
        <v>-4661.8247032875915</v>
      </c>
      <c r="AY371">
        <f t="shared" si="312"/>
        <v>-1.5289584314301616</v>
      </c>
      <c r="BA371">
        <f t="shared" si="289"/>
        <v>3.3366635213987919</v>
      </c>
      <c r="BB371">
        <f t="shared" si="305"/>
        <v>10.466248267542021</v>
      </c>
      <c r="BC371">
        <f t="shared" si="306"/>
        <v>-1.4633138019849743</v>
      </c>
      <c r="BD371">
        <f t="shared" si="290"/>
        <v>-263.84170505278439</v>
      </c>
      <c r="BF371">
        <f t="shared" si="291"/>
        <v>-49.998738947921183</v>
      </c>
      <c r="BG371">
        <f t="shared" si="292"/>
        <v>-187.99477696992204</v>
      </c>
      <c r="BH371">
        <f t="shared" si="307"/>
        <v>-7.994776969922043</v>
      </c>
      <c r="BI371">
        <f t="shared" si="308"/>
        <v>-7.994776969922043</v>
      </c>
      <c r="BJ371">
        <f t="shared" si="293"/>
        <v>0</v>
      </c>
      <c r="BK371">
        <f t="shared" si="309"/>
        <v>0</v>
      </c>
      <c r="BM371">
        <f t="shared" si="310"/>
        <v>-60.464987215463211</v>
      </c>
      <c r="BN371">
        <f t="shared" si="294"/>
        <v>-104.15307191713764</v>
      </c>
      <c r="BQ371" s="47">
        <f t="shared" si="311"/>
        <v>27.368209067827159</v>
      </c>
      <c r="BR371" s="529"/>
      <c r="BS371" s="529"/>
      <c r="BT371" s="529">
        <v>407380.27799999999</v>
      </c>
      <c r="BU371" s="529">
        <v>14.4298</v>
      </c>
      <c r="BV371" s="529">
        <v>-217.34299999999999</v>
      </c>
      <c r="BW371" s="49"/>
      <c r="BY371" s="529"/>
      <c r="BZ371" s="529"/>
      <c r="CA371" s="529"/>
      <c r="CC371" s="529"/>
    </row>
    <row r="372" spans="1:81">
      <c r="A372">
        <f t="shared" si="319"/>
        <v>790000</v>
      </c>
      <c r="B372">
        <f t="shared" si="295"/>
        <v>790</v>
      </c>
      <c r="C372">
        <f t="shared" si="264"/>
        <v>4.0949514572417458</v>
      </c>
      <c r="D372">
        <f t="shared" si="265"/>
        <v>1.3240984592897773</v>
      </c>
      <c r="F372">
        <f t="shared" si="266"/>
        <v>1.5328077213753765E-5</v>
      </c>
      <c r="G372">
        <f t="shared" si="267"/>
        <v>1.180410978854432E-3</v>
      </c>
      <c r="H372">
        <f t="shared" si="268"/>
        <v>-3.140412239021146</v>
      </c>
      <c r="J372">
        <f t="shared" si="269"/>
        <v>15</v>
      </c>
      <c r="M372">
        <f t="shared" si="270"/>
        <v>1.9062997696024876E-3</v>
      </c>
      <c r="N372">
        <f t="shared" si="271"/>
        <v>-1.5707963250000001</v>
      </c>
      <c r="O372">
        <f t="shared" si="272"/>
        <v>384.93750472618666</v>
      </c>
      <c r="P372">
        <f t="shared" si="273"/>
        <v>1.5681984995826674</v>
      </c>
      <c r="Q372">
        <f t="shared" si="274"/>
        <v>300.42166396566557</v>
      </c>
      <c r="R372">
        <f t="shared" si="275"/>
        <v>1.567467665893862</v>
      </c>
      <c r="S372">
        <f t="shared" si="276"/>
        <v>0.22980559897920713</v>
      </c>
      <c r="T372">
        <f t="shared" si="277"/>
        <v>-1.3389183955818069</v>
      </c>
      <c r="U372">
        <f t="shared" si="278"/>
        <v>0.14978882170299387</v>
      </c>
      <c r="V372">
        <f t="shared" si="279"/>
        <v>-1.420441645469618</v>
      </c>
      <c r="X372">
        <f t="shared" si="296"/>
        <v>-42.920392482731778</v>
      </c>
      <c r="Y372">
        <f t="shared" si="280"/>
        <v>-172.50636120985561</v>
      </c>
      <c r="Z372">
        <f t="shared" si="297"/>
        <v>7.4936387901443879</v>
      </c>
      <c r="AC372">
        <v>1</v>
      </c>
      <c r="AD372">
        <f t="shared" si="281"/>
        <v>384.93620581185002</v>
      </c>
      <c r="AE372">
        <f t="shared" si="282"/>
        <v>-0.15667856052450654</v>
      </c>
      <c r="AF372">
        <f t="shared" si="283"/>
        <v>2.3736491762634003E-2</v>
      </c>
      <c r="AG372">
        <f t="shared" si="315"/>
        <v>357.6179632826591</v>
      </c>
      <c r="AH372">
        <f t="shared" si="316"/>
        <v>-2402.6746780925396</v>
      </c>
      <c r="AJ372">
        <f t="shared" si="284"/>
        <v>22100</v>
      </c>
      <c r="AK372">
        <f t="shared" si="285"/>
        <v>93594.446352683648</v>
      </c>
      <c r="AL372">
        <v>1</v>
      </c>
      <c r="AM372">
        <f t="shared" si="286"/>
        <v>300.4199996336784</v>
      </c>
      <c r="AN372">
        <f t="shared" si="317"/>
        <v>311.78673959238102</v>
      </c>
      <c r="AO372">
        <f t="shared" si="318"/>
        <v>-72.525841445228025</v>
      </c>
      <c r="AQ372">
        <f t="shared" si="287"/>
        <v>4.0057667017438306E-3</v>
      </c>
      <c r="AR372">
        <f t="shared" si="288"/>
        <v>-6.3291113887552521</v>
      </c>
      <c r="AT372">
        <f t="shared" si="313"/>
        <v>-15205.363134460089</v>
      </c>
      <c r="AU372">
        <f t="shared" si="314"/>
        <v>-2273.0284784563614</v>
      </c>
      <c r="AV372">
        <f t="shared" si="302"/>
        <v>-2.9932028881688484</v>
      </c>
      <c r="AW372">
        <f t="shared" si="303"/>
        <v>196.72154653769604</v>
      </c>
      <c r="AX372">
        <f t="shared" si="304"/>
        <v>-4632.9443125873477</v>
      </c>
      <c r="AY372">
        <f t="shared" si="312"/>
        <v>-1.5283603653421347</v>
      </c>
      <c r="BA372">
        <f t="shared" si="289"/>
        <v>3.3154897359168123</v>
      </c>
      <c r="BB372">
        <f t="shared" si="305"/>
        <v>10.410953755251066</v>
      </c>
      <c r="BC372">
        <f t="shared" si="306"/>
        <v>-1.4648425228267137</v>
      </c>
      <c r="BD372">
        <f t="shared" si="290"/>
        <v>-263.92929430516983</v>
      </c>
      <c r="BF372">
        <f t="shared" si="291"/>
        <v>-50.112492317029833</v>
      </c>
      <c r="BG372">
        <f t="shared" si="292"/>
        <v>-187.99640827414552</v>
      </c>
      <c r="BH372">
        <f t="shared" si="307"/>
        <v>-7.9964082741455229</v>
      </c>
      <c r="BI372">
        <f t="shared" si="308"/>
        <v>-7.9964082741455229</v>
      </c>
      <c r="BJ372">
        <f t="shared" si="293"/>
        <v>0</v>
      </c>
      <c r="BK372">
        <f t="shared" si="309"/>
        <v>0</v>
      </c>
      <c r="BM372">
        <f t="shared" si="310"/>
        <v>-60.523446072280905</v>
      </c>
      <c r="BN372">
        <f t="shared" si="294"/>
        <v>-104.06711396897569</v>
      </c>
      <c r="BQ372" s="47">
        <f t="shared" si="311"/>
        <v>27.312914555536203</v>
      </c>
      <c r="BR372" s="529"/>
      <c r="BS372" s="529"/>
      <c r="BT372" s="529">
        <v>416869.38299999997</v>
      </c>
      <c r="BU372" s="529">
        <v>14.126799999999999</v>
      </c>
      <c r="BV372" s="529">
        <v>-219.017</v>
      </c>
      <c r="BW372" s="49"/>
      <c r="BY372" s="529"/>
      <c r="BZ372" s="529"/>
      <c r="CA372" s="529"/>
      <c r="CC372" s="529"/>
    </row>
    <row r="373" spans="1:81">
      <c r="A373">
        <f t="shared" si="319"/>
        <v>795000</v>
      </c>
      <c r="B373">
        <f t="shared" si="295"/>
        <v>795</v>
      </c>
      <c r="C373">
        <f t="shared" si="264"/>
        <v>4.119327854249768</v>
      </c>
      <c r="D373">
        <f t="shared" si="265"/>
        <v>1.3255883859916981</v>
      </c>
      <c r="F373">
        <f t="shared" si="266"/>
        <v>1.5135874690000041E-5</v>
      </c>
      <c r="G373">
        <f t="shared" si="267"/>
        <v>1.1729867877595013E-3</v>
      </c>
      <c r="H373">
        <f t="shared" si="268"/>
        <v>-3.1404196632122408</v>
      </c>
      <c r="J373">
        <f t="shared" si="269"/>
        <v>15</v>
      </c>
      <c r="M373">
        <f t="shared" si="270"/>
        <v>1.8943104628754278E-3</v>
      </c>
      <c r="N373">
        <f t="shared" si="271"/>
        <v>-1.5707963250000001</v>
      </c>
      <c r="O373">
        <f t="shared" si="272"/>
        <v>387.37380165701643</v>
      </c>
      <c r="P373">
        <f t="shared" si="273"/>
        <v>1.5682148380457763</v>
      </c>
      <c r="Q373">
        <f t="shared" si="274"/>
        <v>302.32304590097107</v>
      </c>
      <c r="R373">
        <f t="shared" si="275"/>
        <v>1.5674886007148989</v>
      </c>
      <c r="S373">
        <f t="shared" si="276"/>
        <v>0.22843592789369638</v>
      </c>
      <c r="T373">
        <f t="shared" si="277"/>
        <v>-1.3403254985453661</v>
      </c>
      <c r="U373">
        <f t="shared" si="278"/>
        <v>0.14886769596443192</v>
      </c>
      <c r="V373">
        <f t="shared" si="279"/>
        <v>-1.4213732163165631</v>
      </c>
      <c r="X373">
        <f t="shared" si="296"/>
        <v>-43.02914648089007</v>
      </c>
      <c r="Y373">
        <f t="shared" si="280"/>
        <v>-172.55328061005088</v>
      </c>
      <c r="Z373">
        <f t="shared" si="297"/>
        <v>7.4467193899491235</v>
      </c>
      <c r="AC373">
        <v>1</v>
      </c>
      <c r="AD373">
        <f t="shared" si="281"/>
        <v>387.37251091192502</v>
      </c>
      <c r="AE373">
        <f t="shared" si="282"/>
        <v>-0.15866810962265862</v>
      </c>
      <c r="AF373">
        <f t="shared" si="283"/>
        <v>2.3886722723157002E-2</v>
      </c>
      <c r="AG373">
        <f t="shared" si="315"/>
        <v>353.23314670304751</v>
      </c>
      <c r="AH373">
        <f t="shared" si="316"/>
        <v>-2388.2236296958263</v>
      </c>
      <c r="AJ373">
        <f t="shared" si="284"/>
        <v>22100</v>
      </c>
      <c r="AK373">
        <f t="shared" si="285"/>
        <v>94186.816266308218</v>
      </c>
      <c r="AL373">
        <v>1</v>
      </c>
      <c r="AM373">
        <f t="shared" si="286"/>
        <v>302.32139203642322</v>
      </c>
      <c r="AN373">
        <f t="shared" si="317"/>
        <v>311.78371251030262</v>
      </c>
      <c r="AO373">
        <f t="shared" si="318"/>
        <v>-72.06971409044283</v>
      </c>
      <c r="AQ373">
        <f t="shared" si="287"/>
        <v>3.9555381687677825E-3</v>
      </c>
      <c r="AR373">
        <f t="shared" si="288"/>
        <v>-6.2893056883407743</v>
      </c>
      <c r="AT373">
        <f t="shared" si="313"/>
        <v>-15018.871232081552</v>
      </c>
      <c r="AU373">
        <f t="shared" si="314"/>
        <v>-2231.0379485928029</v>
      </c>
      <c r="AV373">
        <f t="shared" si="302"/>
        <v>-2.9941221011258952</v>
      </c>
      <c r="AW373">
        <f t="shared" si="303"/>
        <v>198.25642786780483</v>
      </c>
      <c r="AX373">
        <f t="shared" si="304"/>
        <v>-4604.4158780668477</v>
      </c>
      <c r="AY373">
        <f t="shared" si="312"/>
        <v>-1.5277650177307853</v>
      </c>
      <c r="BA373">
        <f t="shared" si="289"/>
        <v>3.294580904173098</v>
      </c>
      <c r="BB373">
        <f t="shared" si="305"/>
        <v>10.356003537440539</v>
      </c>
      <c r="BC373">
        <f t="shared" si="306"/>
        <v>-1.4663570833951098</v>
      </c>
      <c r="BD373">
        <f t="shared" si="290"/>
        <v>-264.01607223365505</v>
      </c>
      <c r="BF373">
        <f t="shared" si="291"/>
        <v>-50.22549364037134</v>
      </c>
      <c r="BG373">
        <f t="shared" si="292"/>
        <v>-187.99824506554575</v>
      </c>
      <c r="BH373">
        <f t="shared" si="307"/>
        <v>-7.9982450655457455</v>
      </c>
      <c r="BI373">
        <f t="shared" si="308"/>
        <v>-7.9982450655457455</v>
      </c>
      <c r="BJ373">
        <f t="shared" si="293"/>
        <v>0</v>
      </c>
      <c r="BK373">
        <f t="shared" si="309"/>
        <v>0</v>
      </c>
      <c r="BM373">
        <f t="shared" si="310"/>
        <v>-60.581497177811883</v>
      </c>
      <c r="BN373">
        <f t="shared" si="294"/>
        <v>-103.98217283189075</v>
      </c>
      <c r="BQ373" s="47">
        <f t="shared" si="311"/>
        <v>27.257964337725674</v>
      </c>
      <c r="BR373" s="529"/>
      <c r="BS373" s="529"/>
      <c r="BT373" s="529">
        <v>426579.51899999997</v>
      </c>
      <c r="BU373" s="529">
        <v>14.106299999999999</v>
      </c>
      <c r="BV373" s="529">
        <v>-221.39400000000001</v>
      </c>
      <c r="BW373" s="49"/>
      <c r="BY373" s="529"/>
      <c r="BZ373" s="529"/>
      <c r="CA373" s="529"/>
      <c r="CC373" s="529"/>
    </row>
    <row r="374" spans="1:81">
      <c r="A374">
        <f t="shared" si="319"/>
        <v>800000</v>
      </c>
      <c r="B374">
        <f t="shared" si="295"/>
        <v>800</v>
      </c>
      <c r="C374">
        <f t="shared" si="264"/>
        <v>4.143713288077512</v>
      </c>
      <c r="D374">
        <f t="shared" si="265"/>
        <v>1.3270607797222089</v>
      </c>
      <c r="F374">
        <f t="shared" si="266"/>
        <v>1.4947264759710149E-5</v>
      </c>
      <c r="G374">
        <f t="shared" si="267"/>
        <v>1.165655403189409E-3</v>
      </c>
      <c r="H374">
        <f t="shared" si="268"/>
        <v>-3.1404269945968109</v>
      </c>
      <c r="J374">
        <f t="shared" si="269"/>
        <v>15</v>
      </c>
      <c r="M374">
        <f t="shared" si="270"/>
        <v>1.8824710224824564E-3</v>
      </c>
      <c r="N374">
        <f t="shared" si="271"/>
        <v>-1.5707963250000001</v>
      </c>
      <c r="O374">
        <f t="shared" si="272"/>
        <v>389.81009868996119</v>
      </c>
      <c r="P374">
        <f t="shared" si="273"/>
        <v>1.5682309722794487</v>
      </c>
      <c r="Q374">
        <f t="shared" si="274"/>
        <v>304.2244279671184</v>
      </c>
      <c r="R374">
        <f t="shared" si="275"/>
        <v>1.5675092738535183</v>
      </c>
      <c r="S374">
        <f t="shared" si="276"/>
        <v>0.22708204526018788</v>
      </c>
      <c r="T374">
        <f t="shared" si="277"/>
        <v>-1.3417159251398074</v>
      </c>
      <c r="U374">
        <f t="shared" si="278"/>
        <v>0.14795770384588205</v>
      </c>
      <c r="V374">
        <f t="shared" si="279"/>
        <v>-1.4222933990206679</v>
      </c>
      <c r="X374">
        <f t="shared" si="296"/>
        <v>-43.137229334798704</v>
      </c>
      <c r="Y374">
        <f t="shared" si="280"/>
        <v>-172.59961797478095</v>
      </c>
      <c r="Z374">
        <f t="shared" si="297"/>
        <v>7.4003820252190451</v>
      </c>
      <c r="AC374">
        <v>1</v>
      </c>
      <c r="AD374">
        <f t="shared" si="281"/>
        <v>389.80881601200002</v>
      </c>
      <c r="AE374">
        <f t="shared" si="282"/>
        <v>-0.16067021108105142</v>
      </c>
      <c r="AF374">
        <f t="shared" si="283"/>
        <v>2.4036953683680001E-2</v>
      </c>
      <c r="AG374">
        <f t="shared" si="315"/>
        <v>348.92788844063796</v>
      </c>
      <c r="AH374">
        <f t="shared" si="316"/>
        <v>-2373.9413171381025</v>
      </c>
      <c r="AJ374">
        <f t="shared" si="284"/>
        <v>22100</v>
      </c>
      <c r="AK374">
        <f t="shared" si="285"/>
        <v>94779.186179932803</v>
      </c>
      <c r="AL374">
        <v>1</v>
      </c>
      <c r="AM374">
        <f t="shared" si="286"/>
        <v>304.22278443916804</v>
      </c>
      <c r="AN374">
        <f t="shared" si="317"/>
        <v>311.78074200764092</v>
      </c>
      <c r="AO374">
        <f t="shared" si="318"/>
        <v>-71.61928814161223</v>
      </c>
      <c r="AQ374">
        <f t="shared" si="287"/>
        <v>3.90624847412169E-3</v>
      </c>
      <c r="AR374">
        <f t="shared" si="288"/>
        <v>-6.2499975585947034</v>
      </c>
      <c r="AT374">
        <f t="shared" si="313"/>
        <v>-14835.764437328435</v>
      </c>
      <c r="AU374">
        <f t="shared" si="314"/>
        <v>-2190.071655527317</v>
      </c>
      <c r="AV374">
        <f t="shared" si="302"/>
        <v>-2.9950300804123922</v>
      </c>
      <c r="AW374">
        <f t="shared" si="303"/>
        <v>199.76032374745384</v>
      </c>
      <c r="AX374">
        <f t="shared" si="304"/>
        <v>-4576.2330701573746</v>
      </c>
      <c r="AY374">
        <f t="shared" si="312"/>
        <v>-1.5271723272250401</v>
      </c>
      <c r="BA374">
        <f t="shared" si="289"/>
        <v>3.2739320820450275</v>
      </c>
      <c r="BB374">
        <f t="shared" si="305"/>
        <v>10.301393313986278</v>
      </c>
      <c r="BC374">
        <f t="shared" si="306"/>
        <v>-1.467857753187352</v>
      </c>
      <c r="BD374">
        <f t="shared" si="290"/>
        <v>-264.10205427929156</v>
      </c>
      <c r="BF374">
        <f t="shared" si="291"/>
        <v>-50.337752999426961</v>
      </c>
      <c r="BG374">
        <f t="shared" si="292"/>
        <v>-188.00028522194043</v>
      </c>
      <c r="BH374">
        <f t="shared" si="307"/>
        <v>-8.0002852219404303</v>
      </c>
      <c r="BI374">
        <f t="shared" si="308"/>
        <v>-8.0002852219404303</v>
      </c>
      <c r="BJ374">
        <f t="shared" si="293"/>
        <v>0</v>
      </c>
      <c r="BK374">
        <f t="shared" si="309"/>
        <v>0</v>
      </c>
      <c r="BM374">
        <f t="shared" si="310"/>
        <v>-60.639146313413235</v>
      </c>
      <c r="BN374">
        <f t="shared" si="294"/>
        <v>-103.89823094264889</v>
      </c>
      <c r="BQ374" s="47">
        <f t="shared" si="311"/>
        <v>27.203354114271416</v>
      </c>
      <c r="BR374" s="529"/>
      <c r="BS374" s="529"/>
      <c r="BT374" s="529">
        <v>436515.83199999999</v>
      </c>
      <c r="BU374" s="529">
        <v>13.8226</v>
      </c>
      <c r="BV374" s="529">
        <v>-223.214</v>
      </c>
      <c r="BW374" s="49"/>
      <c r="BY374" s="529"/>
      <c r="BZ374" s="529"/>
      <c r="CA374" s="529"/>
      <c r="CC374" s="529"/>
    </row>
    <row r="375" spans="1:81">
      <c r="A375">
        <f t="shared" si="319"/>
        <v>805000</v>
      </c>
      <c r="B375">
        <f t="shared" si="295"/>
        <v>805</v>
      </c>
      <c r="C375">
        <f t="shared" si="264"/>
        <v>4.1681076001157589</v>
      </c>
      <c r="D375">
        <f t="shared" si="265"/>
        <v>1.3285159418814951</v>
      </c>
      <c r="F375">
        <f t="shared" si="266"/>
        <v>1.4762158441537815E-5</v>
      </c>
      <c r="G375">
        <f t="shared" si="267"/>
        <v>1.1584150957282193E-3</v>
      </c>
      <c r="H375">
        <f t="shared" si="268"/>
        <v>-3.140434234904272</v>
      </c>
      <c r="J375">
        <f t="shared" si="269"/>
        <v>15</v>
      </c>
      <c r="M375">
        <f t="shared" si="270"/>
        <v>1.8707786558831863E-3</v>
      </c>
      <c r="N375">
        <f t="shared" si="271"/>
        <v>-1.5707963250000001</v>
      </c>
      <c r="O375">
        <f t="shared" si="272"/>
        <v>392.24639582311829</v>
      </c>
      <c r="P375">
        <f t="shared" si="273"/>
        <v>1.5682469060891691</v>
      </c>
      <c r="Q375">
        <f t="shared" si="274"/>
        <v>306.12581016166973</v>
      </c>
      <c r="R375">
        <f t="shared" si="275"/>
        <v>1.5675296901857199</v>
      </c>
      <c r="S375">
        <f t="shared" si="276"/>
        <v>0.22574368757799707</v>
      </c>
      <c r="T375">
        <f t="shared" si="277"/>
        <v>-1.3430899647983672</v>
      </c>
      <c r="U375">
        <f t="shared" si="278"/>
        <v>0.14705864699813942</v>
      </c>
      <c r="V375">
        <f t="shared" si="279"/>
        <v>-1.4232023996075227</v>
      </c>
      <c r="X375">
        <f t="shared" si="296"/>
        <v>-43.244649206043171</v>
      </c>
      <c r="Y375">
        <f t="shared" si="280"/>
        <v>-172.64538402446286</v>
      </c>
      <c r="Z375">
        <f t="shared" si="297"/>
        <v>7.3546159755371434</v>
      </c>
      <c r="AC375">
        <v>1</v>
      </c>
      <c r="AD375">
        <f t="shared" si="281"/>
        <v>392.24512111207503</v>
      </c>
      <c r="AE375">
        <f t="shared" si="282"/>
        <v>-0.16268486489968492</v>
      </c>
      <c r="AF375">
        <f t="shared" si="283"/>
        <v>2.4187184644203E-2</v>
      </c>
      <c r="AG375">
        <f t="shared" si="315"/>
        <v>344.70028973244837</v>
      </c>
      <c r="AH375">
        <f t="shared" si="316"/>
        <v>-2359.8248785720298</v>
      </c>
      <c r="AJ375">
        <f t="shared" si="284"/>
        <v>22100</v>
      </c>
      <c r="AK375">
        <f t="shared" si="285"/>
        <v>95371.556093557374</v>
      </c>
      <c r="AL375">
        <v>1</v>
      </c>
      <c r="AM375">
        <f t="shared" si="286"/>
        <v>306.1241768419128</v>
      </c>
      <c r="AN375">
        <f t="shared" si="317"/>
        <v>311.77782668309601</v>
      </c>
      <c r="AO375">
        <f t="shared" si="318"/>
        <v>-71.174457365935766</v>
      </c>
      <c r="AQ375">
        <f t="shared" si="287"/>
        <v>3.8578743652349966E-3</v>
      </c>
      <c r="AR375">
        <f t="shared" si="288"/>
        <v>-6.2111777280283444</v>
      </c>
      <c r="AT375">
        <f t="shared" si="313"/>
        <v>-14655.961917422337</v>
      </c>
      <c r="AU375">
        <f t="shared" si="314"/>
        <v>-2150.0986703365875</v>
      </c>
      <c r="AV375">
        <f t="shared" si="302"/>
        <v>-2.9959270291755975</v>
      </c>
      <c r="AW375">
        <f t="shared" si="303"/>
        <v>201.23407020670564</v>
      </c>
      <c r="AX375">
        <f t="shared" si="304"/>
        <v>-4548.3897086316947</v>
      </c>
      <c r="AY375">
        <f t="shared" si="312"/>
        <v>-1.5265822343117563</v>
      </c>
      <c r="BA375">
        <f t="shared" si="289"/>
        <v>3.2535384473876645</v>
      </c>
      <c r="BB375">
        <f t="shared" si="305"/>
        <v>10.247118864026339</v>
      </c>
      <c r="BC375">
        <f t="shared" si="306"/>
        <v>-1.4693447948638412</v>
      </c>
      <c r="BD375">
        <f t="shared" si="290"/>
        <v>-264.18725549141175</v>
      </c>
      <c r="BF375">
        <f t="shared" si="291"/>
        <v>-50.449280273463472</v>
      </c>
      <c r="BG375">
        <f t="shared" si="292"/>
        <v>-188.00252662279152</v>
      </c>
      <c r="BH375">
        <f t="shared" si="307"/>
        <v>-8.002526622791521</v>
      </c>
      <c r="BI375">
        <f t="shared" si="308"/>
        <v>-8.002526622791521</v>
      </c>
      <c r="BJ375">
        <f t="shared" si="293"/>
        <v>0</v>
      </c>
      <c r="BK375">
        <f t="shared" si="309"/>
        <v>0</v>
      </c>
      <c r="BM375">
        <f t="shared" si="310"/>
        <v>-60.696399137489806</v>
      </c>
      <c r="BN375">
        <f t="shared" si="294"/>
        <v>-103.81527113137975</v>
      </c>
      <c r="BQ375" s="47">
        <f t="shared" si="311"/>
        <v>27.149079664311472</v>
      </c>
      <c r="BR375" s="529"/>
      <c r="BS375" s="529"/>
      <c r="BT375" s="529">
        <v>446683.592</v>
      </c>
      <c r="BU375" s="529">
        <v>13.599500000000001</v>
      </c>
      <c r="BV375" s="529">
        <v>-225.053</v>
      </c>
      <c r="BW375" s="49"/>
      <c r="BY375" s="529"/>
      <c r="BZ375" s="529"/>
      <c r="CA375" s="529"/>
      <c r="CC375" s="529"/>
    </row>
    <row r="376" spans="1:81">
      <c r="A376">
        <f t="shared" si="319"/>
        <v>810000</v>
      </c>
      <c r="B376">
        <f t="shared" si="295"/>
        <v>810</v>
      </c>
      <c r="C376">
        <f t="shared" si="264"/>
        <v>4.1925106353897066</v>
      </c>
      <c r="D376">
        <f t="shared" si="265"/>
        <v>1.3299541671481394</v>
      </c>
      <c r="F376">
        <f t="shared" si="266"/>
        <v>1.4580469492050084E-5</v>
      </c>
      <c r="G376">
        <f t="shared" si="267"/>
        <v>1.1512641786647379E-3</v>
      </c>
      <c r="H376">
        <f t="shared" si="268"/>
        <v>-3.1404413858213354</v>
      </c>
      <c r="J376">
        <f t="shared" si="269"/>
        <v>15</v>
      </c>
      <c r="M376">
        <f t="shared" si="270"/>
        <v>1.8592306394888457E-3</v>
      </c>
      <c r="N376">
        <f t="shared" si="271"/>
        <v>-1.5707963250000001</v>
      </c>
      <c r="O376">
        <f t="shared" si="272"/>
        <v>394.68269305463195</v>
      </c>
      <c r="P376">
        <f t="shared" si="273"/>
        <v>1.5682626431864597</v>
      </c>
      <c r="Q376">
        <f t="shared" si="274"/>
        <v>308.02719248224713</v>
      </c>
      <c r="R376">
        <f t="shared" si="275"/>
        <v>1.5675498544671105</v>
      </c>
      <c r="S376">
        <f t="shared" si="276"/>
        <v>0.22442059698594402</v>
      </c>
      <c r="T376">
        <f t="shared" si="277"/>
        <v>-1.3444479004195735</v>
      </c>
      <c r="U376">
        <f t="shared" si="278"/>
        <v>0.1461703316999802</v>
      </c>
      <c r="V376">
        <f t="shared" si="279"/>
        <v>-1.4241004191996289</v>
      </c>
      <c r="X376">
        <f t="shared" si="296"/>
        <v>-43.351414109624301</v>
      </c>
      <c r="Y376">
        <f t="shared" si="280"/>
        <v>-172.69058921913032</v>
      </c>
      <c r="Z376">
        <f t="shared" si="297"/>
        <v>7.3094107808696833</v>
      </c>
      <c r="AC376">
        <v>1</v>
      </c>
      <c r="AD376">
        <f t="shared" si="281"/>
        <v>394.68142621215003</v>
      </c>
      <c r="AE376">
        <f t="shared" si="282"/>
        <v>-0.16471207107855912</v>
      </c>
      <c r="AF376">
        <f t="shared" si="283"/>
        <v>2.4337415604726003E-2</v>
      </c>
      <c r="AG376">
        <f t="shared" si="315"/>
        <v>340.54850769437627</v>
      </c>
      <c r="AH376">
        <f t="shared" si="316"/>
        <v>-2345.8715145566543</v>
      </c>
      <c r="AJ376">
        <f t="shared" si="284"/>
        <v>22100</v>
      </c>
      <c r="AK376">
        <f t="shared" si="285"/>
        <v>95963.926007181974</v>
      </c>
      <c r="AL376">
        <v>1</v>
      </c>
      <c r="AM376">
        <f t="shared" si="286"/>
        <v>308.02556924465762</v>
      </c>
      <c r="AN376">
        <f t="shared" si="317"/>
        <v>311.77496517848283</v>
      </c>
      <c r="AO376">
        <f t="shared" si="318"/>
        <v>-70.73511815350507</v>
      </c>
      <c r="AQ376">
        <f t="shared" si="287"/>
        <v>3.8103933049865473E-3</v>
      </c>
      <c r="AR376">
        <f t="shared" si="288"/>
        <v>-6.1728371540782065</v>
      </c>
      <c r="AT376">
        <f t="shared" si="313"/>
        <v>-14479.385219995287</v>
      </c>
      <c r="AU376">
        <f t="shared" si="314"/>
        <v>-2111.0891741751593</v>
      </c>
      <c r="AV376">
        <f t="shared" si="302"/>
        <v>-2.9968131457307483</v>
      </c>
      <c r="AW376">
        <f t="shared" si="303"/>
        <v>202.67847511829376</v>
      </c>
      <c r="AX376">
        <f t="shared" si="304"/>
        <v>-4520.8797582696197</v>
      </c>
      <c r="AY376">
        <f t="shared" si="312"/>
        <v>-1.5259946812666334</v>
      </c>
      <c r="BA376">
        <f t="shared" si="289"/>
        <v>3.2333952963060981</v>
      </c>
      <c r="BB376">
        <f t="shared" si="305"/>
        <v>10.193176044040761</v>
      </c>
      <c r="BC376">
        <f t="shared" si="306"/>
        <v>-1.4708184644641149</v>
      </c>
      <c r="BD376">
        <f t="shared" si="290"/>
        <v>-264.27169054000069</v>
      </c>
      <c r="BF376">
        <f t="shared" si="291"/>
        <v>-50.560085144901208</v>
      </c>
      <c r="BG376">
        <f t="shared" si="292"/>
        <v>-188.0049671508863</v>
      </c>
      <c r="BH376">
        <f t="shared" si="307"/>
        <v>-8.0049671508863014</v>
      </c>
      <c r="BI376">
        <f t="shared" si="308"/>
        <v>-8.0049671508863014</v>
      </c>
      <c r="BJ376">
        <f t="shared" si="293"/>
        <v>0</v>
      </c>
      <c r="BK376">
        <f t="shared" si="309"/>
        <v>0</v>
      </c>
      <c r="BM376">
        <f t="shared" si="310"/>
        <v>-60.75326118894197</v>
      </c>
      <c r="BN376">
        <f t="shared" si="294"/>
        <v>-103.73327661088565</v>
      </c>
      <c r="BQ376" s="47">
        <f t="shared" si="311"/>
        <v>27.095136844325896</v>
      </c>
      <c r="BR376" s="529"/>
      <c r="BS376" s="529"/>
      <c r="BT376" s="529">
        <v>457088.19</v>
      </c>
      <c r="BU376" s="529">
        <v>13.3674</v>
      </c>
      <c r="BV376" s="529">
        <v>-226.50200000000001</v>
      </c>
      <c r="BW376" s="49"/>
      <c r="BY376" s="529"/>
      <c r="BZ376" s="529"/>
      <c r="CA376" s="529"/>
      <c r="CC376" s="529"/>
    </row>
    <row r="377" spans="1:81">
      <c r="A377">
        <f t="shared" si="319"/>
        <v>815000</v>
      </c>
      <c r="B377">
        <f t="shared" si="295"/>
        <v>815</v>
      </c>
      <c r="C377">
        <f t="shared" si="264"/>
        <v>4.2169222424570867</v>
      </c>
      <c r="D377">
        <f t="shared" si="265"/>
        <v>1.3313757436611358</v>
      </c>
      <c r="F377">
        <f t="shared" si="266"/>
        <v>1.4402114305252306E-5</v>
      </c>
      <c r="G377">
        <f t="shared" si="267"/>
        <v>1.1442010066824374E-3</v>
      </c>
      <c r="H377">
        <f t="shared" si="268"/>
        <v>-3.1404484489933178</v>
      </c>
      <c r="J377">
        <f t="shared" si="269"/>
        <v>15</v>
      </c>
      <c r="M377">
        <f t="shared" si="270"/>
        <v>1.8478243165471965E-3</v>
      </c>
      <c r="N377">
        <f t="shared" si="271"/>
        <v>-1.5707963250000001</v>
      </c>
      <c r="O377">
        <f t="shared" si="272"/>
        <v>397.11899038269195</v>
      </c>
      <c r="P377">
        <f t="shared" si="273"/>
        <v>1.5682781871917642</v>
      </c>
      <c r="Q377">
        <f t="shared" si="274"/>
        <v>309.92857492653116</v>
      </c>
      <c r="R377">
        <f t="shared" si="275"/>
        <v>1.5675697713365973</v>
      </c>
      <c r="S377">
        <f t="shared" si="276"/>
        <v>0.22311252111814356</v>
      </c>
      <c r="T377">
        <f t="shared" si="277"/>
        <v>-1.3457900085469643</v>
      </c>
      <c r="U377">
        <f t="shared" si="278"/>
        <v>0.14529256872565938</v>
      </c>
      <c r="V377">
        <f t="shared" si="279"/>
        <v>-1.4249876541602908</v>
      </c>
      <c r="X377">
        <f t="shared" si="296"/>
        <v>-43.4575319174117</v>
      </c>
      <c r="Y377">
        <f t="shared" si="280"/>
        <v>-172.73524376624499</v>
      </c>
      <c r="Z377">
        <f t="shared" si="297"/>
        <v>7.2647562337550085</v>
      </c>
      <c r="AC377">
        <v>1</v>
      </c>
      <c r="AD377">
        <f t="shared" si="281"/>
        <v>397.11773131222503</v>
      </c>
      <c r="AE377">
        <f t="shared" si="282"/>
        <v>-0.16675182961767404</v>
      </c>
      <c r="AF377">
        <f t="shared" si="283"/>
        <v>2.4487646565249002E-2</v>
      </c>
      <c r="AG377">
        <f t="shared" si="315"/>
        <v>336.4707533748433</v>
      </c>
      <c r="AH377">
        <f t="shared" si="316"/>
        <v>-2332.0784864289221</v>
      </c>
      <c r="AJ377">
        <f t="shared" si="284"/>
        <v>22100</v>
      </c>
      <c r="AK377">
        <f t="shared" si="285"/>
        <v>96556.295920806544</v>
      </c>
      <c r="AL377">
        <v>1</v>
      </c>
      <c r="AM377">
        <f t="shared" si="286"/>
        <v>309.92696164740244</v>
      </c>
      <c r="AN377">
        <f t="shared" si="317"/>
        <v>311.77215617714955</v>
      </c>
      <c r="AO377">
        <f t="shared" si="318"/>
        <v>-70.301169436852277</v>
      </c>
      <c r="AQ377">
        <f t="shared" si="287"/>
        <v>3.7637834454501691E-3</v>
      </c>
      <c r="AR377">
        <f t="shared" si="288"/>
        <v>-6.1349670160837757</v>
      </c>
      <c r="AT377">
        <f t="shared" si="313"/>
        <v>-14305.958190108582</v>
      </c>
      <c r="AU377">
        <f t="shared" si="314"/>
        <v>-2073.014412232234</v>
      </c>
      <c r="AV377">
        <f t="shared" si="302"/>
        <v>-2.9976886237027736</v>
      </c>
      <c r="AW377">
        <f t="shared" si="303"/>
        <v>204.09431933060048</v>
      </c>
      <c r="AX377">
        <f t="shared" si="304"/>
        <v>-4493.6973246721427</v>
      </c>
      <c r="AY377">
        <f t="shared" si="312"/>
        <v>-1.5254096120881511</v>
      </c>
      <c r="BA377">
        <f t="shared" si="289"/>
        <v>3.2134980395631394</v>
      </c>
      <c r="BB377">
        <f t="shared" si="305"/>
        <v>10.139560785988465</v>
      </c>
      <c r="BC377">
        <f t="shared" si="306"/>
        <v>-1.4722790116146225</v>
      </c>
      <c r="BD377">
        <f t="shared" si="290"/>
        <v>-264.35537372760024</v>
      </c>
      <c r="BF377">
        <f t="shared" si="291"/>
        <v>-50.670177104506337</v>
      </c>
      <c r="BG377">
        <f t="shared" si="292"/>
        <v>-188.00760469388823</v>
      </c>
      <c r="BH377">
        <f t="shared" si="307"/>
        <v>-8.0076046938882257</v>
      </c>
      <c r="BI377">
        <f t="shared" si="308"/>
        <v>-8.0076046938882257</v>
      </c>
      <c r="BJ377">
        <f t="shared" si="293"/>
        <v>0</v>
      </c>
      <c r="BK377">
        <f t="shared" si="309"/>
        <v>0</v>
      </c>
      <c r="BM377">
        <f t="shared" si="310"/>
        <v>-60.809737890494802</v>
      </c>
      <c r="BN377">
        <f t="shared" si="294"/>
        <v>-103.65223096628799</v>
      </c>
      <c r="BQ377" s="47">
        <f t="shared" si="311"/>
        <v>27.041521586273603</v>
      </c>
      <c r="BR377" s="529"/>
      <c r="BS377" s="529"/>
      <c r="BT377" s="529">
        <v>467735.141</v>
      </c>
      <c r="BU377" s="529">
        <v>13.1959</v>
      </c>
      <c r="BV377" s="529">
        <v>131.81700000000001</v>
      </c>
      <c r="BY377" s="529"/>
      <c r="BZ377" s="529"/>
      <c r="CA377" s="529"/>
      <c r="CC377" s="529"/>
    </row>
    <row r="378" spans="1:81">
      <c r="A378">
        <f t="shared" si="319"/>
        <v>820000</v>
      </c>
      <c r="B378">
        <f t="shared" si="295"/>
        <v>820</v>
      </c>
      <c r="C378">
        <f t="shared" si="264"/>
        <v>4.2413422733096269</v>
      </c>
      <c r="D378">
        <f t="shared" si="265"/>
        <v>1.3327809531961705</v>
      </c>
      <c r="F378">
        <f t="shared" si="266"/>
        <v>1.4227011816388794E-5</v>
      </c>
      <c r="G378">
        <f t="shared" si="267"/>
        <v>1.1372239745973164E-3</v>
      </c>
      <c r="H378">
        <f t="shared" si="268"/>
        <v>-3.1404554260254027</v>
      </c>
      <c r="J378">
        <f t="shared" si="269"/>
        <v>15</v>
      </c>
      <c r="M378">
        <f t="shared" si="270"/>
        <v>1.8365570951048356E-3</v>
      </c>
      <c r="N378">
        <f t="shared" si="271"/>
        <v>-1.5707963250000001</v>
      </c>
      <c r="O378">
        <f t="shared" si="272"/>
        <v>399.55528780553209</v>
      </c>
      <c r="P378">
        <f t="shared" si="273"/>
        <v>1.568293541637223</v>
      </c>
      <c r="Q378">
        <f t="shared" si="274"/>
        <v>311.82995749225876</v>
      </c>
      <c r="R378">
        <f t="shared" si="275"/>
        <v>1.567589445319945</v>
      </c>
      <c r="S378">
        <f t="shared" si="276"/>
        <v>0.22181921296397958</v>
      </c>
      <c r="T378">
        <f t="shared" si="277"/>
        <v>-1.3471165595430348</v>
      </c>
      <c r="U378">
        <f t="shared" si="278"/>
        <v>0.1444251732168732</v>
      </c>
      <c r="V378">
        <f t="shared" si="279"/>
        <v>-1.4258642962325114</v>
      </c>
      <c r="X378">
        <f t="shared" si="296"/>
        <v>-43.563010361497078</v>
      </c>
      <c r="Y378">
        <f t="shared" si="280"/>
        <v>-172.77935762823029</v>
      </c>
      <c r="Z378">
        <f t="shared" si="297"/>
        <v>7.2206423717697135</v>
      </c>
      <c r="AC378">
        <v>1</v>
      </c>
      <c r="AD378">
        <f t="shared" si="281"/>
        <v>399.55403641230004</v>
      </c>
      <c r="AE378">
        <f t="shared" si="282"/>
        <v>-0.16880414051702969</v>
      </c>
      <c r="AF378">
        <f t="shared" si="283"/>
        <v>2.4637877525772005E-2</v>
      </c>
      <c r="AG378">
        <f t="shared" si="315"/>
        <v>332.46528988643246</v>
      </c>
      <c r="AH378">
        <f t="shared" si="316"/>
        <v>-2318.443114723394</v>
      </c>
      <c r="AJ378">
        <f t="shared" si="284"/>
        <v>22100</v>
      </c>
      <c r="AK378">
        <f t="shared" si="285"/>
        <v>97148.665834431129</v>
      </c>
      <c r="AL378">
        <v>1</v>
      </c>
      <c r="AM378">
        <f t="shared" si="286"/>
        <v>311.8283540501472</v>
      </c>
      <c r="AN378">
        <f t="shared" si="317"/>
        <v>311.7693984024628</v>
      </c>
      <c r="AO378">
        <f t="shared" si="318"/>
        <v>-69.872512613441259</v>
      </c>
      <c r="AQ378">
        <f t="shared" si="287"/>
        <v>3.7180236027574351E-3</v>
      </c>
      <c r="AR378">
        <f t="shared" si="288"/>
        <v>-6.0975587085221932</v>
      </c>
      <c r="AT378">
        <f t="shared" si="313"/>
        <v>-14135.606890600055</v>
      </c>
      <c r="AU378">
        <f t="shared" si="314"/>
        <v>-2035.8466498505638</v>
      </c>
      <c r="AV378">
        <f t="shared" si="302"/>
        <v>-2.99855365216309</v>
      </c>
      <c r="AW378">
        <f t="shared" si="303"/>
        <v>205.48235774780636</v>
      </c>
      <c r="AX378">
        <f t="shared" si="304"/>
        <v>-4466.8366502183035</v>
      </c>
      <c r="AY378">
        <f t="shared" si="312"/>
        <v>-1.5248269724343821</v>
      </c>
      <c r="BA378">
        <f t="shared" si="289"/>
        <v>3.1938421991167183</v>
      </c>
      <c r="BB378">
        <f t="shared" si="305"/>
        <v>10.086269095499302</v>
      </c>
      <c r="BC378">
        <f t="shared" si="306"/>
        <v>-1.4737266797287079</v>
      </c>
      <c r="BD378">
        <f t="shared" si="290"/>
        <v>-264.43831900076776</v>
      </c>
      <c r="BF378">
        <f t="shared" si="291"/>
        <v>-50.77956545641382</v>
      </c>
      <c r="BG378">
        <f t="shared" si="292"/>
        <v>-188.01043714576718</v>
      </c>
      <c r="BH378">
        <f t="shared" si="307"/>
        <v>-8.0104371457671846</v>
      </c>
      <c r="BI378">
        <f t="shared" si="308"/>
        <v>-8.0104371457671846</v>
      </c>
      <c r="BJ378">
        <f t="shared" si="293"/>
        <v>0</v>
      </c>
      <c r="BK378">
        <f t="shared" si="309"/>
        <v>0</v>
      </c>
      <c r="BM378">
        <f t="shared" si="310"/>
        <v>-60.865834551913125</v>
      </c>
      <c r="BN378">
        <f t="shared" si="294"/>
        <v>-103.57211814499941</v>
      </c>
      <c r="BQ378" s="47">
        <f t="shared" si="311"/>
        <v>26.988229895784439</v>
      </c>
      <c r="BR378" s="529"/>
      <c r="BS378" s="529"/>
      <c r="BT378" s="529">
        <v>478630.092</v>
      </c>
      <c r="BU378" s="529">
        <v>13.0069</v>
      </c>
      <c r="BV378" s="529">
        <v>129.95699999999999</v>
      </c>
      <c r="BY378" s="529"/>
      <c r="BZ378" s="529"/>
      <c r="CA378" s="529"/>
      <c r="CC378" s="529"/>
    </row>
    <row r="379" spans="1:81">
      <c r="A379">
        <f t="shared" si="319"/>
        <v>825000</v>
      </c>
      <c r="B379">
        <f t="shared" si="295"/>
        <v>825</v>
      </c>
      <c r="C379">
        <f t="shared" si="264"/>
        <v>4.2657705832777371</v>
      </c>
      <c r="D379">
        <f t="shared" si="265"/>
        <v>1.3341700713363775</v>
      </c>
      <c r="F379">
        <f t="shared" si="266"/>
        <v>1.4055083409812291E-5</v>
      </c>
      <c r="G379">
        <f t="shared" si="267"/>
        <v>1.1303315161416583E-3</v>
      </c>
      <c r="H379">
        <f t="shared" si="268"/>
        <v>-3.1404623184838587</v>
      </c>
      <c r="J379">
        <f t="shared" si="269"/>
        <v>15</v>
      </c>
      <c r="M379">
        <f t="shared" si="270"/>
        <v>1.825426446043594E-3</v>
      </c>
      <c r="N379">
        <f t="shared" si="271"/>
        <v>-1.5707963250000001</v>
      </c>
      <c r="O379">
        <f t="shared" si="272"/>
        <v>401.99158532142923</v>
      </c>
      <c r="P379">
        <f t="shared" si="273"/>
        <v>1.5683087099693502</v>
      </c>
      <c r="Q379">
        <f t="shared" si="274"/>
        <v>313.73134017722214</v>
      </c>
      <c r="R379">
        <f t="shared" si="275"/>
        <v>1.5676088808332052</v>
      </c>
      <c r="S379">
        <f t="shared" si="276"/>
        <v>0.22054043073213264</v>
      </c>
      <c r="T379">
        <f t="shared" si="277"/>
        <v>-1.348427817757627</v>
      </c>
      <c r="U379">
        <f t="shared" si="278"/>
        <v>0.14356796455901433</v>
      </c>
      <c r="V379">
        <f t="shared" si="279"/>
        <v>-1.4267305326730877</v>
      </c>
      <c r="X379">
        <f t="shared" si="296"/>
        <v>-43.667857037451142</v>
      </c>
      <c r="Y379">
        <f t="shared" si="280"/>
        <v>-172.82294052973901</v>
      </c>
      <c r="Z379">
        <f t="shared" si="297"/>
        <v>7.1770594702609856</v>
      </c>
      <c r="AC379">
        <v>1</v>
      </c>
      <c r="AD379">
        <f t="shared" si="281"/>
        <v>401.99034151237504</v>
      </c>
      <c r="AE379">
        <f t="shared" si="282"/>
        <v>-0.17086900377662601</v>
      </c>
      <c r="AF379">
        <f t="shared" si="283"/>
        <v>2.4788108486295004E-2</v>
      </c>
      <c r="AG379">
        <f t="shared" si="315"/>
        <v>328.53043061199747</v>
      </c>
      <c r="AH379">
        <f t="shared" si="316"/>
        <v>-2304.9627776386196</v>
      </c>
      <c r="AJ379">
        <f t="shared" si="284"/>
        <v>22100</v>
      </c>
      <c r="AK379">
        <f t="shared" si="285"/>
        <v>97741.0357480557</v>
      </c>
      <c r="AL379">
        <v>1</v>
      </c>
      <c r="AM379">
        <f t="shared" si="286"/>
        <v>313.72974645289196</v>
      </c>
      <c r="AN379">
        <f t="shared" si="317"/>
        <v>311.7666906163563</v>
      </c>
      <c r="AO379">
        <f t="shared" si="318"/>
        <v>-69.449051470977579</v>
      </c>
      <c r="AQ379">
        <f t="shared" si="287"/>
        <v>3.6730932330236057E-3</v>
      </c>
      <c r="AR379">
        <f t="shared" si="288"/>
        <v>-6.0606038344889495</v>
      </c>
      <c r="AT379">
        <f t="shared" si="313"/>
        <v>-13968.259525609395</v>
      </c>
      <c r="AU379">
        <f t="shared" si="314"/>
        <v>-1999.5591306942933</v>
      </c>
      <c r="AV379">
        <f t="shared" si="302"/>
        <v>-2.9994084157616738</v>
      </c>
      <c r="AW379">
        <f t="shared" si="303"/>
        <v>206.84332035999611</v>
      </c>
      <c r="AX379">
        <f t="shared" si="304"/>
        <v>-4440.2921101591846</v>
      </c>
      <c r="AY379">
        <f t="shared" si="312"/>
        <v>-1.5242467095625365</v>
      </c>
      <c r="BA379">
        <f t="shared" si="289"/>
        <v>3.1744234047815754</v>
      </c>
      <c r="BB379">
        <f t="shared" si="305"/>
        <v>10.033297050119401</v>
      </c>
      <c r="BC379">
        <f t="shared" si="306"/>
        <v>-1.4751617061991373</v>
      </c>
      <c r="BD379">
        <f t="shared" si="290"/>
        <v>-264.52053996110692</v>
      </c>
      <c r="BF379">
        <f t="shared" si="291"/>
        <v>-50.888259322988027</v>
      </c>
      <c r="BG379">
        <f t="shared" si="292"/>
        <v>-188.01346240811688</v>
      </c>
      <c r="BH379">
        <f t="shared" si="307"/>
        <v>-8.0134624081168795</v>
      </c>
      <c r="BI379">
        <f t="shared" si="308"/>
        <v>-8.0134624081168795</v>
      </c>
      <c r="BJ379">
        <f t="shared" si="293"/>
        <v>0</v>
      </c>
      <c r="BK379">
        <f t="shared" si="309"/>
        <v>0</v>
      </c>
      <c r="BM379">
        <f t="shared" si="310"/>
        <v>-60.921556373107421</v>
      </c>
      <c r="BN379">
        <f t="shared" si="294"/>
        <v>-103.49292244700999</v>
      </c>
      <c r="BQ379" s="47">
        <f t="shared" si="311"/>
        <v>26.935257850404536</v>
      </c>
      <c r="BR379" s="529"/>
      <c r="BS379" s="529"/>
      <c r="BT379" s="529">
        <v>489778.81900000002</v>
      </c>
      <c r="BU379" s="529">
        <v>12.7394</v>
      </c>
      <c r="BV379" s="529">
        <v>126.41800000000001</v>
      </c>
      <c r="BY379" s="529"/>
      <c r="BZ379" s="529"/>
      <c r="CA379" s="529"/>
      <c r="CC379" s="529"/>
    </row>
    <row r="380" spans="1:81">
      <c r="A380">
        <f t="shared" si="319"/>
        <v>830000</v>
      </c>
      <c r="B380">
        <f t="shared" si="295"/>
        <v>830</v>
      </c>
      <c r="C380">
        <f t="shared" si="264"/>
        <v>4.2902070309383147</v>
      </c>
      <c r="D380">
        <f t="shared" si="265"/>
        <v>1.3355433676377628</v>
      </c>
      <c r="F380">
        <f t="shared" si="266"/>
        <v>1.3886252830726924E-5</v>
      </c>
      <c r="G380">
        <f t="shared" si="267"/>
        <v>1.1235221027917574E-3</v>
      </c>
      <c r="H380">
        <f t="shared" si="268"/>
        <v>-3.1404691278972083</v>
      </c>
      <c r="J380">
        <f t="shared" si="269"/>
        <v>15</v>
      </c>
      <c r="M380">
        <f t="shared" si="270"/>
        <v>1.8144299011879097E-3</v>
      </c>
      <c r="N380">
        <f t="shared" si="271"/>
        <v>-1.5707963250000001</v>
      </c>
      <c r="O380">
        <f t="shared" si="272"/>
        <v>404.42788292870159</v>
      </c>
      <c r="P380">
        <f t="shared" si="273"/>
        <v>1.568323695551612</v>
      </c>
      <c r="Q380">
        <f t="shared" si="274"/>
        <v>315.6327229792663</v>
      </c>
      <c r="R380">
        <f t="shared" si="275"/>
        <v>1.5676280821860196</v>
      </c>
      <c r="S380">
        <f t="shared" si="276"/>
        <v>0.21927593771853271</v>
      </c>
      <c r="T380">
        <f t="shared" si="277"/>
        <v>-1.3497240416909613</v>
      </c>
      <c r="U380">
        <f t="shared" si="278"/>
        <v>0.14272076626155519</v>
      </c>
      <c r="V380">
        <f t="shared" si="279"/>
        <v>-1.4275865463820987</v>
      </c>
      <c r="X380">
        <f t="shared" si="296"/>
        <v>-43.772079407487169</v>
      </c>
      <c r="Y380">
        <f t="shared" si="280"/>
        <v>-172.86600196466503</v>
      </c>
      <c r="Z380">
        <f t="shared" si="297"/>
        <v>7.1339980353349688</v>
      </c>
      <c r="AC380">
        <v>1</v>
      </c>
      <c r="AD380">
        <f t="shared" si="281"/>
        <v>404.42664661245004</v>
      </c>
      <c r="AE380">
        <f t="shared" si="282"/>
        <v>-0.17294641939646305</v>
      </c>
      <c r="AF380">
        <f t="shared" si="283"/>
        <v>2.4938339446818E-2</v>
      </c>
      <c r="AG380">
        <f t="shared" si="315"/>
        <v>324.66453748189861</v>
      </c>
      <c r="AH380">
        <f t="shared" si="316"/>
        <v>-2291.6349095486835</v>
      </c>
      <c r="AJ380">
        <f t="shared" si="284"/>
        <v>22100</v>
      </c>
      <c r="AK380">
        <f t="shared" si="285"/>
        <v>98333.405661680285</v>
      </c>
      <c r="AL380">
        <v>1</v>
      </c>
      <c r="AM380">
        <f t="shared" si="286"/>
        <v>315.63113885563678</v>
      </c>
      <c r="AN380">
        <f t="shared" si="317"/>
        <v>311.76403161794167</v>
      </c>
      <c r="AO380">
        <f t="shared" si="318"/>
        <v>-69.030692115417523</v>
      </c>
      <c r="AQ380">
        <f t="shared" si="287"/>
        <v>3.6289724092856694E-3</v>
      </c>
      <c r="AR380">
        <f t="shared" si="288"/>
        <v>-6.0240941994142112</v>
      </c>
      <c r="AT380">
        <f t="shared" si="313"/>
        <v>-13803.84636713854</v>
      </c>
      <c r="AU380">
        <f t="shared" si="314"/>
        <v>-1964.1260368591111</v>
      </c>
      <c r="AV380">
        <f t="shared" si="302"/>
        <v>-3.0002530948545965</v>
      </c>
      <c r="AW380">
        <f t="shared" si="303"/>
        <v>208.17791322585612</v>
      </c>
      <c r="AX380">
        <f t="shared" si="304"/>
        <v>-4414.0582088437068</v>
      </c>
      <c r="AY380">
        <f t="shared" si="312"/>
        <v>-1.5236687722711011</v>
      </c>
      <c r="BA380">
        <f t="shared" si="289"/>
        <v>3.1552373910100795</v>
      </c>
      <c r="BB380">
        <f t="shared" si="305"/>
        <v>9.9806407976078155</v>
      </c>
      <c r="BC380">
        <f t="shared" si="306"/>
        <v>-1.4765843225834954</v>
      </c>
      <c r="BD380">
        <f t="shared" si="290"/>
        <v>-264.60204987588992</v>
      </c>
      <c r="BF380">
        <f t="shared" si="291"/>
        <v>-50.996267649526771</v>
      </c>
      <c r="BG380">
        <f t="shared" si="292"/>
        <v>-188.01667839136601</v>
      </c>
      <c r="BH380">
        <f t="shared" si="307"/>
        <v>-8.016678391366014</v>
      </c>
      <c r="BI380">
        <f t="shared" si="308"/>
        <v>-8.016678391366014</v>
      </c>
      <c r="BJ380">
        <f t="shared" si="293"/>
        <v>0</v>
      </c>
      <c r="BK380">
        <f t="shared" si="309"/>
        <v>0</v>
      </c>
      <c r="BM380">
        <f t="shared" si="310"/>
        <v>-60.976908447134583</v>
      </c>
      <c r="BN380">
        <f t="shared" si="294"/>
        <v>-103.41462851547611</v>
      </c>
      <c r="BQ380" s="47">
        <f t="shared" si="311"/>
        <v>26.88260159789295</v>
      </c>
      <c r="BR380" s="529"/>
      <c r="BS380" s="529"/>
      <c r="BT380" s="529">
        <v>501187.234</v>
      </c>
      <c r="BU380" s="529">
        <v>12.4757</v>
      </c>
      <c r="BV380" s="529">
        <v>125.40900000000001</v>
      </c>
      <c r="BY380" s="529"/>
      <c r="BZ380" s="529"/>
      <c r="CA380" s="529"/>
      <c r="CC380" s="529"/>
    </row>
    <row r="381" spans="1:81">
      <c r="A381">
        <f t="shared" si="319"/>
        <v>835000</v>
      </c>
      <c r="B381">
        <f t="shared" si="295"/>
        <v>835</v>
      </c>
      <c r="C381">
        <f t="shared" si="264"/>
        <v>4.3146514780255263</v>
      </c>
      <c r="D381">
        <f t="shared" si="265"/>
        <v>1.336901105789482</v>
      </c>
      <c r="F381">
        <f t="shared" si="266"/>
        <v>1.3720446100619495E-5</v>
      </c>
      <c r="G381">
        <f t="shared" si="267"/>
        <v>1.1167942426377657E-3</v>
      </c>
      <c r="H381">
        <f t="shared" si="268"/>
        <v>-3.1404758557573627</v>
      </c>
      <c r="J381">
        <f t="shared" si="269"/>
        <v>15</v>
      </c>
      <c r="M381">
        <f t="shared" si="270"/>
        <v>1.8035650514801977E-3</v>
      </c>
      <c r="N381">
        <f t="shared" si="271"/>
        <v>-1.5707963250000001</v>
      </c>
      <c r="O381">
        <f t="shared" si="272"/>
        <v>406.86418062570766</v>
      </c>
      <c r="P381">
        <f t="shared" si="273"/>
        <v>1.5683385016669136</v>
      </c>
      <c r="Q381">
        <f t="shared" si="274"/>
        <v>317.534105896288</v>
      </c>
      <c r="R381">
        <f t="shared" si="275"/>
        <v>1.5676470535848073</v>
      </c>
      <c r="S381">
        <f t="shared" si="276"/>
        <v>0.218025502178115</v>
      </c>
      <c r="T381">
        <f t="shared" si="277"/>
        <v>-1.3510054841515009</v>
      </c>
      <c r="U381">
        <f t="shared" si="278"/>
        <v>0.1418834058424025</v>
      </c>
      <c r="V381">
        <f t="shared" si="279"/>
        <v>-1.4284325160279683</v>
      </c>
      <c r="X381">
        <f t="shared" si="296"/>
        <v>-43.875684803534497</v>
      </c>
      <c r="Y381">
        <f t="shared" si="280"/>
        <v>-172.90855120291079</v>
      </c>
      <c r="Z381">
        <f t="shared" si="297"/>
        <v>7.0914487970892139</v>
      </c>
      <c r="AC381">
        <v>1</v>
      </c>
      <c r="AD381">
        <f t="shared" si="281"/>
        <v>406.86295171252505</v>
      </c>
      <c r="AE381">
        <f t="shared" si="282"/>
        <v>-0.17503638737654079</v>
      </c>
      <c r="AF381">
        <f t="shared" si="283"/>
        <v>2.5088570407341002E-2</v>
      </c>
      <c r="AG381">
        <f t="shared" si="315"/>
        <v>320.86601931918983</v>
      </c>
      <c r="AH381">
        <f t="shared" si="316"/>
        <v>-2278.4569995584993</v>
      </c>
      <c r="AJ381">
        <f t="shared" si="284"/>
        <v>22100</v>
      </c>
      <c r="AK381">
        <f t="shared" si="285"/>
        <v>98925.77557530487</v>
      </c>
      <c r="AL381">
        <v>1</v>
      </c>
      <c r="AM381">
        <f t="shared" si="286"/>
        <v>317.5325312583816</v>
      </c>
      <c r="AN381">
        <f t="shared" si="317"/>
        <v>311.76142024217671</v>
      </c>
      <c r="AO381">
        <f t="shared" si="318"/>
        <v>-68.617342901563561</v>
      </c>
      <c r="AQ381">
        <f t="shared" si="287"/>
        <v>3.585641799404138E-3</v>
      </c>
      <c r="AR381">
        <f t="shared" si="288"/>
        <v>-5.9880218050049105</v>
      </c>
      <c r="AT381">
        <f t="shared" si="313"/>
        <v>-13642.299684511478</v>
      </c>
      <c r="AU381">
        <f t="shared" si="314"/>
        <v>-1929.5224508241974</v>
      </c>
      <c r="AV381">
        <f t="shared" si="302"/>
        <v>-3.0010878656272082</v>
      </c>
      <c r="AW381">
        <f t="shared" si="303"/>
        <v>209.48681941043682</v>
      </c>
      <c r="AX381">
        <f t="shared" si="304"/>
        <v>-4388.1295760711164</v>
      </c>
      <c r="AY381">
        <f t="shared" si="312"/>
        <v>-1.5230931108444479</v>
      </c>
      <c r="BA381">
        <f t="shared" si="289"/>
        <v>3.1362799937872894</v>
      </c>
      <c r="BB381">
        <f t="shared" si="305"/>
        <v>9.9282965542829018</v>
      </c>
      <c r="BC381">
        <f t="shared" si="306"/>
        <v>-1.4779947547827603</v>
      </c>
      <c r="BD381">
        <f t="shared" si="290"/>
        <v>-264.68286168828945</v>
      </c>
      <c r="BF381">
        <f t="shared" si="291"/>
        <v>-51.103599208815076</v>
      </c>
      <c r="BG381">
        <f t="shared" si="292"/>
        <v>-188.02008301589174</v>
      </c>
      <c r="BH381">
        <f t="shared" si="307"/>
        <v>-8.0200830158917427</v>
      </c>
      <c r="BI381">
        <f t="shared" si="308"/>
        <v>-8.0200830158917427</v>
      </c>
      <c r="BJ381">
        <f t="shared" si="293"/>
        <v>0</v>
      </c>
      <c r="BK381">
        <f t="shared" si="309"/>
        <v>0</v>
      </c>
      <c r="BM381">
        <f t="shared" si="310"/>
        <v>-61.031895763097985</v>
      </c>
      <c r="BN381">
        <f t="shared" si="294"/>
        <v>-103.33722132760226</v>
      </c>
      <c r="BQ381" s="47">
        <f t="shared" si="311"/>
        <v>26.830257354568037</v>
      </c>
      <c r="BR381" s="529"/>
      <c r="BS381" s="529"/>
      <c r="BT381" s="529">
        <v>512861.38400000002</v>
      </c>
      <c r="BU381" s="529">
        <v>12.1639</v>
      </c>
      <c r="BV381" s="529">
        <v>124.027</v>
      </c>
      <c r="BY381" s="529"/>
      <c r="BZ381" s="529"/>
      <c r="CA381" s="529"/>
      <c r="CC381" s="529"/>
    </row>
    <row r="382" spans="1:81">
      <c r="A382">
        <f t="shared" si="319"/>
        <v>840000</v>
      </c>
      <c r="B382">
        <f t="shared" si="295"/>
        <v>840</v>
      </c>
      <c r="C382">
        <f t="shared" si="264"/>
        <v>4.339103789344481</v>
      </c>
      <c r="D382">
        <f t="shared" si="265"/>
        <v>1.3382435437691578</v>
      </c>
      <c r="F382">
        <f t="shared" si="266"/>
        <v>1.3557591436204084E-5</v>
      </c>
      <c r="G382">
        <f t="shared" si="267"/>
        <v>1.1101464792939041E-3</v>
      </c>
      <c r="H382">
        <f t="shared" si="268"/>
        <v>-3.1404825035207065</v>
      </c>
      <c r="J382">
        <f t="shared" si="269"/>
        <v>15</v>
      </c>
      <c r="M382">
        <f t="shared" si="270"/>
        <v>1.7928295452213868E-3</v>
      </c>
      <c r="N382">
        <f t="shared" si="271"/>
        <v>-1.5707963250000001</v>
      </c>
      <c r="O382">
        <f t="shared" si="272"/>
        <v>409.30047841084519</v>
      </c>
      <c r="P382">
        <f t="shared" si="273"/>
        <v>1.5683531315199961</v>
      </c>
      <c r="Q382">
        <f t="shared" si="274"/>
        <v>319.4354889262342</v>
      </c>
      <c r="R382">
        <f t="shared" si="275"/>
        <v>1.567665799135836</v>
      </c>
      <c r="S382">
        <f t="shared" si="276"/>
        <v>0.21678889720025932</v>
      </c>
      <c r="T382">
        <f t="shared" si="277"/>
        <v>-1.3522723924088385</v>
      </c>
      <c r="U382">
        <f t="shared" si="278"/>
        <v>0.14105571471607151</v>
      </c>
      <c r="V382">
        <f t="shared" si="279"/>
        <v>-1.4292686161682759</v>
      </c>
      <c r="X382">
        <f t="shared" si="296"/>
        <v>-43.978680430224912</v>
      </c>
      <c r="Y382">
        <f t="shared" si="280"/>
        <v>-172.95059729691863</v>
      </c>
      <c r="Z382">
        <f t="shared" si="297"/>
        <v>7.0494027030813697</v>
      </c>
      <c r="AC382">
        <v>1</v>
      </c>
      <c r="AD382">
        <f t="shared" si="281"/>
        <v>409.29925681259999</v>
      </c>
      <c r="AE382">
        <f t="shared" si="282"/>
        <v>-0.17713890771685922</v>
      </c>
      <c r="AF382">
        <f t="shared" si="283"/>
        <v>2.5238801367864005E-2</v>
      </c>
      <c r="AG382">
        <f t="shared" si="315"/>
        <v>317.13333024973292</v>
      </c>
      <c r="AH382">
        <f t="shared" si="316"/>
        <v>-2265.4265901014387</v>
      </c>
      <c r="AJ382">
        <f t="shared" si="284"/>
        <v>22100</v>
      </c>
      <c r="AK382">
        <f t="shared" si="285"/>
        <v>99518.14548892944</v>
      </c>
      <c r="AL382">
        <v>1</v>
      </c>
      <c r="AM382">
        <f t="shared" si="286"/>
        <v>319.43392366112641</v>
      </c>
      <c r="AN382">
        <f t="shared" si="317"/>
        <v>311.75885535858868</v>
      </c>
      <c r="AO382">
        <f t="shared" si="318"/>
        <v>-68.208914366138558</v>
      </c>
      <c r="AQ382">
        <f t="shared" si="287"/>
        <v>3.5430826448828497E-3</v>
      </c>
      <c r="AR382">
        <f t="shared" si="288"/>
        <v>-5.9523788434031877</v>
      </c>
      <c r="AT382">
        <f t="shared" si="313"/>
        <v>-13483.553676604308</v>
      </c>
      <c r="AU382">
        <f t="shared" si="314"/>
        <v>-1895.7243191511509</v>
      </c>
      <c r="AV382">
        <f t="shared" si="302"/>
        <v>-3.0019129002131342</v>
      </c>
      <c r="AW382">
        <f t="shared" si="303"/>
        <v>210.77069988030175</v>
      </c>
      <c r="AX382">
        <f t="shared" si="304"/>
        <v>-4362.5009635652568</v>
      </c>
      <c r="AY382">
        <f t="shared" si="312"/>
        <v>-1.5225196769997911</v>
      </c>
      <c r="BA382">
        <f t="shared" si="289"/>
        <v>3.1175471476355496</v>
      </c>
      <c r="BB382">
        <f t="shared" si="305"/>
        <v>9.8762606034165508</v>
      </c>
      <c r="BC382">
        <f t="shared" si="306"/>
        <v>-1.4793932232133431</v>
      </c>
      <c r="BD382">
        <f t="shared" si="290"/>
        <v>-264.76298802723574</v>
      </c>
      <c r="BF382">
        <f t="shared" si="291"/>
        <v>-51.210262605534098</v>
      </c>
      <c r="BG382">
        <f t="shared" si="292"/>
        <v>-188.02367421303981</v>
      </c>
      <c r="BH382">
        <f t="shared" si="307"/>
        <v>-8.0236742130398113</v>
      </c>
      <c r="BI382">
        <f t="shared" si="308"/>
        <v>-8.0236742130398113</v>
      </c>
      <c r="BJ382">
        <f t="shared" si="293"/>
        <v>0</v>
      </c>
      <c r="BK382">
        <f t="shared" si="309"/>
        <v>0</v>
      </c>
      <c r="BM382">
        <f t="shared" si="310"/>
        <v>-61.086523208950645</v>
      </c>
      <c r="BN382">
        <f t="shared" si="294"/>
        <v>-103.26068618580412</v>
      </c>
      <c r="BQ382" s="47">
        <f t="shared" si="311"/>
        <v>26.778221403701686</v>
      </c>
      <c r="BR382" s="529"/>
      <c r="BS382" s="529"/>
      <c r="BT382" s="529">
        <v>524807.46</v>
      </c>
      <c r="BU382" s="529">
        <v>11.9579</v>
      </c>
      <c r="BV382" s="529">
        <v>122.795</v>
      </c>
      <c r="BY382" s="529"/>
      <c r="BZ382" s="529"/>
      <c r="CA382" s="529"/>
      <c r="CC382" s="529"/>
    </row>
    <row r="383" spans="1:81">
      <c r="A383">
        <f t="shared" si="319"/>
        <v>845000</v>
      </c>
      <c r="B383">
        <f t="shared" si="295"/>
        <v>845</v>
      </c>
      <c r="C383">
        <f t="shared" si="264"/>
        <v>4.3635638326876647</v>
      </c>
      <c r="D383">
        <f t="shared" si="265"/>
        <v>1.3395709339934037</v>
      </c>
      <c r="F383">
        <f t="shared" si="266"/>
        <v>1.3397619171714118E-5</v>
      </c>
      <c r="G383">
        <f t="shared" si="267"/>
        <v>1.1035773908473724E-3</v>
      </c>
      <c r="H383">
        <f t="shared" si="268"/>
        <v>-3.140489072609153</v>
      </c>
      <c r="J383">
        <f t="shared" si="269"/>
        <v>15</v>
      </c>
      <c r="M383">
        <f t="shared" si="270"/>
        <v>1.7822210863739231E-3</v>
      </c>
      <c r="N383">
        <f t="shared" si="271"/>
        <v>-1.5707963250000001</v>
      </c>
      <c r="O383">
        <f t="shared" si="272"/>
        <v>411.73677628254956</v>
      </c>
      <c r="P383">
        <f t="shared" si="273"/>
        <v>1.5683675882397501</v>
      </c>
      <c r="Q383">
        <f t="shared" si="274"/>
        <v>321.33687206710027</v>
      </c>
      <c r="R383">
        <f t="shared" si="275"/>
        <v>1.5676843228481856</v>
      </c>
      <c r="S383">
        <f t="shared" si="276"/>
        <v>0.2155659005877982</v>
      </c>
      <c r="T383">
        <f t="shared" si="277"/>
        <v>-1.3535250083417807</v>
      </c>
      <c r="U383">
        <f t="shared" si="278"/>
        <v>0.14023752808553605</v>
      </c>
      <c r="V383">
        <f t="shared" si="279"/>
        <v>-1.4300950173664813</v>
      </c>
      <c r="X383">
        <f t="shared" si="296"/>
        <v>-44.081073367794836</v>
      </c>
      <c r="Y383">
        <f t="shared" si="280"/>
        <v>-172.99214908797725</v>
      </c>
      <c r="Z383">
        <f t="shared" si="297"/>
        <v>7.0078509120227466</v>
      </c>
      <c r="AC383">
        <v>1</v>
      </c>
      <c r="AD383">
        <f t="shared" si="281"/>
        <v>411.73556191267505</v>
      </c>
      <c r="AE383">
        <f t="shared" si="282"/>
        <v>-0.17925398041741838</v>
      </c>
      <c r="AF383">
        <f t="shared" si="283"/>
        <v>2.5389032328387E-2</v>
      </c>
      <c r="AG383">
        <f t="shared" si="315"/>
        <v>313.46496817436918</v>
      </c>
      <c r="AH383">
        <f t="shared" si="316"/>
        <v>-2252.5412755779653</v>
      </c>
      <c r="AJ383">
        <f t="shared" si="284"/>
        <v>22100</v>
      </c>
      <c r="AK383">
        <f t="shared" si="285"/>
        <v>100110.51540255403</v>
      </c>
      <c r="AL383">
        <v>1</v>
      </c>
      <c r="AM383">
        <f t="shared" si="286"/>
        <v>321.33531606387118</v>
      </c>
      <c r="AN383">
        <f t="shared" si="317"/>
        <v>311.75633587005115</v>
      </c>
      <c r="AO383">
        <f t="shared" si="318"/>
        <v>-67.805319163235538</v>
      </c>
      <c r="AQ383">
        <f t="shared" si="287"/>
        <v>3.5012767405634463E-3</v>
      </c>
      <c r="AR383">
        <f t="shared" si="288"/>
        <v>-5.9171576915522248</v>
      </c>
      <c r="AT383">
        <f t="shared" si="313"/>
        <v>-13327.544406722966</v>
      </c>
      <c r="AU383">
        <f t="shared" si="314"/>
        <v>-1862.7084178404823</v>
      </c>
      <c r="AV383">
        <f t="shared" si="302"/>
        <v>-3.0027283668092517</v>
      </c>
      <c r="AW383">
        <f t="shared" si="303"/>
        <v>212.03019435827153</v>
      </c>
      <c r="AX383">
        <f t="shared" si="304"/>
        <v>-4337.1672415659805</v>
      </c>
      <c r="AY383">
        <f t="shared" si="312"/>
        <v>-1.521948423836377</v>
      </c>
      <c r="BA383">
        <f t="shared" si="289"/>
        <v>3.0990348827241787</v>
      </c>
      <c r="BB383">
        <f t="shared" si="305"/>
        <v>9.8245292936747433</v>
      </c>
      <c r="BC383">
        <f t="shared" si="306"/>
        <v>-1.4807799429728747</v>
      </c>
      <c r="BD383">
        <f t="shared" si="290"/>
        <v>-264.84244121691506</v>
      </c>
      <c r="BF383">
        <f t="shared" si="291"/>
        <v>-51.316266280530726</v>
      </c>
      <c r="BG383">
        <f t="shared" si="292"/>
        <v>-188.02744992605975</v>
      </c>
      <c r="BH383">
        <f t="shared" si="307"/>
        <v>-8.0274499260597452</v>
      </c>
      <c r="BI383">
        <f t="shared" si="308"/>
        <v>-8.0274499260597452</v>
      </c>
      <c r="BJ383">
        <f t="shared" si="293"/>
        <v>0</v>
      </c>
      <c r="BK383">
        <f t="shared" si="309"/>
        <v>0</v>
      </c>
      <c r="BM383">
        <f t="shared" si="310"/>
        <v>-61.14079557420547</v>
      </c>
      <c r="BN383">
        <f t="shared" si="294"/>
        <v>-103.18500870914465</v>
      </c>
      <c r="BQ383" s="47">
        <f t="shared" si="311"/>
        <v>26.726490093959882</v>
      </c>
      <c r="BR383" s="529"/>
      <c r="BS383" s="529"/>
      <c r="BT383" s="529">
        <v>537031.79599999997</v>
      </c>
      <c r="BU383" s="529">
        <v>11.690200000000001</v>
      </c>
      <c r="BV383" s="529">
        <v>121.76300000000001</v>
      </c>
      <c r="BY383" s="529"/>
      <c r="BZ383" s="529"/>
      <c r="CA383" s="529"/>
      <c r="CC383" s="529"/>
    </row>
    <row r="384" spans="1:81">
      <c r="A384">
        <f t="shared" si="319"/>
        <v>850000</v>
      </c>
      <c r="B384">
        <f t="shared" si="295"/>
        <v>850</v>
      </c>
      <c r="C384">
        <f t="shared" si="264"/>
        <v>4.3880314787540593</v>
      </c>
      <c r="D384">
        <f t="shared" si="265"/>
        <v>1.340883523463726</v>
      </c>
      <c r="F384">
        <f t="shared" si="266"/>
        <v>1.3240461684384788E-5</v>
      </c>
      <c r="G384">
        <f t="shared" si="267"/>
        <v>1.0970855888443544E-3</v>
      </c>
      <c r="H384">
        <f t="shared" si="268"/>
        <v>-3.1404955644111561</v>
      </c>
      <c r="J384">
        <f t="shared" si="269"/>
        <v>15</v>
      </c>
      <c r="M384">
        <f t="shared" si="270"/>
        <v>1.7717374329246649E-3</v>
      </c>
      <c r="N384">
        <f t="shared" si="271"/>
        <v>-1.5707963250000001</v>
      </c>
      <c r="O384">
        <f t="shared" si="272"/>
        <v>414.17307423929327</v>
      </c>
      <c r="P384">
        <f t="shared" si="273"/>
        <v>1.5683818748814455</v>
      </c>
      <c r="Q384">
        <f t="shared" si="274"/>
        <v>323.23825531692881</v>
      </c>
      <c r="R384">
        <f t="shared" si="275"/>
        <v>1.5677026286366056</v>
      </c>
      <c r="S384">
        <f t="shared" si="276"/>
        <v>0.21435629473948203</v>
      </c>
      <c r="T384">
        <f t="shared" si="277"/>
        <v>-1.3547635685818014</v>
      </c>
      <c r="U384">
        <f t="shared" si="278"/>
        <v>0.13942868483761639</v>
      </c>
      <c r="V384">
        <f t="shared" si="279"/>
        <v>-1.4309118863047239</v>
      </c>
      <c r="X384">
        <f t="shared" si="296"/>
        <v>-44.182870574906168</v>
      </c>
      <c r="Y384">
        <f t="shared" si="280"/>
        <v>-173.03321521231044</v>
      </c>
      <c r="Z384">
        <f t="shared" si="297"/>
        <v>6.9667847876895621</v>
      </c>
      <c r="AC384">
        <v>1</v>
      </c>
      <c r="AD384">
        <f t="shared" si="281"/>
        <v>414.17186701275006</v>
      </c>
      <c r="AE384">
        <f t="shared" si="282"/>
        <v>-0.18138160547821824</v>
      </c>
      <c r="AF384">
        <f t="shared" si="283"/>
        <v>2.5539263288910003E-2</v>
      </c>
      <c r="AG384">
        <f t="shared" si="315"/>
        <v>309.85947330041819</v>
      </c>
      <c r="AH384">
        <f t="shared" si="316"/>
        <v>-2239.7987010339612</v>
      </c>
      <c r="AJ384">
        <f t="shared" si="284"/>
        <v>22100</v>
      </c>
      <c r="AK384">
        <f t="shared" si="285"/>
        <v>100702.8853161786</v>
      </c>
      <c r="AL384">
        <v>1</v>
      </c>
      <c r="AM384">
        <f t="shared" si="286"/>
        <v>323.23670846661599</v>
      </c>
      <c r="AN384">
        <f t="shared" si="317"/>
        <v>311.75386071160983</v>
      </c>
      <c r="AO384">
        <f t="shared" si="318"/>
        <v>-67.406472002045803</v>
      </c>
      <c r="AQ384">
        <f t="shared" si="287"/>
        <v>3.4602064151534897E-3</v>
      </c>
      <c r="AR384">
        <f t="shared" si="288"/>
        <v>-5.8823509057609327</v>
      </c>
      <c r="AT384">
        <f t="shared" si="313"/>
        <v>-13174.209740011971</v>
      </c>
      <c r="AU384">
        <f t="shared" si="314"/>
        <v>-1830.4523192612905</v>
      </c>
      <c r="AV384">
        <f t="shared" si="302"/>
        <v>-3.003534429786801</v>
      </c>
      <c r="AW384">
        <f t="shared" si="303"/>
        <v>213.26592213981897</v>
      </c>
      <c r="AX384">
        <f t="shared" si="304"/>
        <v>-4312.12339553321</v>
      </c>
      <c r="AY384">
        <f t="shared" si="312"/>
        <v>-1.5213793057868013</v>
      </c>
      <c r="BA384">
        <f t="shared" si="289"/>
        <v>3.0807393220799733</v>
      </c>
      <c r="BB384">
        <f t="shared" si="305"/>
        <v>9.7730990376028082</v>
      </c>
      <c r="BC384">
        <f t="shared" si="306"/>
        <v>-1.4821551239999997</v>
      </c>
      <c r="BD384">
        <f t="shared" si="290"/>
        <v>-264.92123328592584</v>
      </c>
      <c r="BF384">
        <f t="shared" si="291"/>
        <v>-51.421618514953202</v>
      </c>
      <c r="BG384">
        <f t="shared" si="292"/>
        <v>-188.03140811095841</v>
      </c>
      <c r="BH384">
        <f t="shared" si="307"/>
        <v>-8.0314081109584095</v>
      </c>
      <c r="BI384">
        <f t="shared" si="308"/>
        <v>-8.0314081109584095</v>
      </c>
      <c r="BJ384">
        <f t="shared" si="293"/>
        <v>0</v>
      </c>
      <c r="BK384">
        <f t="shared" si="309"/>
        <v>0</v>
      </c>
      <c r="BM384">
        <f t="shared" si="310"/>
        <v>-61.194717552556014</v>
      </c>
      <c r="BN384">
        <f t="shared" si="294"/>
        <v>-103.11017482503259</v>
      </c>
      <c r="BQ384" s="47">
        <f t="shared" si="311"/>
        <v>26.675059837887943</v>
      </c>
      <c r="BR384" s="529"/>
      <c r="BS384" s="529"/>
      <c r="BT384" s="529">
        <v>549540.87399999995</v>
      </c>
      <c r="BU384" s="529">
        <v>11.575799999999999</v>
      </c>
      <c r="BV384" s="529">
        <v>121.762</v>
      </c>
      <c r="BY384" s="529"/>
      <c r="BZ384" s="529"/>
      <c r="CA384" s="529"/>
      <c r="CC384" s="529"/>
    </row>
    <row r="385" spans="1:81">
      <c r="A385">
        <f t="shared" si="319"/>
        <v>855000</v>
      </c>
      <c r="B385">
        <f t="shared" si="295"/>
        <v>855</v>
      </c>
      <c r="C385">
        <f t="shared" si="264"/>
        <v>4.4125066010708309</v>
      </c>
      <c r="D385">
        <f t="shared" si="265"/>
        <v>1.3421815539079622</v>
      </c>
      <c r="F385">
        <f t="shared" si="266"/>
        <v>1.3086053322977086E-5</v>
      </c>
      <c r="G385">
        <f t="shared" si="267"/>
        <v>1.0906697173116106E-3</v>
      </c>
      <c r="H385">
        <f t="shared" si="268"/>
        <v>-3.1405019802826888</v>
      </c>
      <c r="J385">
        <f t="shared" si="269"/>
        <v>15</v>
      </c>
      <c r="M385">
        <f t="shared" si="270"/>
        <v>1.7613763953052224E-3</v>
      </c>
      <c r="N385">
        <f t="shared" si="271"/>
        <v>-1.5707963250000001</v>
      </c>
      <c r="O385">
        <f t="shared" si="272"/>
        <v>416.60937227958431</v>
      </c>
      <c r="P385">
        <f t="shared" si="273"/>
        <v>1.5683959944288848</v>
      </c>
      <c r="Q385">
        <f t="shared" si="274"/>
        <v>325.13963867380829</v>
      </c>
      <c r="R385">
        <f t="shared" si="275"/>
        <v>1.5677207203242745</v>
      </c>
      <c r="S385">
        <f t="shared" si="276"/>
        <v>0.21315986653579283</v>
      </c>
      <c r="T385">
        <f t="shared" si="277"/>
        <v>-1.3559883046520289</v>
      </c>
      <c r="U385">
        <f t="shared" si="278"/>
        <v>0.13862902744177166</v>
      </c>
      <c r="V385">
        <f t="shared" si="279"/>
        <v>-1.4317193858928488</v>
      </c>
      <c r="X385">
        <f t="shared" si="296"/>
        <v>-44.284078891388418</v>
      </c>
      <c r="Y385">
        <f t="shared" si="280"/>
        <v>-173.07380410695831</v>
      </c>
      <c r="Z385">
        <f t="shared" si="297"/>
        <v>6.9261958930416938</v>
      </c>
      <c r="AC385">
        <v>1</v>
      </c>
      <c r="AD385">
        <f t="shared" si="281"/>
        <v>416.60817211282506</v>
      </c>
      <c r="AE385">
        <f t="shared" si="282"/>
        <v>-0.18352178289925877</v>
      </c>
      <c r="AF385">
        <f t="shared" si="283"/>
        <v>2.5689494249433002E-2</v>
      </c>
      <c r="AG385">
        <f t="shared" si="315"/>
        <v>306.315426729904</v>
      </c>
      <c r="AH385">
        <f t="shared" si="316"/>
        <v>-2227.1965608774908</v>
      </c>
      <c r="AJ385">
        <f t="shared" si="284"/>
        <v>22100</v>
      </c>
      <c r="AK385">
        <f t="shared" si="285"/>
        <v>101295.25522980318</v>
      </c>
      <c r="AL385">
        <v>1</v>
      </c>
      <c r="AM385">
        <f t="shared" si="286"/>
        <v>325.13810086936081</v>
      </c>
      <c r="AN385">
        <f t="shared" si="317"/>
        <v>311.75142884935804</v>
      </c>
      <c r="AO385">
        <f t="shared" si="318"/>
        <v>-67.012289586771843</v>
      </c>
      <c r="AQ385">
        <f t="shared" si="287"/>
        <v>3.4198545125493271E-3</v>
      </c>
      <c r="AR385">
        <f t="shared" si="288"/>
        <v>-5.8479512164593492</v>
      </c>
      <c r="AT385">
        <f t="shared" si="313"/>
        <v>-13023.489283283236</v>
      </c>
      <c r="AU385">
        <f t="shared" si="314"/>
        <v>-1798.934360574458</v>
      </c>
      <c r="AV385">
        <f t="shared" si="302"/>
        <v>-3.0043312497987835</v>
      </c>
      <c r="AW385">
        <f t="shared" si="303"/>
        <v>214.47848287307704</v>
      </c>
      <c r="AX385">
        <f t="shared" si="304"/>
        <v>-4287.364522959374</v>
      </c>
      <c r="AY385">
        <f t="shared" si="312"/>
        <v>-1.5208122785703493</v>
      </c>
      <c r="BA385">
        <f t="shared" si="289"/>
        <v>3.0626566788944825</v>
      </c>
      <c r="BB385">
        <f t="shared" si="305"/>
        <v>9.7219663101539027</v>
      </c>
      <c r="BC385">
        <f t="shared" si="306"/>
        <v>-1.4835189712284342</v>
      </c>
      <c r="BD385">
        <f t="shared" si="290"/>
        <v>-264.99937597610506</v>
      </c>
      <c r="BF385">
        <f t="shared" si="291"/>
        <v>-51.526327434257496</v>
      </c>
      <c r="BG385">
        <f t="shared" si="292"/>
        <v>-188.03554673727953</v>
      </c>
      <c r="BH385">
        <f t="shared" si="307"/>
        <v>-8.0355467372795317</v>
      </c>
      <c r="BI385">
        <f t="shared" si="308"/>
        <v>-8.0355467372795317</v>
      </c>
      <c r="BJ385">
        <f t="shared" si="293"/>
        <v>0</v>
      </c>
      <c r="BK385">
        <f t="shared" si="309"/>
        <v>0</v>
      </c>
      <c r="BM385">
        <f t="shared" si="310"/>
        <v>-61.248293744411406</v>
      </c>
      <c r="BN385">
        <f t="shared" si="294"/>
        <v>-103.03617076117452</v>
      </c>
      <c r="BQ385" s="47">
        <f t="shared" si="311"/>
        <v>26.623927110439038</v>
      </c>
      <c r="BR385" s="529"/>
      <c r="BS385" s="529"/>
      <c r="BT385" s="529">
        <v>562341.32499999995</v>
      </c>
      <c r="BU385" s="529">
        <v>11.314</v>
      </c>
      <c r="BV385" s="529">
        <v>119.89400000000001</v>
      </c>
      <c r="BY385" s="529"/>
      <c r="BZ385" s="529"/>
      <c r="CA385" s="529"/>
      <c r="CC385" s="529"/>
    </row>
    <row r="386" spans="1:81">
      <c r="A386">
        <f t="shared" si="319"/>
        <v>860000</v>
      </c>
      <c r="B386">
        <f t="shared" si="295"/>
        <v>860</v>
      </c>
      <c r="C386">
        <f t="shared" si="264"/>
        <v>4.4369890759175004</v>
      </c>
      <c r="D386">
        <f t="shared" si="265"/>
        <v>1.3434652619174099</v>
      </c>
      <c r="F386">
        <f t="shared" si="266"/>
        <v>1.2934330339202329E-5</v>
      </c>
      <c r="G386">
        <f t="shared" si="267"/>
        <v>1.0843284518122008E-3</v>
      </c>
      <c r="H386">
        <f t="shared" si="268"/>
        <v>-3.1405083215481882</v>
      </c>
      <c r="J386">
        <f t="shared" si="269"/>
        <v>15</v>
      </c>
      <c r="M386">
        <f t="shared" si="270"/>
        <v>1.7511358348674014E-3</v>
      </c>
      <c r="N386">
        <f t="shared" si="271"/>
        <v>-1.5707963250000001</v>
      </c>
      <c r="O386">
        <f t="shared" si="272"/>
        <v>419.04567040196554</v>
      </c>
      <c r="P386">
        <f t="shared" si="273"/>
        <v>1.5684099497964803</v>
      </c>
      <c r="Q386">
        <f t="shared" si="274"/>
        <v>327.04102213587151</v>
      </c>
      <c r="R386">
        <f t="shared" si="275"/>
        <v>1.5677386016454602</v>
      </c>
      <c r="S386">
        <f t="shared" si="276"/>
        <v>0.21197640722800332</v>
      </c>
      <c r="T386">
        <f t="shared" si="277"/>
        <v>-1.357199443101925</v>
      </c>
      <c r="U386">
        <f t="shared" si="278"/>
        <v>0.13783840185217092</v>
      </c>
      <c r="V386">
        <f t="shared" si="279"/>
        <v>-1.4325176753738025</v>
      </c>
      <c r="X386">
        <f t="shared" si="296"/>
        <v>-44.384705040904677</v>
      </c>
      <c r="Y386">
        <f t="shared" si="280"/>
        <v>-173.11392401545811</v>
      </c>
      <c r="Z386">
        <f t="shared" si="297"/>
        <v>6.8860759845418897</v>
      </c>
      <c r="AC386">
        <v>1</v>
      </c>
      <c r="AD386">
        <f t="shared" si="281"/>
        <v>419.04447721290001</v>
      </c>
      <c r="AE386">
        <f t="shared" si="282"/>
        <v>-0.18567451268054003</v>
      </c>
      <c r="AF386">
        <f t="shared" si="283"/>
        <v>2.5839725209956005E-2</v>
      </c>
      <c r="AG386">
        <f t="shared" si="315"/>
        <v>302.8314491020385</v>
      </c>
      <c r="AH386">
        <f t="shared" si="316"/>
        <v>-2214.7325976327666</v>
      </c>
      <c r="AJ386">
        <f t="shared" si="284"/>
        <v>22100</v>
      </c>
      <c r="AK386">
        <f t="shared" si="285"/>
        <v>101887.62514342777</v>
      </c>
      <c r="AL386">
        <v>1</v>
      </c>
      <c r="AM386">
        <f t="shared" si="286"/>
        <v>327.03949327210563</v>
      </c>
      <c r="AN386">
        <f t="shared" si="317"/>
        <v>311.74903927935623</v>
      </c>
      <c r="AO386">
        <f t="shared" si="318"/>
        <v>-66.622690558636094</v>
      </c>
      <c r="AQ386">
        <f t="shared" si="287"/>
        <v>3.3802043739168557E-3</v>
      </c>
      <c r="AR386">
        <f t="shared" si="288"/>
        <v>-5.8139515231369918</v>
      </c>
      <c r="AT386">
        <f t="shared" si="313"/>
        <v>-12875.324327159355</v>
      </c>
      <c r="AU386">
        <f t="shared" si="314"/>
        <v>-1768.1336135741537</v>
      </c>
      <c r="AV386">
        <f t="shared" si="302"/>
        <v>-3.0051189838837855</v>
      </c>
      <c r="AW386">
        <f t="shared" si="303"/>
        <v>215.66845730429105</v>
      </c>
      <c r="AX386">
        <f t="shared" si="304"/>
        <v>-4262.885830286119</v>
      </c>
      <c r="AY386">
        <f t="shared" si="312"/>
        <v>-1.5202472991482656</v>
      </c>
      <c r="BA386">
        <f t="shared" si="289"/>
        <v>3.0447832539241437</v>
      </c>
      <c r="BB386">
        <f t="shared" si="305"/>
        <v>9.67112764725921</v>
      </c>
      <c r="BC386">
        <f t="shared" si="306"/>
        <v>-1.4848716847355199</v>
      </c>
      <c r="BD386">
        <f t="shared" si="290"/>
        <v>-265.07688075103994</v>
      </c>
      <c r="BF386">
        <f t="shared" si="291"/>
        <v>-51.630401012089386</v>
      </c>
      <c r="BG386">
        <f t="shared" si="292"/>
        <v>-188.0398637888122</v>
      </c>
      <c r="BH386">
        <f t="shared" si="307"/>
        <v>-8.0398637888121982</v>
      </c>
      <c r="BI386">
        <f t="shared" si="308"/>
        <v>-8.0398637888121982</v>
      </c>
      <c r="BJ386">
        <f t="shared" si="293"/>
        <v>0</v>
      </c>
      <c r="BK386">
        <f t="shared" si="309"/>
        <v>0</v>
      </c>
      <c r="BM386">
        <f t="shared" si="310"/>
        <v>-61.301528659348598</v>
      </c>
      <c r="BN386">
        <f t="shared" si="294"/>
        <v>-102.96298303777228</v>
      </c>
      <c r="BQ386" s="47">
        <f t="shared" si="311"/>
        <v>26.573088447544343</v>
      </c>
      <c r="BR386" s="529"/>
      <c r="BS386" s="529"/>
      <c r="BT386" s="529">
        <v>575439.93700000003</v>
      </c>
      <c r="BU386" s="529">
        <v>11.0791</v>
      </c>
      <c r="BV386" s="529">
        <v>119.196</v>
      </c>
      <c r="BY386" s="529"/>
      <c r="BZ386" s="529"/>
      <c r="CA386" s="529"/>
      <c r="CC386" s="529"/>
    </row>
    <row r="387" spans="1:81">
      <c r="A387">
        <f t="shared" si="319"/>
        <v>865000</v>
      </c>
      <c r="B387">
        <f t="shared" si="295"/>
        <v>865</v>
      </c>
      <c r="C387">
        <f t="shared" si="264"/>
        <v>4.4614787822525024</v>
      </c>
      <c r="D387">
        <f t="shared" si="265"/>
        <v>1.3447348790797959</v>
      </c>
      <c r="F387">
        <f t="shared" si="266"/>
        <v>1.2785230821913421E-5</v>
      </c>
      <c r="G387">
        <f t="shared" si="267"/>
        <v>1.0780604985339592E-3</v>
      </c>
      <c r="H387">
        <f t="shared" si="268"/>
        <v>-3.1405145895014663</v>
      </c>
      <c r="J387">
        <f t="shared" si="269"/>
        <v>15</v>
      </c>
      <c r="M387">
        <f t="shared" si="270"/>
        <v>1.7410136624115204E-3</v>
      </c>
      <c r="N387">
        <f t="shared" si="271"/>
        <v>-1.5707963250000001</v>
      </c>
      <c r="O387">
        <f t="shared" si="272"/>
        <v>421.48196860501338</v>
      </c>
      <c r="P387">
        <f t="shared" si="273"/>
        <v>1.56842374383126</v>
      </c>
      <c r="Q387">
        <f t="shared" si="274"/>
        <v>328.94240570129438</v>
      </c>
      <c r="R387">
        <f t="shared" si="275"/>
        <v>1.5677562762480917</v>
      </c>
      <c r="S387">
        <f t="shared" si="276"/>
        <v>0.21080571233037934</v>
      </c>
      <c r="T387">
        <f t="shared" si="277"/>
        <v>-1.3583972056378057</v>
      </c>
      <c r="U387">
        <f t="shared" si="278"/>
        <v>0.13705665741292045</v>
      </c>
      <c r="V387">
        <f t="shared" si="279"/>
        <v>-1.4333069104255396</v>
      </c>
      <c r="X387">
        <f t="shared" si="296"/>
        <v>-44.484755633544147</v>
      </c>
      <c r="Y387">
        <f t="shared" si="280"/>
        <v>-173.15358299333286</v>
      </c>
      <c r="Z387">
        <f t="shared" si="297"/>
        <v>6.8464170066671386</v>
      </c>
      <c r="AC387">
        <v>1</v>
      </c>
      <c r="AD387">
        <f t="shared" si="281"/>
        <v>421.48078231297501</v>
      </c>
      <c r="AE387">
        <f t="shared" si="282"/>
        <v>-0.18783979482206201</v>
      </c>
      <c r="AF387">
        <f t="shared" si="283"/>
        <v>2.5989956170479001E-2</v>
      </c>
      <c r="AG387">
        <f t="shared" si="315"/>
        <v>299.40619928761174</v>
      </c>
      <c r="AH387">
        <f t="shared" si="316"/>
        <v>-2202.404600730169</v>
      </c>
      <c r="AJ387">
        <f t="shared" si="284"/>
        <v>22100</v>
      </c>
      <c r="AK387">
        <f t="shared" si="285"/>
        <v>102479.99505705235</v>
      </c>
      <c r="AL387">
        <v>1</v>
      </c>
      <c r="AM387">
        <f t="shared" si="286"/>
        <v>328.94088567485039</v>
      </c>
      <c r="AN387">
        <f t="shared" si="317"/>
        <v>311.7466910265955</v>
      </c>
      <c r="AO387">
        <f t="shared" si="318"/>
        <v>-66.237595439900815</v>
      </c>
      <c r="AQ387">
        <f t="shared" si="287"/>
        <v>3.3412398204952318E-3</v>
      </c>
      <c r="AR387">
        <f t="shared" si="288"/>
        <v>-5.7803448894567513</v>
      </c>
      <c r="AT387">
        <f t="shared" si="313"/>
        <v>-12729.657790431107</v>
      </c>
      <c r="AU387">
        <f t="shared" si="314"/>
        <v>-1738.0298558766178</v>
      </c>
      <c r="AV387">
        <f t="shared" si="302"/>
        <v>-3.0058977855663702</v>
      </c>
      <c r="AW387">
        <f t="shared" si="303"/>
        <v>216.83640799045844</v>
      </c>
      <c r="AX387">
        <f t="shared" si="304"/>
        <v>-4238.6826299213853</v>
      </c>
      <c r="AY387">
        <f t="shared" si="312"/>
        <v>-1.5196843256808588</v>
      </c>
      <c r="BA387">
        <f t="shared" si="289"/>
        <v>3.0271154329796301</v>
      </c>
      <c r="BB387">
        <f t="shared" si="305"/>
        <v>9.6205796444385676</v>
      </c>
      <c r="BC387">
        <f t="shared" si="306"/>
        <v>-1.4862134598855115</v>
      </c>
      <c r="BD387">
        <f t="shared" si="290"/>
        <v>-265.1537588042778</v>
      </c>
      <c r="BF387">
        <f t="shared" si="291"/>
        <v>-51.73384707404675</v>
      </c>
      <c r="BG387">
        <f t="shared" si="292"/>
        <v>-188.04435726423432</v>
      </c>
      <c r="BH387">
        <f t="shared" si="307"/>
        <v>-8.0443572642343213</v>
      </c>
      <c r="BI387">
        <f t="shared" si="308"/>
        <v>-8.0443572642343213</v>
      </c>
      <c r="BJ387">
        <f t="shared" si="293"/>
        <v>0</v>
      </c>
      <c r="BK387">
        <f t="shared" si="309"/>
        <v>0</v>
      </c>
      <c r="BM387">
        <f t="shared" si="310"/>
        <v>-61.354426718485314</v>
      </c>
      <c r="BN387">
        <f t="shared" si="294"/>
        <v>-102.89059845995649</v>
      </c>
      <c r="BQ387" s="47">
        <f t="shared" si="311"/>
        <v>26.522540444723703</v>
      </c>
      <c r="BR387" s="529"/>
      <c r="BS387" s="529"/>
      <c r="BT387" s="529">
        <v>588843.65500000003</v>
      </c>
      <c r="BU387" s="529">
        <v>10.8666</v>
      </c>
      <c r="BV387" s="529">
        <v>116.889</v>
      </c>
      <c r="BY387" s="529"/>
      <c r="BZ387" s="529"/>
      <c r="CA387" s="529"/>
      <c r="CC387" s="529"/>
    </row>
    <row r="388" spans="1:81">
      <c r="A388">
        <f t="shared" si="319"/>
        <v>870000</v>
      </c>
      <c r="B388">
        <f t="shared" si="295"/>
        <v>870</v>
      </c>
      <c r="C388">
        <f t="shared" si="264"/>
        <v>4.4859756016420498</v>
      </c>
      <c r="D388">
        <f t="shared" si="265"/>
        <v>1.3459906321082278</v>
      </c>
      <c r="F388">
        <f t="shared" si="266"/>
        <v>1.2638694633936078E-5</v>
      </c>
      <c r="G388">
        <f t="shared" si="267"/>
        <v>1.0718645934094083E-3</v>
      </c>
      <c r="H388">
        <f t="shared" si="268"/>
        <v>-3.1405207854065909</v>
      </c>
      <c r="J388">
        <f t="shared" si="269"/>
        <v>15</v>
      </c>
      <c r="M388">
        <f t="shared" si="270"/>
        <v>1.7310078367654771E-3</v>
      </c>
      <c r="N388">
        <f t="shared" si="271"/>
        <v>-1.5707963250000001</v>
      </c>
      <c r="O388">
        <f t="shared" si="272"/>
        <v>423.91826688733704</v>
      </c>
      <c r="P388">
        <f t="shared" si="273"/>
        <v>1.5684373793148032</v>
      </c>
      <c r="Q388">
        <f t="shared" si="274"/>
        <v>330.84378936829506</v>
      </c>
      <c r="R388">
        <f t="shared" si="275"/>
        <v>1.5677737476962379</v>
      </c>
      <c r="S388">
        <f t="shared" si="276"/>
        <v>0.20964758151542803</v>
      </c>
      <c r="T388">
        <f t="shared" si="277"/>
        <v>-1.3595818092493532</v>
      </c>
      <c r="U388">
        <f t="shared" si="278"/>
        <v>0.13628364676633142</v>
      </c>
      <c r="V388">
        <f t="shared" si="279"/>
        <v>-1.4340872432595739</v>
      </c>
      <c r="X388">
        <f t="shared" si="296"/>
        <v>-44.584237168343265</v>
      </c>
      <c r="Y388">
        <f t="shared" si="280"/>
        <v>-173.1927889133955</v>
      </c>
      <c r="Z388">
        <f t="shared" si="297"/>
        <v>6.8072110866044966</v>
      </c>
      <c r="AC388">
        <v>1</v>
      </c>
      <c r="AD388">
        <f t="shared" si="281"/>
        <v>423.91708741305007</v>
      </c>
      <c r="AE388">
        <f t="shared" si="282"/>
        <v>-0.19001762932382471</v>
      </c>
      <c r="AF388">
        <f t="shared" si="283"/>
        <v>2.6140187131002003E-2</v>
      </c>
      <c r="AG388">
        <f t="shared" si="315"/>
        <v>296.03837313304751</v>
      </c>
      <c r="AH388">
        <f t="shared" si="316"/>
        <v>-2190.2104053311318</v>
      </c>
      <c r="AJ388">
        <f t="shared" si="284"/>
        <v>22100</v>
      </c>
      <c r="AK388">
        <f t="shared" si="285"/>
        <v>103072.36497067692</v>
      </c>
      <c r="AL388">
        <v>1</v>
      </c>
      <c r="AM388">
        <f t="shared" si="286"/>
        <v>330.84227807759521</v>
      </c>
      <c r="AN388">
        <f t="shared" si="317"/>
        <v>311.74438314400334</v>
      </c>
      <c r="AO388">
        <f t="shared" si="318"/>
        <v>-65.856926579818236</v>
      </c>
      <c r="AQ388">
        <f t="shared" si="287"/>
        <v>3.3029451370903892E-3</v>
      </c>
      <c r="AR388">
        <f t="shared" si="288"/>
        <v>-5.7471245385372773</v>
      </c>
      <c r="AT388">
        <f t="shared" si="313"/>
        <v>-12586.434166533292</v>
      </c>
      <c r="AU388">
        <f t="shared" si="314"/>
        <v>-1708.6035433890854</v>
      </c>
      <c r="AV388">
        <f t="shared" si="302"/>
        <v>-3.0066678049541604</v>
      </c>
      <c r="AW388">
        <f t="shared" si="303"/>
        <v>217.98287998079235</v>
      </c>
      <c r="AX388">
        <f t="shared" si="304"/>
        <v>-4214.7503373530635</v>
      </c>
      <c r="AY388">
        <f t="shared" si="312"/>
        <v>-1.5191233174863565</v>
      </c>
      <c r="BA388">
        <f t="shared" si="289"/>
        <v>3.0096496845008134</v>
      </c>
      <c r="BB388">
        <f t="shared" si="305"/>
        <v>9.5703189554500483</v>
      </c>
      <c r="BC388">
        <f t="shared" si="306"/>
        <v>-1.4875444874678039</v>
      </c>
      <c r="BD388">
        <f t="shared" si="290"/>
        <v>-265.23002106724584</v>
      </c>
      <c r="BF388">
        <f t="shared" si="291"/>
        <v>-51.836673301326435</v>
      </c>
      <c r="BG388">
        <f t="shared" si="292"/>
        <v>-188.04902517769449</v>
      </c>
      <c r="BH388">
        <f t="shared" si="307"/>
        <v>-8.0490251776944888</v>
      </c>
      <c r="BI388">
        <f t="shared" si="308"/>
        <v>-8.0490251776944888</v>
      </c>
      <c r="BJ388">
        <f t="shared" si="293"/>
        <v>0</v>
      </c>
      <c r="BK388">
        <f t="shared" si="309"/>
        <v>0</v>
      </c>
      <c r="BM388">
        <f t="shared" si="310"/>
        <v>-61.406992256776476</v>
      </c>
      <c r="BN388">
        <f t="shared" si="294"/>
        <v>-102.81900411044866</v>
      </c>
      <c r="BQ388" s="47">
        <f t="shared" si="311"/>
        <v>26.472279755735183</v>
      </c>
      <c r="BR388" s="529"/>
      <c r="BS388" s="529"/>
      <c r="BT388" s="529">
        <v>602559.58600000001</v>
      </c>
      <c r="BU388" s="529">
        <v>10.6013</v>
      </c>
      <c r="BV388" s="529">
        <v>117.324</v>
      </c>
      <c r="BY388" s="529"/>
      <c r="BZ388" s="529"/>
      <c r="CA388" s="529"/>
      <c r="CC388" s="529"/>
    </row>
    <row r="389" spans="1:81">
      <c r="A389">
        <f t="shared" si="319"/>
        <v>875000</v>
      </c>
      <c r="B389">
        <f t="shared" si="295"/>
        <v>875</v>
      </c>
      <c r="C389">
        <f t="shared" si="264"/>
        <v>4.5104794181912293</v>
      </c>
      <c r="D389">
        <f t="shared" si="265"/>
        <v>1.3472327429662627</v>
      </c>
      <c r="F389">
        <f t="shared" si="266"/>
        <v>1.2494663351419619E-5</v>
      </c>
      <c r="G389">
        <f t="shared" si="267"/>
        <v>1.0657395012658437E-3</v>
      </c>
      <c r="H389">
        <f t="shared" si="268"/>
        <v>-3.1405269104987346</v>
      </c>
      <c r="J389">
        <f t="shared" si="269"/>
        <v>15</v>
      </c>
      <c r="M389">
        <f t="shared" si="270"/>
        <v>1.7211163634125314E-3</v>
      </c>
      <c r="N389">
        <f t="shared" si="271"/>
        <v>-1.5707963250000001</v>
      </c>
      <c r="O389">
        <f t="shared" si="272"/>
        <v>426.35456524757757</v>
      </c>
      <c r="P389">
        <f t="shared" si="273"/>
        <v>1.5684508589651109</v>
      </c>
      <c r="Q389">
        <f t="shared" si="274"/>
        <v>332.74517313513212</v>
      </c>
      <c r="R389">
        <f t="shared" si="275"/>
        <v>1.5677910194725047</v>
      </c>
      <c r="S389">
        <f t="shared" si="276"/>
        <v>0.20850181851209773</v>
      </c>
      <c r="T389">
        <f t="shared" si="277"/>
        <v>-1.3607534663322545</v>
      </c>
      <c r="U389">
        <f t="shared" si="278"/>
        <v>0.13551922576411579</v>
      </c>
      <c r="V389">
        <f t="shared" si="279"/>
        <v>-1.4348588227162993</v>
      </c>
      <c r="X389">
        <f t="shared" si="296"/>
        <v>-44.683156035738037</v>
      </c>
      <c r="Y389">
        <f t="shared" si="280"/>
        <v>-173.23154947087545</v>
      </c>
      <c r="Z389">
        <f t="shared" si="297"/>
        <v>6.76845052912455</v>
      </c>
      <c r="AC389">
        <v>1</v>
      </c>
      <c r="AD389">
        <f t="shared" si="281"/>
        <v>426.35339251312507</v>
      </c>
      <c r="AE389">
        <f t="shared" si="282"/>
        <v>-0.19220801618582811</v>
      </c>
      <c r="AF389">
        <f t="shared" si="283"/>
        <v>2.6290418091525006E-2</v>
      </c>
      <c r="AG389">
        <f t="shared" si="315"/>
        <v>292.72670225199448</v>
      </c>
      <c r="AH389">
        <f t="shared" si="316"/>
        <v>-2178.1478911868362</v>
      </c>
      <c r="AJ389">
        <f t="shared" si="284"/>
        <v>22100</v>
      </c>
      <c r="AK389">
        <f t="shared" si="285"/>
        <v>103664.73488430151</v>
      </c>
      <c r="AL389">
        <v>1</v>
      </c>
      <c r="AM389">
        <f t="shared" si="286"/>
        <v>332.74367048034003</v>
      </c>
      <c r="AN389">
        <f t="shared" si="317"/>
        <v>311.74211471148863</v>
      </c>
      <c r="AO389">
        <f t="shared" si="318"/>
        <v>-65.480608102433791</v>
      </c>
      <c r="AQ389">
        <f t="shared" si="287"/>
        <v>3.2653050562269203E-3</v>
      </c>
      <c r="AR389">
        <f t="shared" si="288"/>
        <v>-5.7142838483971108</v>
      </c>
      <c r="AT389">
        <f t="shared" si="313"/>
        <v>-12445.599472048209</v>
      </c>
      <c r="AU389">
        <f t="shared" si="314"/>
        <v>-1679.8357839954247</v>
      </c>
      <c r="AV389">
        <f t="shared" si="302"/>
        <v>-3.007429188831749</v>
      </c>
      <c r="AW389">
        <f t="shared" si="303"/>
        <v>219.10840146855546</v>
      </c>
      <c r="AX389">
        <f t="shared" si="304"/>
        <v>-4191.0844683556816</v>
      </c>
      <c r="AY389">
        <f t="shared" si="312"/>
        <v>-1.5185642350014301</v>
      </c>
      <c r="BA389">
        <f t="shared" si="289"/>
        <v>2.9923825572140017</v>
      </c>
      <c r="BB389">
        <f t="shared" si="305"/>
        <v>9.520342290977263</v>
      </c>
      <c r="BC389">
        <f t="shared" si="306"/>
        <v>-1.4888649538303189</v>
      </c>
      <c r="BD389">
        <f t="shared" si="290"/>
        <v>-265.3056782168934</v>
      </c>
      <c r="BF389">
        <f t="shared" si="291"/>
        <v>-51.938887234259937</v>
      </c>
      <c r="BG389">
        <f t="shared" si="292"/>
        <v>-188.05386555933734</v>
      </c>
      <c r="BH389">
        <f t="shared" si="307"/>
        <v>-8.0538655593373392</v>
      </c>
      <c r="BI389">
        <f t="shared" si="308"/>
        <v>-8.0538655593373392</v>
      </c>
      <c r="BJ389">
        <f t="shared" si="293"/>
        <v>0</v>
      </c>
      <c r="BK389">
        <f t="shared" si="309"/>
        <v>0</v>
      </c>
      <c r="BM389">
        <f t="shared" si="310"/>
        <v>-61.459229525237205</v>
      </c>
      <c r="BN389">
        <f t="shared" si="294"/>
        <v>-102.74818734244394</v>
      </c>
      <c r="BQ389" s="47">
        <f t="shared" si="311"/>
        <v>26.422303091262403</v>
      </c>
      <c r="BR389" s="529"/>
      <c r="BS389" s="529"/>
      <c r="BT389" s="529">
        <v>616595.00199999998</v>
      </c>
      <c r="BU389" s="529">
        <v>10.4749</v>
      </c>
      <c r="BV389" s="529">
        <v>115.142</v>
      </c>
      <c r="BY389" s="529"/>
      <c r="BZ389" s="529"/>
      <c r="CA389" s="529"/>
      <c r="CC389" s="529"/>
    </row>
    <row r="390" spans="1:81">
      <c r="A390">
        <f t="shared" si="319"/>
        <v>880000</v>
      </c>
      <c r="B390">
        <f t="shared" si="295"/>
        <v>880</v>
      </c>
      <c r="C390">
        <f t="shared" si="264"/>
        <v>4.534990118477225</v>
      </c>
      <c r="D390">
        <f t="shared" si="265"/>
        <v>1.3484614289892316</v>
      </c>
      <c r="F390">
        <f t="shared" si="266"/>
        <v>1.2353080205593113E-5</v>
      </c>
      <c r="G390">
        <f t="shared" si="267"/>
        <v>1.0596840150044003E-3</v>
      </c>
      <c r="H390">
        <f t="shared" si="268"/>
        <v>-3.1405329659849959</v>
      </c>
      <c r="J390">
        <f t="shared" si="269"/>
        <v>15</v>
      </c>
      <c r="M390">
        <f t="shared" si="270"/>
        <v>1.7113372931658692E-3</v>
      </c>
      <c r="N390">
        <f t="shared" si="271"/>
        <v>-1.5707963250000001</v>
      </c>
      <c r="O390">
        <f t="shared" si="272"/>
        <v>428.79086368440682</v>
      </c>
      <c r="P390">
        <f t="shared" si="273"/>
        <v>1.568464185438412</v>
      </c>
      <c r="Q390">
        <f t="shared" si="274"/>
        <v>334.64655700010383</v>
      </c>
      <c r="R390">
        <f t="shared" si="275"/>
        <v>1.5678080949803492</v>
      </c>
      <c r="S390">
        <f t="shared" si="276"/>
        <v>0.20736823100683713</v>
      </c>
      <c r="T390">
        <f t="shared" si="277"/>
        <v>-1.3619123848071035</v>
      </c>
      <c r="U390">
        <f t="shared" si="278"/>
        <v>0.13476325338140333</v>
      </c>
      <c r="V390">
        <f t="shared" si="279"/>
        <v>-1.4356217943572027</v>
      </c>
      <c r="X390">
        <f t="shared" si="296"/>
        <v>-44.781518519949699</v>
      </c>
      <c r="Y390">
        <f t="shared" si="280"/>
        <v>-173.26987218837414</v>
      </c>
      <c r="Z390">
        <f t="shared" si="297"/>
        <v>6.7301278116258629</v>
      </c>
      <c r="AC390">
        <v>1</v>
      </c>
      <c r="AD390">
        <f t="shared" si="281"/>
        <v>428.78969761320002</v>
      </c>
      <c r="AE390">
        <f t="shared" si="282"/>
        <v>-0.19441095540807224</v>
      </c>
      <c r="AF390">
        <f t="shared" si="283"/>
        <v>2.6440649052048001E-2</v>
      </c>
      <c r="AG390">
        <f t="shared" si="315"/>
        <v>289.46995286242236</v>
      </c>
      <c r="AH390">
        <f t="shared" si="316"/>
        <v>-2166.2149815296139</v>
      </c>
      <c r="AJ390">
        <f t="shared" si="284"/>
        <v>22100</v>
      </c>
      <c r="AK390">
        <f t="shared" si="285"/>
        <v>104257.10479792608</v>
      </c>
      <c r="AL390">
        <v>1</v>
      </c>
      <c r="AM390">
        <f t="shared" si="286"/>
        <v>334.64506288308479</v>
      </c>
      <c r="AN390">
        <f t="shared" si="317"/>
        <v>311.73988483502404</v>
      </c>
      <c r="AO390">
        <f t="shared" si="318"/>
        <v>-65.108565856168511</v>
      </c>
      <c r="AQ390">
        <f t="shared" si="287"/>
        <v>3.2283047429284791E-3</v>
      </c>
      <c r="AR390">
        <f t="shared" si="288"/>
        <v>-5.6818163475541237</v>
      </c>
      <c r="AT390">
        <f t="shared" si="313"/>
        <v>-12307.101197149854</v>
      </c>
      <c r="AU390">
        <f t="shared" si="314"/>
        <v>-1651.7083123985078</v>
      </c>
      <c r="AV390">
        <f t="shared" si="302"/>
        <v>-3.0081820807515443</v>
      </c>
      <c r="AW390">
        <f t="shared" si="303"/>
        <v>220.21348441472841</v>
      </c>
      <c r="AX390">
        <f t="shared" si="304"/>
        <v>-4167.6806362866255</v>
      </c>
      <c r="AY390">
        <f t="shared" si="312"/>
        <v>-1.5180070397433076</v>
      </c>
      <c r="BA390">
        <f t="shared" si="289"/>
        <v>2.975310677868225</v>
      </c>
      <c r="BB390">
        <f t="shared" si="305"/>
        <v>9.4706464173531941</v>
      </c>
      <c r="BC390">
        <f t="shared" si="306"/>
        <v>-1.4901750410082366</v>
      </c>
      <c r="BD390">
        <f t="shared" si="290"/>
        <v>-265.38074068306804</v>
      </c>
      <c r="BF390">
        <f t="shared" si="291"/>
        <v>-52.040496275741873</v>
      </c>
      <c r="BG390">
        <f t="shared" si="292"/>
        <v>-188.05887645577477</v>
      </c>
      <c r="BH390">
        <f t="shared" si="307"/>
        <v>-8.0588764557747652</v>
      </c>
      <c r="BI390">
        <f t="shared" si="308"/>
        <v>-8.0588764557747652</v>
      </c>
      <c r="BJ390">
        <f t="shared" si="293"/>
        <v>0</v>
      </c>
      <c r="BK390">
        <f t="shared" si="309"/>
        <v>0</v>
      </c>
      <c r="BM390">
        <f t="shared" si="310"/>
        <v>-61.511142693095081</v>
      </c>
      <c r="BN390">
        <f t="shared" si="294"/>
        <v>-102.67813577270674</v>
      </c>
      <c r="BQ390" s="47">
        <f t="shared" si="311"/>
        <v>26.372607217638333</v>
      </c>
      <c r="BR390" s="529"/>
      <c r="BS390" s="529"/>
      <c r="BT390" s="529">
        <v>630957.34400000004</v>
      </c>
      <c r="BU390" s="529">
        <v>10.283799999999999</v>
      </c>
      <c r="BV390" s="529">
        <v>115.247</v>
      </c>
      <c r="BY390" s="529"/>
      <c r="BZ390" s="529"/>
      <c r="CA390" s="529"/>
      <c r="CC390" s="529"/>
    </row>
    <row r="391" spans="1:81">
      <c r="A391">
        <f t="shared" si="319"/>
        <v>885000</v>
      </c>
      <c r="B391">
        <f t="shared" si="295"/>
        <v>885</v>
      </c>
      <c r="C391">
        <f t="shared" si="264"/>
        <v>4.5595075914846239</v>
      </c>
      <c r="D391">
        <f t="shared" si="265"/>
        <v>1.3496769030019393</v>
      </c>
      <c r="F391">
        <f t="shared" si="266"/>
        <v>1.2213890026818509E-5</v>
      </c>
      <c r="G391">
        <f t="shared" si="267"/>
        <v>1.0536969548069486E-3</v>
      </c>
      <c r="H391">
        <f t="shared" si="268"/>
        <v>-3.1405389530451933</v>
      </c>
      <c r="J391">
        <f t="shared" si="269"/>
        <v>15</v>
      </c>
      <c r="M391">
        <f t="shared" si="270"/>
        <v>1.7016687208880963E-3</v>
      </c>
      <c r="N391">
        <f t="shared" si="271"/>
        <v>-1.5707963250000001</v>
      </c>
      <c r="O391">
        <f t="shared" si="272"/>
        <v>431.22716219652665</v>
      </c>
      <c r="P391">
        <f t="shared" si="273"/>
        <v>1.5684773613309084</v>
      </c>
      <c r="Q391">
        <f t="shared" si="274"/>
        <v>336.54794096154694</v>
      </c>
      <c r="R391">
        <f t="shared" si="275"/>
        <v>1.5678249775463156</v>
      </c>
      <c r="S391">
        <f t="shared" si="276"/>
        <v>0.20624663054742648</v>
      </c>
      <c r="T391">
        <f t="shared" si="277"/>
        <v>-1.363058768234698</v>
      </c>
      <c r="U391">
        <f t="shared" si="278"/>
        <v>0.1340155916334774</v>
      </c>
      <c r="V391">
        <f t="shared" si="279"/>
        <v>-1.4363763005540897</v>
      </c>
      <c r="X391">
        <f t="shared" si="296"/>
        <v>-44.87933080130577</v>
      </c>
      <c r="Y391">
        <f t="shared" si="280"/>
        <v>-173.30776442065687</v>
      </c>
      <c r="Z391">
        <f t="shared" si="297"/>
        <v>6.6922355793431336</v>
      </c>
      <c r="AC391">
        <v>1</v>
      </c>
      <c r="AD391">
        <f t="shared" si="281"/>
        <v>431.22600271327502</v>
      </c>
      <c r="AE391">
        <f t="shared" si="282"/>
        <v>-0.19662644699055704</v>
      </c>
      <c r="AF391">
        <f t="shared" si="283"/>
        <v>2.6590880012571004E-2</v>
      </c>
      <c r="AG391">
        <f t="shared" si="315"/>
        <v>286.26692466729043</v>
      </c>
      <c r="AH391">
        <f t="shared" si="316"/>
        <v>-2154.4096419960406</v>
      </c>
      <c r="AJ391">
        <f t="shared" si="284"/>
        <v>22100</v>
      </c>
      <c r="AK391">
        <f t="shared" si="285"/>
        <v>104849.47471155066</v>
      </c>
      <c r="AL391">
        <v>1</v>
      </c>
      <c r="AM391">
        <f t="shared" si="286"/>
        <v>336.54645528582961</v>
      </c>
      <c r="AN391">
        <f t="shared" si="317"/>
        <v>311.73769264576538</v>
      </c>
      <c r="AO391">
        <f t="shared" si="318"/>
        <v>-64.740727365110473</v>
      </c>
      <c r="AQ391">
        <f t="shared" si="287"/>
        <v>3.1919297800983818E-3</v>
      </c>
      <c r="AR391">
        <f t="shared" si="288"/>
        <v>-5.6497157107741351</v>
      </c>
      <c r="AT391">
        <f t="shared" si="313"/>
        <v>-12170.888257906408</v>
      </c>
      <c r="AU391">
        <f t="shared" si="314"/>
        <v>-1624.2034660626048</v>
      </c>
      <c r="AV391">
        <f t="shared" si="302"/>
        <v>-3.0089266211216734</v>
      </c>
      <c r="AW391">
        <f t="shared" si="303"/>
        <v>221.29862514489557</v>
      </c>
      <c r="AX391">
        <f t="shared" si="304"/>
        <v>-4144.5345494686217</v>
      </c>
      <c r="AY391">
        <f t="shared" si="312"/>
        <v>-1.5174516942734055</v>
      </c>
      <c r="BA391">
        <f t="shared" si="289"/>
        <v>2.9584307490474679</v>
      </c>
      <c r="BB391">
        <f t="shared" si="305"/>
        <v>9.4212281553192589</v>
      </c>
      <c r="BC391">
        <f t="shared" si="306"/>
        <v>-1.4914749268482679</v>
      </c>
      <c r="BD391">
        <f t="shared" si="290"/>
        <v>-265.45521865563575</v>
      </c>
      <c r="BF391">
        <f t="shared" si="291"/>
        <v>-52.141507694555074</v>
      </c>
      <c r="BG391">
        <f t="shared" si="292"/>
        <v>-188.06405593050832</v>
      </c>
      <c r="BH391">
        <f t="shared" si="307"/>
        <v>-8.0640559305083173</v>
      </c>
      <c r="BI391">
        <f t="shared" si="308"/>
        <v>-8.0640559305083173</v>
      </c>
      <c r="BJ391">
        <f t="shared" si="293"/>
        <v>0</v>
      </c>
      <c r="BK391">
        <f t="shared" si="309"/>
        <v>0</v>
      </c>
      <c r="BM391">
        <f t="shared" si="310"/>
        <v>-61.562735849874329</v>
      </c>
      <c r="BN391">
        <f t="shared" si="294"/>
        <v>-102.60883727487257</v>
      </c>
      <c r="BQ391" s="47">
        <f t="shared" si="311"/>
        <v>26.323188955604397</v>
      </c>
      <c r="BR391" s="529"/>
      <c r="BS391" s="529"/>
      <c r="BT391" s="529">
        <v>645654.22900000005</v>
      </c>
      <c r="BU391" s="529">
        <v>9.9821899999999992</v>
      </c>
      <c r="BV391" s="529">
        <v>113.164</v>
      </c>
      <c r="BY391" s="529"/>
      <c r="BZ391" s="529"/>
      <c r="CA391" s="529"/>
      <c r="CC391" s="529"/>
    </row>
    <row r="392" spans="1:81">
      <c r="A392">
        <f t="shared" si="319"/>
        <v>890000</v>
      </c>
      <c r="B392">
        <f t="shared" si="295"/>
        <v>890</v>
      </c>
      <c r="C392">
        <f t="shared" si="264"/>
        <v>4.5840317285427039</v>
      </c>
      <c r="D392">
        <f t="shared" si="265"/>
        <v>1.3508793734328677</v>
      </c>
      <c r="F392">
        <f t="shared" si="266"/>
        <v>1.2077039190837798E-5</v>
      </c>
      <c r="G392">
        <f t="shared" si="267"/>
        <v>1.0477771673697237E-3</v>
      </c>
      <c r="H392">
        <f t="shared" si="268"/>
        <v>-3.1405448728326304</v>
      </c>
      <c r="J392">
        <f t="shared" si="269"/>
        <v>15</v>
      </c>
      <c r="M392">
        <f t="shared" si="270"/>
        <v>1.6921087842538935E-3</v>
      </c>
      <c r="N392">
        <f t="shared" si="271"/>
        <v>-1.5707963250000001</v>
      </c>
      <c r="O392">
        <f t="shared" si="272"/>
        <v>433.66346078266821</v>
      </c>
      <c r="P392">
        <f t="shared" si="273"/>
        <v>1.5684903891804607</v>
      </c>
      <c r="Q392">
        <f t="shared" si="274"/>
        <v>338.44932501783546</v>
      </c>
      <c r="R392">
        <f t="shared" si="275"/>
        <v>1.5678416704221949</v>
      </c>
      <c r="S392">
        <f t="shared" si="276"/>
        <v>0.20513683244949371</v>
      </c>
      <c r="T392">
        <f t="shared" si="277"/>
        <v>-1.3641928159278522</v>
      </c>
      <c r="U392">
        <f t="shared" si="278"/>
        <v>0.13327610549513053</v>
      </c>
      <c r="V392">
        <f t="shared" si="279"/>
        <v>-1.4371224805754268</v>
      </c>
      <c r="X392">
        <f t="shared" si="296"/>
        <v>-44.976598958498698</v>
      </c>
      <c r="Y392">
        <f t="shared" si="280"/>
        <v>-173.34523335928654</v>
      </c>
      <c r="Z392">
        <f t="shared" si="297"/>
        <v>6.6547666407134614</v>
      </c>
      <c r="AC392">
        <v>1</v>
      </c>
      <c r="AD392">
        <f t="shared" si="281"/>
        <v>433.66230781335008</v>
      </c>
      <c r="AE392">
        <f t="shared" si="282"/>
        <v>-0.19885449093328256</v>
      </c>
      <c r="AF392">
        <f t="shared" si="283"/>
        <v>2.6741110973094003E-2</v>
      </c>
      <c r="AG392">
        <f t="shared" si="315"/>
        <v>283.1164497769426</v>
      </c>
      <c r="AH392">
        <f t="shared" si="316"/>
        <v>-2142.7298795807128</v>
      </c>
      <c r="AJ392">
        <f t="shared" si="284"/>
        <v>22100</v>
      </c>
      <c r="AK392">
        <f t="shared" si="285"/>
        <v>105441.84462517523</v>
      </c>
      <c r="AL392">
        <v>1</v>
      </c>
      <c r="AM392">
        <f t="shared" si="286"/>
        <v>338.44784768857443</v>
      </c>
      <c r="AN392">
        <f t="shared" si="317"/>
        <v>311.73553729920479</v>
      </c>
      <c r="AO392">
        <f t="shared" si="318"/>
        <v>-64.377021781948059</v>
      </c>
      <c r="AQ392">
        <f t="shared" si="287"/>
        <v>3.1561661544735027E-3</v>
      </c>
      <c r="AR392">
        <f t="shared" si="288"/>
        <v>-5.6179757549628349</v>
      </c>
      <c r="AT392">
        <f t="shared" si="313"/>
        <v>-12036.910950362319</v>
      </c>
      <c r="AU392">
        <f t="shared" si="314"/>
        <v>-1597.3041622021285</v>
      </c>
      <c r="AV392">
        <f t="shared" si="302"/>
        <v>-3.0096629472910545</v>
      </c>
      <c r="AW392">
        <f t="shared" si="303"/>
        <v>222.36430492064616</v>
      </c>
      <c r="AX392">
        <f t="shared" si="304"/>
        <v>-4121.6420086552989</v>
      </c>
      <c r="AY392">
        <f t="shared" si="312"/>
        <v>-1.516898162162408</v>
      </c>
      <c r="BA392">
        <f t="shared" si="289"/>
        <v>2.9417395470559193</v>
      </c>
      <c r="BB392">
        <f t="shared" si="305"/>
        <v>9.3720843788185331</v>
      </c>
      <c r="BC392">
        <f t="shared" si="306"/>
        <v>-1.4927647851286465</v>
      </c>
      <c r="BD392">
        <f t="shared" si="290"/>
        <v>-265.52912209135593</v>
      </c>
      <c r="BF392">
        <f t="shared" si="291"/>
        <v>-52.241928628596014</v>
      </c>
      <c r="BG392">
        <f t="shared" si="292"/>
        <v>-188.06940206430443</v>
      </c>
      <c r="BH392">
        <f t="shared" si="307"/>
        <v>-8.0694020643044269</v>
      </c>
      <c r="BI392">
        <f t="shared" si="308"/>
        <v>-8.0694020643044269</v>
      </c>
      <c r="BJ392">
        <f t="shared" si="293"/>
        <v>0</v>
      </c>
      <c r="BK392">
        <f t="shared" si="309"/>
        <v>0</v>
      </c>
      <c r="BM392">
        <f t="shared" si="310"/>
        <v>-61.614013007414535</v>
      </c>
      <c r="BN392">
        <f t="shared" si="294"/>
        <v>-102.54027997294851</v>
      </c>
      <c r="BQ392" s="47">
        <f t="shared" si="311"/>
        <v>26.27404517910367</v>
      </c>
      <c r="BR392" s="529"/>
      <c r="BS392" s="529"/>
      <c r="BT392" s="529">
        <v>660693.44799999997</v>
      </c>
      <c r="BU392" s="529">
        <v>9.7520900000000008</v>
      </c>
      <c r="BV392" s="529">
        <v>112.872</v>
      </c>
      <c r="BY392" s="529"/>
      <c r="BZ392" s="529"/>
      <c r="CA392" s="529"/>
      <c r="CC392" s="529"/>
    </row>
    <row r="393" spans="1:81">
      <c r="A393">
        <f t="shared" si="319"/>
        <v>895000</v>
      </c>
      <c r="B393">
        <f t="shared" si="295"/>
        <v>895</v>
      </c>
      <c r="C393">
        <f t="shared" ref="C393:C456" si="320">SQRT((A393/Fesr)^2+1)</f>
        <v>4.6085624232646518</v>
      </c>
      <c r="D393">
        <f t="shared" ref="D393:D456" si="321">ATAN(A393/Fesr)</f>
        <v>1.3520690444249972</v>
      </c>
      <c r="F393">
        <f t="shared" ref="F393:F456" si="322">(Ro/(Ro+Rdcr))/SQRT((A393/(Q*Fo))^2+(1-(A393^2/Fo^2))^2)</f>
        <v>1.1942475567116357E-5</v>
      </c>
      <c r="G393">
        <f t="shared" ref="G393:G456" si="323">-ATAN(A393*Fo/(Q*(Fo^2-A393^2)))</f>
        <v>1.0419235251626507E-3</v>
      </c>
      <c r="H393">
        <f t="shared" ref="H393:H456" si="324">IF(G393&gt;0,G393-Pi,G393)</f>
        <v>-3.1405507264748374</v>
      </c>
      <c r="J393">
        <f t="shared" ref="J393:J456" si="325">Vin/Vramp</f>
        <v>15</v>
      </c>
      <c r="M393">
        <f t="shared" ref="M393:M456" si="326">1/(2*Pi*_Rfb1*(Cc1ea_u+Cc2ea_u)*A393)</f>
        <v>1.682655662554151E-3</v>
      </c>
      <c r="N393">
        <f t="shared" ref="N393:N456" si="327">-Pi/2</f>
        <v>-1.5707963250000001</v>
      </c>
      <c r="O393">
        <f t="shared" ref="O393:O456" si="328">SQRT(1+(A393/Fz1_u)^2)</f>
        <v>436.09975944159072</v>
      </c>
      <c r="P393">
        <f t="shared" ref="P393:P456" si="329">ATAN2(Fz1_u,A393)</f>
        <v>1.5685032714682177</v>
      </c>
      <c r="Q393">
        <f t="shared" ref="Q393:Q456" si="330">SQRT(1+(A393/Fz2_u)^2)</f>
        <v>340.35070916737988</v>
      </c>
      <c r="R393">
        <f t="shared" ref="R393:R456" si="331">ATAN2(Fz2_u,A393)</f>
        <v>1.5678581767871138</v>
      </c>
      <c r="S393">
        <f t="shared" ref="S393:S456" si="332">1/SQRT(1+(A393/Fp1_u)^2)</f>
        <v>0.20403865570563381</v>
      </c>
      <c r="T393">
        <f t="shared" ref="T393:T456" si="333">-ATAN2(Fp1_u,A393)</f>
        <v>-1.3653147230598468</v>
      </c>
      <c r="U393">
        <f t="shared" ref="U393:U456" si="334">1/SQRT(1+(A393/Fp2_u)^2)</f>
        <v>0.13254466282254568</v>
      </c>
      <c r="V393">
        <f t="shared" ref="V393:V456" si="335">-ATAN2(Fp2_u,A393)</f>
        <v>-1.4378604706699167</v>
      </c>
      <c r="X393">
        <f t="shared" si="296"/>
        <v>-45.073328970784026</v>
      </c>
      <c r="Y393">
        <f t="shared" ref="Y393:Y456" si="336">(180/Pi)*(D393+H393+N393+P393+R393+T393+V393)</f>
        <v>-173.38228603710573</v>
      </c>
      <c r="Z393">
        <f t="shared" si="297"/>
        <v>6.6177139628942712</v>
      </c>
      <c r="AC393">
        <v>1</v>
      </c>
      <c r="AD393">
        <f t="shared" ref="AD393:AD456" si="337">Rcea1_u*Cc1ea_u*A393*2*Pi</f>
        <v>436.09861291342509</v>
      </c>
      <c r="AE393">
        <f t="shared" ref="AE393:AE456" si="338">-Rcea1_u*Cc1ea_u*Cc2ea_u*(A393*2*Pi)^2</f>
        <v>-0.2010950872362488</v>
      </c>
      <c r="AF393">
        <f t="shared" ref="AF393:AF456" si="339">(Cc2ea_u+Cc1ea_u)*A393*2*Pi</f>
        <v>2.6891341933617006E-2</v>
      </c>
      <c r="AG393">
        <f t="shared" si="315"/>
        <v>280.01739167147855</v>
      </c>
      <c r="AH393">
        <f t="shared" si="316"/>
        <v>-2131.1737416197566</v>
      </c>
      <c r="AJ393">
        <f t="shared" ref="AJ393:AJ456" si="340">_Rfb1</f>
        <v>22100</v>
      </c>
      <c r="AK393">
        <f t="shared" ref="AK393:AK456" si="341">_Rfb1*Rcea2_u*Cc3ea_u*A393*2*Pi</f>
        <v>106034.21453879983</v>
      </c>
      <c r="AL393">
        <v>1</v>
      </c>
      <c r="AM393">
        <f t="shared" ref="AM393:AM456" si="342">(_Rfb1+Rcea2_u)*Cc3ea_u*A393*2*Pi</f>
        <v>340.34924009131925</v>
      </c>
      <c r="AN393">
        <f t="shared" si="317"/>
        <v>311.73341797435791</v>
      </c>
      <c r="AO393">
        <f t="shared" si="318"/>
        <v>-64.017379842480693</v>
      </c>
      <c r="AQ393">
        <f t="shared" ref="AQ393:AQ456" si="343">Eadcg/(1+(Eadcg*A393/GBP)^2)</f>
        <v>3.1210002431259188E-3</v>
      </c>
      <c r="AR393">
        <f t="shared" ref="AR393:AR456" si="344">-(A393*Eadcg*Eadcg/GBP)/(1+(Eadcg*A393/GBP)^2)</f>
        <v>-5.5865904351953946</v>
      </c>
      <c r="AT393">
        <f t="shared" si="313"/>
        <v>-11905.120906325026</v>
      </c>
      <c r="AU393">
        <f t="shared" si="314"/>
        <v>-1570.9938757659836</v>
      </c>
      <c r="AV393">
        <f t="shared" si="302"/>
        <v>-3.0103911936317345</v>
      </c>
      <c r="AW393">
        <f t="shared" si="303"/>
        <v>223.41099048673937</v>
      </c>
      <c r="AX393">
        <f t="shared" si="304"/>
        <v>-4098.9989045768179</v>
      </c>
      <c r="AY393">
        <f t="shared" si="312"/>
        <v>-1.5163464079567257</v>
      </c>
      <c r="BA393">
        <f t="shared" ref="BA393:BA456" si="345">SQRT(AT393^2+AU393^2)/SQRT(AW393^2+AX393^2)</f>
        <v>2.9252339198734072</v>
      </c>
      <c r="BB393">
        <f t="shared" si="305"/>
        <v>9.3232120138219816</v>
      </c>
      <c r="BC393">
        <f t="shared" si="306"/>
        <v>-1.4940447856750088</v>
      </c>
      <c r="BD393">
        <f t="shared" ref="BD393:BD456" si="346">BC393*180/Pi-180</f>
        <v>-265.6024607205207</v>
      </c>
      <c r="BF393">
        <f t="shared" ref="BF393:BF456" si="347">20*LOG(BA393*J393*F393*C393)</f>
        <v>-52.341766088004206</v>
      </c>
      <c r="BG393">
        <f t="shared" ref="BG393:BG456" si="348">(180/Pi)*(D393+H393+BC393)</f>
        <v>-188.0749129555268</v>
      </c>
      <c r="BH393">
        <f t="shared" si="307"/>
        <v>-8.0749129555267984</v>
      </c>
      <c r="BI393">
        <f t="shared" si="308"/>
        <v>-8.0749129555267984</v>
      </c>
      <c r="BJ393">
        <f t="shared" ref="BJ393:BJ456" si="349">SUM((BF394&lt;0)*(BF393&gt;0))*A393</f>
        <v>0</v>
      </c>
      <c r="BK393">
        <f t="shared" si="309"/>
        <v>0</v>
      </c>
      <c r="BM393">
        <f t="shared" si="310"/>
        <v>-61.664978101826186</v>
      </c>
      <c r="BN393">
        <f t="shared" ref="BN393:BN456" si="350">(H393+D393)*180/Pi</f>
        <v>-102.47245223500609</v>
      </c>
      <c r="BQ393" s="47">
        <f t="shared" si="311"/>
        <v>26.225172814107118</v>
      </c>
      <c r="BR393" s="529"/>
      <c r="BS393" s="529"/>
      <c r="BT393" s="529">
        <v>676082.97499999998</v>
      </c>
      <c r="BU393" s="529">
        <v>9.5117999999999991</v>
      </c>
      <c r="BV393" s="529">
        <v>110.592</v>
      </c>
      <c r="BY393" s="529"/>
      <c r="BZ393" s="529"/>
      <c r="CA393" s="529"/>
      <c r="CC393" s="529"/>
    </row>
    <row r="394" spans="1:81">
      <c r="A394">
        <f t="shared" si="319"/>
        <v>900000</v>
      </c>
      <c r="B394">
        <f t="shared" ref="B394:B457" si="351">A394/1000</f>
        <v>900</v>
      </c>
      <c r="C394">
        <f t="shared" si="320"/>
        <v>4.6330995714886321</v>
      </c>
      <c r="D394">
        <f t="shared" si="321"/>
        <v>1.3532461159433613</v>
      </c>
      <c r="F394">
        <f t="shared" si="322"/>
        <v>1.18101484691897E-5</v>
      </c>
      <c r="G394">
        <f t="shared" si="323"/>
        <v>1.0361349257133556E-3</v>
      </c>
      <c r="H394">
        <f t="shared" si="324"/>
        <v>-3.1405565150742869</v>
      </c>
      <c r="J394">
        <f t="shared" si="325"/>
        <v>15</v>
      </c>
      <c r="M394">
        <f t="shared" si="326"/>
        <v>1.6733075755399611E-3</v>
      </c>
      <c r="N394">
        <f t="shared" si="327"/>
        <v>-1.5707963250000001</v>
      </c>
      <c r="O394">
        <f t="shared" si="328"/>
        <v>438.53605817208143</v>
      </c>
      <c r="P394">
        <f t="shared" si="329"/>
        <v>1.5685160106201923</v>
      </c>
      <c r="Q394">
        <f t="shared" si="330"/>
        <v>342.25209340862597</v>
      </c>
      <c r="R394">
        <f t="shared" si="331"/>
        <v>1.5678744997495524</v>
      </c>
      <c r="S394">
        <f t="shared" si="332"/>
        <v>0.202951922897051</v>
      </c>
      <c r="T394">
        <f t="shared" si="333"/>
        <v>-1.3664246807696316</v>
      </c>
      <c r="U394">
        <f t="shared" si="334"/>
        <v>0.131821134277612</v>
      </c>
      <c r="V394">
        <f t="shared" si="335"/>
        <v>-1.4385904041474005</v>
      </c>
      <c r="X394">
        <f t="shared" ref="X394:X457" si="352">20*LOG(C394*J394*O394*Q394*F394*M394*S394*U394)</f>
        <v>-45.16952672011989</v>
      </c>
      <c r="Y394">
        <f t="shared" si="336"/>
        <v>-173.41892933257222</v>
      </c>
      <c r="Z394">
        <f t="shared" ref="Z394:Z457" si="353">Y394+180</f>
        <v>6.581070667427781</v>
      </c>
      <c r="AC394">
        <v>1</v>
      </c>
      <c r="AD394">
        <f t="shared" si="337"/>
        <v>438.53491801350003</v>
      </c>
      <c r="AE394">
        <f t="shared" si="338"/>
        <v>-0.20334823589945572</v>
      </c>
      <c r="AF394">
        <f t="shared" si="339"/>
        <v>2.7041572894140001E-2</v>
      </c>
      <c r="AG394">
        <f t="shared" si="315"/>
        <v>276.96864420142128</v>
      </c>
      <c r="AH394">
        <f t="shared" si="316"/>
        <v>-2119.7393148031233</v>
      </c>
      <c r="AJ394">
        <f t="shared" si="340"/>
        <v>22100</v>
      </c>
      <c r="AK394">
        <f t="shared" si="341"/>
        <v>106626.58445242442</v>
      </c>
      <c r="AL394">
        <v>1</v>
      </c>
      <c r="AM394">
        <f t="shared" si="342"/>
        <v>342.25063249406401</v>
      </c>
      <c r="AN394">
        <f t="shared" si="317"/>
        <v>311.73133387298117</v>
      </c>
      <c r="AO394">
        <f t="shared" si="318"/>
        <v>-63.66173382164579</v>
      </c>
      <c r="AQ394">
        <f t="shared" si="343"/>
        <v>3.0864188004880245E-3</v>
      </c>
      <c r="AR394">
        <f t="shared" si="344"/>
        <v>-5.5555538408784439</v>
      </c>
      <c r="AT394">
        <f t="shared" si="313"/>
        <v>-11775.471050784925</v>
      </c>
      <c r="AU394">
        <f t="shared" si="314"/>
        <v>-1545.2566183694432</v>
      </c>
      <c r="AV394">
        <f t="shared" ref="AV394:AV457" si="354">ATAN2(AT394,AU394)</f>
        <v>-3.0111114916186015</v>
      </c>
      <c r="AW394">
        <f t="shared" ref="AW394:AW457" si="355">AG394-AH394*AO394/_Rfb2+AG394*AN394/_Rfb2+AN394-AO394*AR394+AQ394*AN394</f>
        <v>224.43913459518618</v>
      </c>
      <c r="AX394">
        <f t="shared" ref="AX394:AX457" si="356">AH394+AH394*AN394/_Rfb2+AG394*AO394/_Rfb2+AO394+AO394*AQ394+AN394*AR394</f>
        <v>-4076.6012155626304</v>
      </c>
      <c r="AY394">
        <f t="shared" si="312"/>
        <v>-1.5157963971462756</v>
      </c>
      <c r="BA394">
        <f t="shared" si="345"/>
        <v>2.9089107851783425</v>
      </c>
      <c r="BB394">
        <f t="shared" ref="BB394:BB457" si="357">20*LOG(BA394)</f>
        <v>9.2746080371866544</v>
      </c>
      <c r="BC394">
        <f t="shared" ref="BC394:BC457" si="358">AV394-AY394</f>
        <v>-1.4953150944723259</v>
      </c>
      <c r="BD394">
        <f t="shared" si="346"/>
        <v>-265.67524405336849</v>
      </c>
      <c r="BF394">
        <f t="shared" si="347"/>
        <v>-52.441026958198776</v>
      </c>
      <c r="BG394">
        <f t="shared" si="348"/>
        <v>-188.08058672042833</v>
      </c>
      <c r="BH394">
        <f t="shared" ref="BH394:BH457" si="359">IF(BG394&gt;180,BG394-180,BG394+180)</f>
        <v>-8.0805867204283288</v>
      </c>
      <c r="BI394">
        <f t="shared" ref="BI394:BI457" si="360">IF(BH394&gt;180,BH394-360,BH394)</f>
        <v>-8.0805867204283288</v>
      </c>
      <c r="BJ394">
        <f t="shared" si="349"/>
        <v>0</v>
      </c>
      <c r="BK394">
        <f t="shared" ref="BK394:BK457" si="361">IF(BJ394&gt;0,BI394,0)</f>
        <v>0</v>
      </c>
      <c r="BM394">
        <f t="shared" ref="BM394:BM457" si="362">20*LOG(J394*F394*C394)</f>
        <v>-61.715634995385429</v>
      </c>
      <c r="BN394">
        <f t="shared" si="350"/>
        <v>-102.40534266705984</v>
      </c>
      <c r="BQ394" s="47">
        <f t="shared" ref="BQ394:BQ457" si="363">20*LOG(BA394*7)</f>
        <v>26.176568837471791</v>
      </c>
      <c r="BR394" s="529"/>
      <c r="BS394" s="529"/>
      <c r="BT394" s="529">
        <v>691830.97100000002</v>
      </c>
      <c r="BU394" s="529">
        <v>9.28308</v>
      </c>
      <c r="BV394" s="529">
        <v>111.01300000000001</v>
      </c>
      <c r="BY394" s="529"/>
      <c r="BZ394" s="529"/>
      <c r="CA394" s="529"/>
      <c r="CC394" s="529"/>
    </row>
    <row r="395" spans="1:81">
      <c r="A395">
        <f t="shared" si="319"/>
        <v>905000</v>
      </c>
      <c r="B395">
        <f t="shared" si="351"/>
        <v>905</v>
      </c>
      <c r="C395">
        <f t="shared" si="320"/>
        <v>4.657643071220658</v>
      </c>
      <c r="D395">
        <f t="shared" si="321"/>
        <v>1.3544107838794439</v>
      </c>
      <c r="F395">
        <f t="shared" si="322"/>
        <v>1.1680008606925153E-5</v>
      </c>
      <c r="G395">
        <f t="shared" si="323"/>
        <v>1.0304102909149155E-3</v>
      </c>
      <c r="H395">
        <f t="shared" si="324"/>
        <v>-3.1405622397090851</v>
      </c>
      <c r="J395">
        <f t="shared" si="325"/>
        <v>15</v>
      </c>
      <c r="M395">
        <f t="shared" si="326"/>
        <v>1.6640627823049337E-3</v>
      </c>
      <c r="N395">
        <f t="shared" si="327"/>
        <v>-1.5707963250000001</v>
      </c>
      <c r="O395">
        <f t="shared" si="328"/>
        <v>440.972356972954</v>
      </c>
      <c r="P395">
        <f t="shared" si="329"/>
        <v>1.5685286090087849</v>
      </c>
      <c r="Q395">
        <f t="shared" si="330"/>
        <v>344.15347774005375</v>
      </c>
      <c r="R395">
        <f t="shared" si="331"/>
        <v>1.5678906423492966</v>
      </c>
      <c r="S395">
        <f t="shared" si="332"/>
        <v>0.20187646010764573</v>
      </c>
      <c r="T395">
        <f t="shared" si="333"/>
        <v>-1.3675228762638907</v>
      </c>
      <c r="U395">
        <f t="shared" si="334"/>
        <v>0.13110539325458845</v>
      </c>
      <c r="V395">
        <f t="shared" si="335"/>
        <v>-1.4393124114571911</v>
      </c>
      <c r="X395">
        <f t="shared" si="352"/>
        <v>-45.265197993249906</v>
      </c>
      <c r="Y395">
        <f t="shared" si="336"/>
        <v>-173.45516997395427</v>
      </c>
      <c r="Z395">
        <f t="shared" si="353"/>
        <v>6.5448300260457302</v>
      </c>
      <c r="AC395">
        <v>1</v>
      </c>
      <c r="AD395">
        <f t="shared" si="337"/>
        <v>440.97122311357504</v>
      </c>
      <c r="AE395">
        <f t="shared" si="338"/>
        <v>-0.20561393692290336</v>
      </c>
      <c r="AF395">
        <f t="shared" si="339"/>
        <v>2.7191803854663004E-2</v>
      </c>
      <c r="AG395">
        <f t="shared" si="315"/>
        <v>273.9691306250898</v>
      </c>
      <c r="AH395">
        <f t="shared" si="316"/>
        <v>-2108.4247242147671</v>
      </c>
      <c r="AJ395">
        <f t="shared" si="340"/>
        <v>22100</v>
      </c>
      <c r="AK395">
        <f t="shared" si="341"/>
        <v>107218.95436604899</v>
      </c>
      <c r="AL395">
        <v>1</v>
      </c>
      <c r="AM395">
        <f t="shared" si="342"/>
        <v>344.15202489680877</v>
      </c>
      <c r="AN395">
        <f t="shared" si="317"/>
        <v>311.72928421882079</v>
      </c>
      <c r="AO395">
        <f t="shared" si="318"/>
        <v>-63.310017491003336</v>
      </c>
      <c r="AQ395">
        <f t="shared" si="343"/>
        <v>3.0524089458780421E-3</v>
      </c>
      <c r="AR395">
        <f t="shared" si="344"/>
        <v>-5.5248601920392568</v>
      </c>
      <c r="AT395">
        <f t="shared" si="313"/>
        <v>-11647.915560900303</v>
      </c>
      <c r="AU395">
        <f t="shared" si="314"/>
        <v>-1520.0769181280655</v>
      </c>
      <c r="AV395">
        <f t="shared" si="354"/>
        <v>-3.0118239699065681</v>
      </c>
      <c r="AW395">
        <f t="shared" si="355"/>
        <v>225.44917650736645</v>
      </c>
      <c r="AX395">
        <f t="shared" si="356"/>
        <v>-4054.4450052385964</v>
      </c>
      <c r="AY395">
        <f t="shared" ref="AY395:AY458" si="364">ATAN2(AW395,AX395)</f>
        <v>-1.5152480961335173</v>
      </c>
      <c r="BA395">
        <f t="shared" si="345"/>
        <v>2.8927671284355667</v>
      </c>
      <c r="BB395">
        <f t="shared" si="357"/>
        <v>9.2262694755447932</v>
      </c>
      <c r="BC395">
        <f t="shared" si="358"/>
        <v>-1.4965758737730508</v>
      </c>
      <c r="BD395">
        <f t="shared" si="346"/>
        <v>-265.74748138628001</v>
      </c>
      <c r="BF395">
        <f t="shared" si="347"/>
        <v>-52.539718002825637</v>
      </c>
      <c r="BG395">
        <f t="shared" si="348"/>
        <v>-188.08642149340542</v>
      </c>
      <c r="BH395">
        <f t="shared" si="359"/>
        <v>-8.0864214934054246</v>
      </c>
      <c r="BI395">
        <f t="shared" si="360"/>
        <v>-8.0864214934054246</v>
      </c>
      <c r="BJ395">
        <f t="shared" si="349"/>
        <v>0</v>
      </c>
      <c r="BK395">
        <f t="shared" si="361"/>
        <v>0</v>
      </c>
      <c r="BM395">
        <f t="shared" si="362"/>
        <v>-61.765987478370434</v>
      </c>
      <c r="BN395">
        <f t="shared" si="350"/>
        <v>-102.3389401071254</v>
      </c>
      <c r="BQ395" s="47">
        <f t="shared" si="363"/>
        <v>26.128230275829935</v>
      </c>
      <c r="BR395" s="529"/>
      <c r="BS395" s="529"/>
      <c r="BT395" s="529">
        <v>707945.78399999999</v>
      </c>
      <c r="BU395" s="529">
        <v>9.1002899999999993</v>
      </c>
      <c r="BV395" s="529">
        <v>109.21</v>
      </c>
      <c r="BY395" s="529"/>
      <c r="BZ395" s="529"/>
      <c r="CA395" s="529"/>
      <c r="CC395" s="529"/>
    </row>
    <row r="396" spans="1:81">
      <c r="A396">
        <f t="shared" si="319"/>
        <v>910000</v>
      </c>
      <c r="B396">
        <f t="shared" si="351"/>
        <v>910</v>
      </c>
      <c r="C396">
        <f t="shared" si="320"/>
        <v>4.6821928225791707</v>
      </c>
      <c r="D396">
        <f t="shared" si="321"/>
        <v>1.3555632401525219</v>
      </c>
      <c r="F396">
        <f t="shared" si="322"/>
        <v>1.155200804061469E-5</v>
      </c>
      <c r="G396">
        <f t="shared" si="323"/>
        <v>1.0247485663564329E-3</v>
      </c>
      <c r="H396">
        <f t="shared" si="324"/>
        <v>-3.1405679014336436</v>
      </c>
      <c r="J396">
        <f t="shared" si="325"/>
        <v>15</v>
      </c>
      <c r="M396">
        <f t="shared" si="326"/>
        <v>1.6549195802043571E-3</v>
      </c>
      <c r="N396">
        <f t="shared" si="327"/>
        <v>-1.5707963250000001</v>
      </c>
      <c r="O396">
        <f t="shared" si="328"/>
        <v>443.40865584304834</v>
      </c>
      <c r="P396">
        <f t="shared" si="329"/>
        <v>1.5685410689542547</v>
      </c>
      <c r="Q396">
        <f t="shared" si="330"/>
        <v>346.05486216017675</v>
      </c>
      <c r="R396">
        <f t="shared" si="331"/>
        <v>1.5679066075593244</v>
      </c>
      <c r="S396">
        <f t="shared" si="332"/>
        <v>0.20081209684047238</v>
      </c>
      <c r="T396">
        <f t="shared" si="333"/>
        <v>-1.3686094929160764</v>
      </c>
      <c r="U396">
        <f t="shared" si="334"/>
        <v>0.1303973158090318</v>
      </c>
      <c r="V396">
        <f t="shared" si="335"/>
        <v>-1.4400266202639307</v>
      </c>
      <c r="X396">
        <f t="shared" si="352"/>
        <v>-45.36034848373103</v>
      </c>
      <c r="Y396">
        <f t="shared" si="336"/>
        <v>-173.49101454339055</v>
      </c>
      <c r="Z396">
        <f t="shared" si="353"/>
        <v>6.5089854566094516</v>
      </c>
      <c r="AC396">
        <v>1</v>
      </c>
      <c r="AD396">
        <f t="shared" si="337"/>
        <v>443.40752821364998</v>
      </c>
      <c r="AE396">
        <f t="shared" si="338"/>
        <v>-0.2078921903065917</v>
      </c>
      <c r="AF396">
        <f t="shared" si="339"/>
        <v>2.7342034815186003E-2</v>
      </c>
      <c r="AG396">
        <f t="shared" si="315"/>
        <v>271.01780268115084</v>
      </c>
      <c r="AH396">
        <f t="shared" si="316"/>
        <v>-2097.2281323998463</v>
      </c>
      <c r="AJ396">
        <f t="shared" si="340"/>
        <v>22100</v>
      </c>
      <c r="AK396">
        <f t="shared" si="341"/>
        <v>107811.32427967357</v>
      </c>
      <c r="AL396">
        <v>1</v>
      </c>
      <c r="AM396">
        <f t="shared" si="342"/>
        <v>346.05341729955359</v>
      </c>
      <c r="AN396">
        <f t="shared" si="317"/>
        <v>311.72726825688932</v>
      </c>
      <c r="AO396">
        <f t="shared" si="318"/>
        <v>-62.962166077621966</v>
      </c>
      <c r="AQ396">
        <f t="shared" si="343"/>
        <v>3.0189581515039999E-3</v>
      </c>
      <c r="AR396">
        <f t="shared" si="344"/>
        <v>-5.4945038357372793</v>
      </c>
      <c r="AT396">
        <f t="shared" si="313"/>
        <v>-11522.409826482479</v>
      </c>
      <c r="AU396">
        <f t="shared" si="314"/>
        <v>-1495.4398003505444</v>
      </c>
      <c r="AV396">
        <f t="shared" si="354"/>
        <v>-3.0125287544053108</v>
      </c>
      <c r="AW396">
        <f t="shared" si="355"/>
        <v>226.44154247521629</v>
      </c>
      <c r="AX396">
        <f t="shared" si="356"/>
        <v>-4032.5264202957765</v>
      </c>
      <c r="AY396">
        <f t="shared" si="364"/>
        <v>-1.5147014722036944</v>
      </c>
      <c r="BA396">
        <f t="shared" si="345"/>
        <v>2.8768000010466697</v>
      </c>
      <c r="BB396">
        <f t="shared" si="357"/>
        <v>9.1781934042228936</v>
      </c>
      <c r="BC396">
        <f t="shared" si="358"/>
        <v>-1.4978272822016163</v>
      </c>
      <c r="BD396">
        <f t="shared" si="346"/>
        <v>-265.81918180776586</v>
      </c>
      <c r="BF396">
        <f t="shared" si="347"/>
        <v>-52.637845866618264</v>
      </c>
      <c r="BG396">
        <f t="shared" si="348"/>
        <v>-188.09241542721739</v>
      </c>
      <c r="BH396">
        <f t="shared" si="359"/>
        <v>-8.0924154272173894</v>
      </c>
      <c r="BI396">
        <f t="shared" si="360"/>
        <v>-8.0924154272173894</v>
      </c>
      <c r="BJ396">
        <f t="shared" si="349"/>
        <v>0</v>
      </c>
      <c r="BK396">
        <f t="shared" si="361"/>
        <v>0</v>
      </c>
      <c r="BM396">
        <f t="shared" si="362"/>
        <v>-61.816039270841152</v>
      </c>
      <c r="BN396">
        <f t="shared" si="350"/>
        <v>-102.27323361945155</v>
      </c>
      <c r="BQ396" s="47">
        <f t="shared" si="363"/>
        <v>26.08015420450803</v>
      </c>
      <c r="BR396" s="529"/>
      <c r="BS396" s="529"/>
      <c r="BT396" s="529">
        <v>724435.96</v>
      </c>
      <c r="BU396" s="529">
        <v>8.7908299999999997</v>
      </c>
      <c r="BV396" s="529">
        <v>107.553</v>
      </c>
      <c r="BY396" s="529"/>
      <c r="BZ396" s="529"/>
      <c r="CA396" s="529"/>
      <c r="CC396" s="529"/>
    </row>
    <row r="397" spans="1:81">
      <c r="A397">
        <f t="shared" si="319"/>
        <v>915000</v>
      </c>
      <c r="B397">
        <f t="shared" si="351"/>
        <v>915</v>
      </c>
      <c r="C397">
        <f t="shared" si="320"/>
        <v>4.7067487277413118</v>
      </c>
      <c r="D397">
        <f t="shared" si="321"/>
        <v>1.356703672808059</v>
      </c>
      <c r="F397">
        <f t="shared" si="322"/>
        <v>1.1426100136818964E-5</v>
      </c>
      <c r="G397">
        <f t="shared" si="323"/>
        <v>1.0191487206755571E-3</v>
      </c>
      <c r="H397">
        <f t="shared" si="324"/>
        <v>-3.1405735012793246</v>
      </c>
      <c r="J397">
        <f t="shared" si="325"/>
        <v>15</v>
      </c>
      <c r="M397">
        <f t="shared" si="326"/>
        <v>1.645876303809798E-3</v>
      </c>
      <c r="N397">
        <f t="shared" si="327"/>
        <v>-1.5707963250000001</v>
      </c>
      <c r="O397">
        <f t="shared" si="328"/>
        <v>445.84495478122955</v>
      </c>
      <c r="P397">
        <f t="shared" si="329"/>
        <v>1.5685533927261461</v>
      </c>
      <c r="Q397">
        <f t="shared" si="330"/>
        <v>347.95624666754105</v>
      </c>
      <c r="R397">
        <f t="shared" si="331"/>
        <v>1.5679223982876314</v>
      </c>
      <c r="S397">
        <f t="shared" si="332"/>
        <v>0.19975866593649416</v>
      </c>
      <c r="T397">
        <f t="shared" si="333"/>
        <v>-1.3696847103625176</v>
      </c>
      <c r="U397">
        <f t="shared" si="334"/>
        <v>0.12969678058890818</v>
      </c>
      <c r="V397">
        <f t="shared" si="335"/>
        <v>-1.4407331555210592</v>
      </c>
      <c r="X397">
        <f t="shared" si="352"/>
        <v>-45.454983793908177</v>
      </c>
      <c r="Y397">
        <f t="shared" si="336"/>
        <v>-173.52646948081946</v>
      </c>
      <c r="Z397">
        <f t="shared" si="353"/>
        <v>6.4735305191805423</v>
      </c>
      <c r="AC397">
        <v>1</v>
      </c>
      <c r="AD397">
        <f t="shared" si="337"/>
        <v>445.8438333137251</v>
      </c>
      <c r="AE397">
        <f t="shared" si="338"/>
        <v>-0.21018299605052077</v>
      </c>
      <c r="AF397">
        <f t="shared" si="339"/>
        <v>2.7492265775709002E-2</v>
      </c>
      <c r="AG397">
        <f t="shared" si="315"/>
        <v>268.11363969490117</v>
      </c>
      <c r="AH397">
        <f t="shared" si="316"/>
        <v>-2086.147738458093</v>
      </c>
      <c r="AJ397">
        <f t="shared" si="340"/>
        <v>22100</v>
      </c>
      <c r="AK397">
        <f t="shared" si="341"/>
        <v>108403.69419329814</v>
      </c>
      <c r="AL397">
        <v>1</v>
      </c>
      <c r="AM397">
        <f t="shared" si="342"/>
        <v>347.95480970229841</v>
      </c>
      <c r="AN397">
        <f t="shared" si="317"/>
        <v>311.7252852527705</v>
      </c>
      <c r="AO397">
        <f t="shared" si="318"/>
        <v>-62.618116224312985</v>
      </c>
      <c r="AQ397">
        <f t="shared" si="343"/>
        <v>2.9860542309253094E-3</v>
      </c>
      <c r="AR397">
        <f t="shared" si="344"/>
        <v>-5.4644792425933169</v>
      </c>
      <c r="AT397">
        <f t="shared" si="313"/>
        <v>-11398.910411919062</v>
      </c>
      <c r="AU397">
        <f t="shared" si="314"/>
        <v>-1471.330769049689</v>
      </c>
      <c r="AV397">
        <f t="shared" si="354"/>
        <v>-3.0132259683516653</v>
      </c>
      <c r="AW397">
        <f t="shared" si="355"/>
        <v>227.41664620248434</v>
      </c>
      <c r="AX397">
        <f t="shared" si="356"/>
        <v>-4010.8416883283339</v>
      </c>
      <c r="AY397">
        <f t="shared" si="364"/>
        <v>-1.5141564934962226</v>
      </c>
      <c r="BA397">
        <f t="shared" si="345"/>
        <v>2.8610065185604019</v>
      </c>
      <c r="BB397">
        <f t="shared" si="357"/>
        <v>9.1303769461897506</v>
      </c>
      <c r="BC397">
        <f t="shared" si="358"/>
        <v>-1.4990694748554427</v>
      </c>
      <c r="BD397">
        <f t="shared" si="346"/>
        <v>-265.89035420425358</v>
      </c>
      <c r="BF397">
        <f t="shared" si="347"/>
        <v>-52.735417078175146</v>
      </c>
      <c r="BG397">
        <f t="shared" si="348"/>
        <v>-188.0985666931731</v>
      </c>
      <c r="BH397">
        <f t="shared" si="359"/>
        <v>-8.0985666931730975</v>
      </c>
      <c r="BI397">
        <f t="shared" si="360"/>
        <v>-8.0985666931730975</v>
      </c>
      <c r="BJ397">
        <f t="shared" si="349"/>
        <v>0</v>
      </c>
      <c r="BK397">
        <f t="shared" si="361"/>
        <v>0</v>
      </c>
      <c r="BM397">
        <f t="shared" si="362"/>
        <v>-61.865794024364895</v>
      </c>
      <c r="BN397">
        <f t="shared" si="350"/>
        <v>-102.20821248891951</v>
      </c>
      <c r="BQ397" s="47">
        <f t="shared" si="363"/>
        <v>26.032337746474887</v>
      </c>
      <c r="BR397" s="529"/>
      <c r="BS397" s="529"/>
      <c r="BT397" s="529">
        <v>741310.24100000004</v>
      </c>
      <c r="BU397" s="529">
        <v>8.6150300000000009</v>
      </c>
      <c r="BV397" s="529">
        <v>107.324</v>
      </c>
      <c r="BY397" s="529"/>
      <c r="BZ397" s="529"/>
      <c r="CA397" s="529"/>
      <c r="CC397" s="529"/>
    </row>
    <row r="398" spans="1:81">
      <c r="A398">
        <f t="shared" si="319"/>
        <v>920000</v>
      </c>
      <c r="B398">
        <f t="shared" si="351"/>
        <v>920</v>
      </c>
      <c r="C398">
        <f t="shared" si="320"/>
        <v>4.7313106908907887</v>
      </c>
      <c r="D398">
        <f t="shared" si="321"/>
        <v>1.3578322661132427</v>
      </c>
      <c r="F398">
        <f t="shared" si="322"/>
        <v>1.1302239525886667E-5</v>
      </c>
      <c r="G398">
        <f t="shared" si="323"/>
        <v>1.0136097449321235E-3</v>
      </c>
      <c r="H398">
        <f t="shared" si="324"/>
        <v>-3.140579040255068</v>
      </c>
      <c r="J398">
        <f t="shared" si="325"/>
        <v>15</v>
      </c>
      <c r="M398">
        <f t="shared" si="326"/>
        <v>1.6369313238977883E-3</v>
      </c>
      <c r="N398">
        <f t="shared" si="327"/>
        <v>-1.5707963250000001</v>
      </c>
      <c r="O398">
        <f t="shared" si="328"/>
        <v>448.28125378638771</v>
      </c>
      <c r="P398">
        <f t="shared" si="329"/>
        <v>1.5685655825446654</v>
      </c>
      <c r="Q398">
        <f t="shared" si="330"/>
        <v>349.85763126072413</v>
      </c>
      <c r="R398">
        <f t="shared" si="331"/>
        <v>1.5679380173789974</v>
      </c>
      <c r="S398">
        <f t="shared" si="332"/>
        <v>0.1987160034955659</v>
      </c>
      <c r="T398">
        <f t="shared" si="333"/>
        <v>-1.370748704595695</v>
      </c>
      <c r="U398">
        <f t="shared" si="334"/>
        <v>0.12900366876781202</v>
      </c>
      <c r="V398">
        <f t="shared" si="335"/>
        <v>-1.4414321395419851</v>
      </c>
      <c r="X398">
        <f t="shared" si="352"/>
        <v>-45.549109436837341</v>
      </c>
      <c r="Y398">
        <f t="shared" si="336"/>
        <v>-173.56154108778287</v>
      </c>
      <c r="Z398">
        <f t="shared" si="353"/>
        <v>6.4384589122171292</v>
      </c>
      <c r="AC398">
        <v>1</v>
      </c>
      <c r="AD398">
        <f t="shared" si="337"/>
        <v>448.28013841380005</v>
      </c>
      <c r="AE398">
        <f t="shared" si="338"/>
        <v>-0.21248635415469055</v>
      </c>
      <c r="AF398">
        <f t="shared" si="339"/>
        <v>2.7642496736232001E-2</v>
      </c>
      <c r="AG398">
        <f t="shared" si="315"/>
        <v>265.25564771689278</v>
      </c>
      <c r="AH398">
        <f t="shared" si="316"/>
        <v>-2075.1817771625356</v>
      </c>
      <c r="AJ398">
        <f t="shared" si="340"/>
        <v>22100</v>
      </c>
      <c r="AK398">
        <f t="shared" si="341"/>
        <v>108996.06410692273</v>
      </c>
      <c r="AL398">
        <v>1</v>
      </c>
      <c r="AM398">
        <f t="shared" si="342"/>
        <v>349.85620210504322</v>
      </c>
      <c r="AN398">
        <f t="shared" si="317"/>
        <v>311.72333449195065</v>
      </c>
      <c r="AO398">
        <f t="shared" si="318"/>
        <v>-62.277805951161007</v>
      </c>
      <c r="AQ398">
        <f t="shared" si="343"/>
        <v>2.9536853279521127E-3</v>
      </c>
      <c r="AR398">
        <f t="shared" si="344"/>
        <v>-5.4347810034318869</v>
      </c>
      <c r="AT398">
        <f t="shared" si="313"/>
        <v>-11277.375019476154</v>
      </c>
      <c r="AU398">
        <f t="shared" si="314"/>
        <v>-1447.7357892328282</v>
      </c>
      <c r="AV398">
        <f t="shared" si="354"/>
        <v>-3.0139157323797523</v>
      </c>
      <c r="AW398">
        <f t="shared" si="355"/>
        <v>228.37488928699133</v>
      </c>
      <c r="AX398">
        <f t="shared" si="356"/>
        <v>-3989.3871157380781</v>
      </c>
      <c r="AY398">
        <f t="shared" si="364"/>
        <v>-1.5136131289771773</v>
      </c>
      <c r="BA398">
        <f t="shared" si="345"/>
        <v>2.8453838589408993</v>
      </c>
      <c r="BB398">
        <f t="shared" si="357"/>
        <v>9.0828172710325248</v>
      </c>
      <c r="BC398">
        <f t="shared" si="358"/>
        <v>-1.500302603402575</v>
      </c>
      <c r="BD398">
        <f t="shared" si="346"/>
        <v>-265.9610072656821</v>
      </c>
      <c r="BF398">
        <f t="shared" si="347"/>
        <v>-52.832438052656869</v>
      </c>
      <c r="BG398">
        <f t="shared" si="348"/>
        <v>-188.10487348128726</v>
      </c>
      <c r="BH398">
        <f t="shared" si="359"/>
        <v>-8.1048734812872567</v>
      </c>
      <c r="BI398">
        <f t="shared" si="360"/>
        <v>-8.1048734812872567</v>
      </c>
      <c r="BJ398">
        <f t="shared" si="349"/>
        <v>0</v>
      </c>
      <c r="BK398">
        <f t="shared" si="361"/>
        <v>0</v>
      </c>
      <c r="BM398">
        <f t="shared" si="362"/>
        <v>-61.915255323689387</v>
      </c>
      <c r="BN398">
        <f t="shared" si="350"/>
        <v>-102.14386621560517</v>
      </c>
      <c r="BQ398" s="47">
        <f t="shared" si="363"/>
        <v>25.984778071317663</v>
      </c>
      <c r="BR398" s="529"/>
      <c r="BS398" s="529"/>
      <c r="BT398" s="529">
        <v>758577.57499999995</v>
      </c>
      <c r="BU398" s="529">
        <v>8.3056699999999992</v>
      </c>
      <c r="BV398" s="529">
        <v>105.50700000000001</v>
      </c>
      <c r="BY398" s="529"/>
      <c r="BZ398" s="529"/>
      <c r="CA398" s="529"/>
      <c r="CC398" s="529"/>
    </row>
    <row r="399" spans="1:81">
      <c r="A399">
        <f t="shared" si="319"/>
        <v>925000</v>
      </c>
      <c r="B399">
        <f t="shared" si="351"/>
        <v>925</v>
      </c>
      <c r="C399">
        <f t="shared" si="320"/>
        <v>4.7558786181673023</v>
      </c>
      <c r="D399">
        <f t="shared" si="321"/>
        <v>1.3589492006497637</v>
      </c>
      <c r="F399">
        <f t="shared" si="322"/>
        <v>1.1180382061076943E-5</v>
      </c>
      <c r="G399">
        <f t="shared" si="323"/>
        <v>1.0081306520021082E-3</v>
      </c>
      <c r="H399">
        <f t="shared" si="324"/>
        <v>-3.140584519347998</v>
      </c>
      <c r="J399">
        <f t="shared" si="325"/>
        <v>15</v>
      </c>
      <c r="M399">
        <f t="shared" si="326"/>
        <v>1.6280830464713136E-3</v>
      </c>
      <c r="N399">
        <f t="shared" si="327"/>
        <v>-1.5707963250000001</v>
      </c>
      <c r="O399">
        <f t="shared" si="328"/>
        <v>450.71755285743654</v>
      </c>
      <c r="P399">
        <f t="shared" si="329"/>
        <v>1.5685776405820149</v>
      </c>
      <c r="Q399">
        <f t="shared" si="330"/>
        <v>351.75901593833436</v>
      </c>
      <c r="R399">
        <f t="shared" si="331"/>
        <v>1.5679534676166935</v>
      </c>
      <c r="S399">
        <f t="shared" si="332"/>
        <v>0.19768394879957638</v>
      </c>
      <c r="T399">
        <f t="shared" si="333"/>
        <v>-1.371801648054785</v>
      </c>
      <c r="U399">
        <f t="shared" si="334"/>
        <v>0.12831786398021761</v>
      </c>
      <c r="V399">
        <f t="shared" si="335"/>
        <v>-1.4421236920690392</v>
      </c>
      <c r="X399">
        <f t="shared" si="352"/>
        <v>-45.64273083815862</v>
      </c>
      <c r="Y399">
        <f t="shared" si="336"/>
        <v>-173.59623553110967</v>
      </c>
      <c r="Z399">
        <f t="shared" si="353"/>
        <v>6.4037644688903299</v>
      </c>
      <c r="AC399">
        <v>1</v>
      </c>
      <c r="AD399">
        <f t="shared" si="337"/>
        <v>450.71644351387505</v>
      </c>
      <c r="AE399">
        <f t="shared" si="338"/>
        <v>-0.21480226461910099</v>
      </c>
      <c r="AF399">
        <f t="shared" si="339"/>
        <v>2.7792727696755004E-2</v>
      </c>
      <c r="AG399">
        <f t="shared" si="315"/>
        <v>262.44285869258005</v>
      </c>
      <c r="AH399">
        <f t="shared" si="316"/>
        <v>-2064.3285181028</v>
      </c>
      <c r="AJ399">
        <f t="shared" si="340"/>
        <v>22100</v>
      </c>
      <c r="AK399">
        <f t="shared" si="341"/>
        <v>109588.43402054731</v>
      </c>
      <c r="AL399">
        <v>1</v>
      </c>
      <c r="AM399">
        <f t="shared" si="342"/>
        <v>351.75759450778799</v>
      </c>
      <c r="AN399">
        <f t="shared" si="317"/>
        <v>311.72141527917444</v>
      </c>
      <c r="AO399">
        <f t="shared" si="318"/>
        <v>-61.941174618302178</v>
      </c>
      <c r="AQ399">
        <f t="shared" si="343"/>
        <v>2.9218399059635046E-3</v>
      </c>
      <c r="AR399">
        <f t="shared" si="344"/>
        <v>-5.405403826032483</v>
      </c>
      <c r="AT399">
        <f t="shared" si="313"/>
        <v>-11157.762453923277</v>
      </c>
      <c r="AU399">
        <f t="shared" si="314"/>
        <v>-1424.6412699349858</v>
      </c>
      <c r="AV399">
        <f t="shared" si="354"/>
        <v>-3.0145981645889228</v>
      </c>
      <c r="AW399">
        <f t="shared" si="355"/>
        <v>229.31666164478179</v>
      </c>
      <c r="AX399">
        <f t="shared" si="356"/>
        <v>-3968.1590857032925</v>
      </c>
      <c r="AY399">
        <f t="shared" si="364"/>
        <v>-1.5130713484128295</v>
      </c>
      <c r="BA399">
        <f t="shared" si="345"/>
        <v>2.8299292608916162</v>
      </c>
      <c r="BB399">
        <f t="shared" si="357"/>
        <v>9.0355115939600577</v>
      </c>
      <c r="BC399">
        <f t="shared" si="358"/>
        <v>-1.5015268161760933</v>
      </c>
      <c r="BD399">
        <f t="shared" si="346"/>
        <v>-266.03114949091082</v>
      </c>
      <c r="BF399">
        <f t="shared" si="347"/>
        <v>-52.92891509440534</v>
      </c>
      <c r="BG399">
        <f t="shared" si="348"/>
        <v>-188.11133400040865</v>
      </c>
      <c r="BH399">
        <f t="shared" si="359"/>
        <v>-8.1113340004086467</v>
      </c>
      <c r="BI399">
        <f t="shared" si="360"/>
        <v>-8.1113340004086467</v>
      </c>
      <c r="BJ399">
        <f t="shared" si="349"/>
        <v>0</v>
      </c>
      <c r="BK399">
        <f t="shared" si="361"/>
        <v>0</v>
      </c>
      <c r="BM399">
        <f t="shared" si="362"/>
        <v>-61.964426688365393</v>
      </c>
      <c r="BN399">
        <f t="shared" si="350"/>
        <v>-102.0801845094978</v>
      </c>
      <c r="BQ399" s="47">
        <f t="shared" si="363"/>
        <v>25.937472394245194</v>
      </c>
      <c r="BR399" s="529"/>
      <c r="BS399" s="529"/>
      <c r="BT399" s="529">
        <v>776247.11699999997</v>
      </c>
      <c r="BU399" s="529">
        <v>7.9999099999999999</v>
      </c>
      <c r="BV399" s="529">
        <v>105.28700000000001</v>
      </c>
      <c r="BY399" s="529"/>
      <c r="BZ399" s="529"/>
      <c r="CA399" s="529"/>
      <c r="CC399" s="529"/>
    </row>
    <row r="400" spans="1:81">
      <c r="A400">
        <f t="shared" si="319"/>
        <v>930000</v>
      </c>
      <c r="B400">
        <f t="shared" si="351"/>
        <v>930</v>
      </c>
      <c r="C400">
        <f t="shared" si="320"/>
        <v>4.7804524176174832</v>
      </c>
      <c r="D400">
        <f t="shared" si="321"/>
        <v>1.3600546534039248</v>
      </c>
      <c r="F400">
        <f t="shared" si="322"/>
        <v>1.1060484779216098E-5</v>
      </c>
      <c r="G400">
        <f t="shared" si="323"/>
        <v>1.0027104759911323E-3</v>
      </c>
      <c r="H400">
        <f t="shared" si="324"/>
        <v>-3.1405899395240091</v>
      </c>
      <c r="J400">
        <f t="shared" si="325"/>
        <v>15</v>
      </c>
      <c r="M400">
        <f t="shared" si="326"/>
        <v>1.6193299118128657E-3</v>
      </c>
      <c r="N400">
        <f t="shared" si="327"/>
        <v>-1.5707963250000001</v>
      </c>
      <c r="O400">
        <f t="shared" si="328"/>
        <v>453.15385199331342</v>
      </c>
      <c r="P400">
        <f t="shared" si="329"/>
        <v>1.5685895689636837</v>
      </c>
      <c r="Q400">
        <f t="shared" si="330"/>
        <v>353.6604006990101</v>
      </c>
      <c r="R400">
        <f t="shared" si="331"/>
        <v>1.567968751724137</v>
      </c>
      <c r="S400">
        <f t="shared" si="332"/>
        <v>0.1966623442376845</v>
      </c>
      <c r="T400">
        <f t="shared" si="333"/>
        <v>-1.3728437097135595</v>
      </c>
      <c r="U400">
        <f t="shared" si="334"/>
        <v>0.12763925225869269</v>
      </c>
      <c r="V400">
        <f t="shared" si="335"/>
        <v>-1.4428079303402905</v>
      </c>
      <c r="X400">
        <f t="shared" si="352"/>
        <v>-45.735853337920823</v>
      </c>
      <c r="Y400">
        <f t="shared" si="336"/>
        <v>-173.63055884648205</v>
      </c>
      <c r="Z400">
        <f t="shared" si="353"/>
        <v>6.369441153517954</v>
      </c>
      <c r="AC400">
        <v>1</v>
      </c>
      <c r="AD400">
        <f t="shared" si="337"/>
        <v>453.15274861395</v>
      </c>
      <c r="AE400">
        <f t="shared" si="338"/>
        <v>-0.21713072744375217</v>
      </c>
      <c r="AF400">
        <f t="shared" si="339"/>
        <v>2.7942958657278007E-2</v>
      </c>
      <c r="AG400">
        <f t="shared" si="315"/>
        <v>259.67432966172458</v>
      </c>
      <c r="AH400">
        <f t="shared" si="316"/>
        <v>-2053.5862648521993</v>
      </c>
      <c r="AJ400">
        <f t="shared" si="340"/>
        <v>22100</v>
      </c>
      <c r="AK400">
        <f t="shared" si="341"/>
        <v>110180.80393417188</v>
      </c>
      <c r="AL400">
        <v>1</v>
      </c>
      <c r="AM400">
        <f t="shared" si="342"/>
        <v>353.6589869105328</v>
      </c>
      <c r="AN400">
        <f t="shared" si="317"/>
        <v>311.71952693782515</v>
      </c>
      <c r="AO400">
        <f t="shared" si="318"/>
        <v>-61.608162889902985</v>
      </c>
      <c r="AQ400">
        <f t="shared" si="343"/>
        <v>2.8905067376266799E-3</v>
      </c>
      <c r="AR400">
        <f t="shared" si="344"/>
        <v>-5.3763425319856246</v>
      </c>
      <c r="AT400">
        <f t="shared" si="313"/>
        <v>-11040.032588426899</v>
      </c>
      <c r="AU400">
        <f t="shared" si="314"/>
        <v>-1402.0340479600391</v>
      </c>
      <c r="AV400">
        <f t="shared" si="354"/>
        <v>-3.015273380609599</v>
      </c>
      <c r="AW400">
        <f t="shared" si="355"/>
        <v>230.24234191701012</v>
      </c>
      <c r="AX400">
        <f t="shared" si="356"/>
        <v>-3947.1540562095543</v>
      </c>
      <c r="AY400">
        <f t="shared" si="364"/>
        <v>-1.5125311223441869</v>
      </c>
      <c r="BA400">
        <f t="shared" si="345"/>
        <v>2.8146400222328309</v>
      </c>
      <c r="BB400">
        <f t="shared" si="357"/>
        <v>8.9884571748324493</v>
      </c>
      <c r="BC400">
        <f t="shared" si="358"/>
        <v>-1.5027422582654122</v>
      </c>
      <c r="BD400">
        <f t="shared" si="346"/>
        <v>-266.10078919295097</v>
      </c>
      <c r="BF400">
        <f t="shared" si="347"/>
        <v>-53.024854399488113</v>
      </c>
      <c r="BG400">
        <f t="shared" si="348"/>
        <v>-188.11794647832187</v>
      </c>
      <c r="BH400">
        <f t="shared" si="359"/>
        <v>-8.1179464783218691</v>
      </c>
      <c r="BI400">
        <f t="shared" si="360"/>
        <v>-8.1179464783218691</v>
      </c>
      <c r="BJ400">
        <f t="shared" si="349"/>
        <v>0</v>
      </c>
      <c r="BK400">
        <f t="shared" si="361"/>
        <v>0</v>
      </c>
      <c r="BM400">
        <f t="shared" si="362"/>
        <v>-62.013311574320568</v>
      </c>
      <c r="BN400">
        <f t="shared" si="350"/>
        <v>-102.01715728537089</v>
      </c>
      <c r="BQ400" s="47">
        <f t="shared" si="363"/>
        <v>25.890417975117586</v>
      </c>
      <c r="BR400" s="529"/>
      <c r="BS400" s="529"/>
      <c r="BT400" s="529">
        <v>794328.23499999999</v>
      </c>
      <c r="BU400" s="529">
        <v>7.7399399999999998</v>
      </c>
      <c r="BV400" s="529">
        <v>105.286</v>
      </c>
      <c r="BY400" s="529"/>
      <c r="BZ400" s="529"/>
      <c r="CA400" s="529"/>
      <c r="CC400" s="529"/>
    </row>
    <row r="401" spans="1:81">
      <c r="A401">
        <f t="shared" si="319"/>
        <v>935000</v>
      </c>
      <c r="B401">
        <f t="shared" si="351"/>
        <v>935</v>
      </c>
      <c r="C401">
        <f t="shared" si="320"/>
        <v>4.8050319991472694</v>
      </c>
      <c r="D401">
        <f t="shared" si="321"/>
        <v>1.3611487978541694</v>
      </c>
      <c r="F401">
        <f t="shared" si="322"/>
        <v>1.0942505862823137E-5</v>
      </c>
      <c r="G401">
        <f t="shared" si="323"/>
        <v>9.9734827166678857E-4</v>
      </c>
      <c r="H401">
        <f t="shared" si="324"/>
        <v>-3.1405953017283332</v>
      </c>
      <c r="J401">
        <f t="shared" si="325"/>
        <v>15</v>
      </c>
      <c r="M401">
        <f t="shared" si="326"/>
        <v>1.6106703935678771E-3</v>
      </c>
      <c r="N401">
        <f t="shared" si="327"/>
        <v>-1.5707963250000001</v>
      </c>
      <c r="O401">
        <f t="shared" si="328"/>
        <v>455.59015119297828</v>
      </c>
      <c r="P401">
        <f t="shared" si="329"/>
        <v>1.5686013697696961</v>
      </c>
      <c r="Q401">
        <f t="shared" si="330"/>
        <v>355.56178554141871</v>
      </c>
      <c r="R401">
        <f t="shared" si="331"/>
        <v>1.5679838723664907</v>
      </c>
      <c r="S401">
        <f t="shared" si="332"/>
        <v>0.19565103523358621</v>
      </c>
      <c r="T401">
        <f t="shared" si="333"/>
        <v>-1.3738750551657293</v>
      </c>
      <c r="U401">
        <f t="shared" si="334"/>
        <v>0.12696772197300593</v>
      </c>
      <c r="V401">
        <f t="shared" si="335"/>
        <v>-1.4434849691543019</v>
      </c>
      <c r="X401">
        <f t="shared" si="352"/>
        <v>-45.828482192359139</v>
      </c>
      <c r="Y401">
        <f t="shared" si="336"/>
        <v>-173.66451694188976</v>
      </c>
      <c r="Z401">
        <f t="shared" si="353"/>
        <v>6.3354830581102419</v>
      </c>
      <c r="AC401">
        <v>1</v>
      </c>
      <c r="AD401">
        <f t="shared" si="337"/>
        <v>455.589053714025</v>
      </c>
      <c r="AE401">
        <f t="shared" si="338"/>
        <v>-0.219471742628644</v>
      </c>
      <c r="AF401">
        <f t="shared" si="339"/>
        <v>2.8093189617801002E-2</v>
      </c>
      <c r="AG401">
        <f t="shared" si="315"/>
        <v>256.94914198635809</v>
      </c>
      <c r="AH401">
        <f t="shared" si="316"/>
        <v>-2042.9533541579153</v>
      </c>
      <c r="AJ401">
        <f t="shared" si="340"/>
        <v>22100</v>
      </c>
      <c r="AK401">
        <f t="shared" si="341"/>
        <v>110773.17384779647</v>
      </c>
      <c r="AL401">
        <v>1</v>
      </c>
      <c r="AM401">
        <f t="shared" si="342"/>
        <v>355.56037931327762</v>
      </c>
      <c r="AN401">
        <f t="shared" si="317"/>
        <v>311.71766880932927</v>
      </c>
      <c r="AO401">
        <f t="shared" si="318"/>
        <v>-61.278712699294942</v>
      </c>
      <c r="AQ401">
        <f t="shared" si="343"/>
        <v>2.8596748949998871E-3</v>
      </c>
      <c r="AR401">
        <f t="shared" si="344"/>
        <v>-5.3475920536497892</v>
      </c>
      <c r="AT401">
        <f t="shared" si="313"/>
        <v>-10924.146331661421</v>
      </c>
      <c r="AU401">
        <f t="shared" si="314"/>
        <v>-1379.901372296921</v>
      </c>
      <c r="AV401">
        <f t="shared" si="354"/>
        <v>-3.0159414936670847</v>
      </c>
      <c r="AW401">
        <f t="shared" si="355"/>
        <v>231.15229786036286</v>
      </c>
      <c r="AX401">
        <f t="shared" si="356"/>
        <v>-3926.3685581404161</v>
      </c>
      <c r="AY401">
        <f t="shared" si="364"/>
        <v>-1.5119924220624932</v>
      </c>
      <c r="BA401">
        <f t="shared" si="345"/>
        <v>2.7995134983307834</v>
      </c>
      <c r="BB401">
        <f t="shared" si="357"/>
        <v>8.9416513172161665</v>
      </c>
      <c r="BC401">
        <f t="shared" si="358"/>
        <v>-1.5039490716045916</v>
      </c>
      <c r="BD401">
        <f t="shared" si="346"/>
        <v>-266.16993450402504</v>
      </c>
      <c r="BF401">
        <f t="shared" si="347"/>
        <v>-53.120262058170169</v>
      </c>
      <c r="BG401">
        <f t="shared" si="348"/>
        <v>-188.12470916182463</v>
      </c>
      <c r="BH401">
        <f t="shared" si="359"/>
        <v>-8.1247091618246259</v>
      </c>
      <c r="BI401">
        <f t="shared" si="360"/>
        <v>-8.1247091618246259</v>
      </c>
      <c r="BJ401">
        <f t="shared" si="349"/>
        <v>0</v>
      </c>
      <c r="BK401">
        <f t="shared" si="361"/>
        <v>0</v>
      </c>
      <c r="BM401">
        <f t="shared" si="362"/>
        <v>-62.061913375386339</v>
      </c>
      <c r="BN401">
        <f t="shared" si="350"/>
        <v>-101.95477465779959</v>
      </c>
      <c r="BQ401" s="47">
        <f t="shared" si="363"/>
        <v>25.843612117501301</v>
      </c>
      <c r="BR401" s="529"/>
      <c r="BS401" s="529"/>
      <c r="BT401" s="529">
        <v>812830.51599999995</v>
      </c>
      <c r="BU401" s="529">
        <v>7.5259600000000004</v>
      </c>
      <c r="BV401" s="529">
        <v>105.187</v>
      </c>
      <c r="BY401" s="529"/>
      <c r="BZ401" s="529"/>
      <c r="CA401" s="529"/>
      <c r="CC401" s="529"/>
    </row>
    <row r="402" spans="1:81">
      <c r="A402">
        <f t="shared" si="319"/>
        <v>940000</v>
      </c>
      <c r="B402">
        <f t="shared" si="351"/>
        <v>940</v>
      </c>
      <c r="C402">
        <f t="shared" si="320"/>
        <v>4.8296172744756927</v>
      </c>
      <c r="D402">
        <f t="shared" si="321"/>
        <v>1.3622318040561097</v>
      </c>
      <c r="F402">
        <f t="shared" si="322"/>
        <v>1.0826404603641795E-5</v>
      </c>
      <c r="G402">
        <f t="shared" si="323"/>
        <v>9.920431139090833E-4</v>
      </c>
      <c r="H402">
        <f t="shared" si="324"/>
        <v>-3.1406006068860912</v>
      </c>
      <c r="J402">
        <f t="shared" si="325"/>
        <v>15</v>
      </c>
      <c r="M402">
        <f t="shared" si="326"/>
        <v>1.6021029978574095E-3</v>
      </c>
      <c r="N402">
        <f t="shared" si="327"/>
        <v>-1.5707963250000001</v>
      </c>
      <c r="O402">
        <f t="shared" si="328"/>
        <v>458.02645045541323</v>
      </c>
      <c r="P402">
        <f t="shared" si="329"/>
        <v>1.5686130450358207</v>
      </c>
      <c r="Q402">
        <f t="shared" si="330"/>
        <v>357.46317046425588</v>
      </c>
      <c r="R402">
        <f t="shared" si="331"/>
        <v>1.5679988321522127</v>
      </c>
      <c r="S402">
        <f t="shared" si="332"/>
        <v>0.19464987017475019</v>
      </c>
      <c r="T402">
        <f t="shared" si="333"/>
        <v>-1.3748958467078198</v>
      </c>
      <c r="U402">
        <f t="shared" si="334"/>
        <v>0.12630316377106199</v>
      </c>
      <c r="V402">
        <f t="shared" si="335"/>
        <v>-1.4441549209328979</v>
      </c>
      <c r="X402">
        <f t="shared" si="352"/>
        <v>-45.920622575627249</v>
      </c>
      <c r="Y402">
        <f t="shared" si="336"/>
        <v>-173.69811560097702</v>
      </c>
      <c r="Z402">
        <f t="shared" si="353"/>
        <v>6.3018843990229811</v>
      </c>
      <c r="AC402">
        <v>1</v>
      </c>
      <c r="AD402">
        <f t="shared" si="337"/>
        <v>458.02535881410006</v>
      </c>
      <c r="AE402">
        <f t="shared" si="338"/>
        <v>-0.2218253101737766</v>
      </c>
      <c r="AF402">
        <f t="shared" si="339"/>
        <v>2.8243420578324005E-2</v>
      </c>
      <c r="AG402">
        <f t="shared" si="315"/>
        <v>254.26640060614457</v>
      </c>
      <c r="AH402">
        <f t="shared" si="316"/>
        <v>-2032.4281551535109</v>
      </c>
      <c r="AJ402">
        <f t="shared" si="340"/>
        <v>22100</v>
      </c>
      <c r="AK402">
        <f t="shared" si="341"/>
        <v>111365.54376142104</v>
      </c>
      <c r="AL402">
        <v>1</v>
      </c>
      <c r="AM402">
        <f t="shared" si="342"/>
        <v>357.46177171602238</v>
      </c>
      <c r="AN402">
        <f t="shared" si="317"/>
        <v>311.71584025258113</v>
      </c>
      <c r="AO402">
        <f t="shared" si="318"/>
        <v>-60.952767215221662</v>
      </c>
      <c r="AQ402">
        <f t="shared" si="343"/>
        <v>2.829333740002903E-3</v>
      </c>
      <c r="AR402">
        <f t="shared" si="344"/>
        <v>-5.3191474312054572</v>
      </c>
      <c r="AT402">
        <f t="shared" si="313"/>
        <v>-10810.06559608826</v>
      </c>
      <c r="AU402">
        <f t="shared" si="314"/>
        <v>-1358.2308891795394</v>
      </c>
      <c r="AV402">
        <f t="shared" si="354"/>
        <v>-3.0166026146434186</v>
      </c>
      <c r="AW402">
        <f t="shared" si="355"/>
        <v>232.0468867217686</v>
      </c>
      <c r="AX402">
        <f t="shared" si="356"/>
        <v>-3905.7991934257743</v>
      </c>
      <c r="AY402">
        <f t="shared" si="364"/>
        <v>-1.5114552195856454</v>
      </c>
      <c r="BA402">
        <f t="shared" si="345"/>
        <v>2.7845471005765248</v>
      </c>
      <c r="BB402">
        <f t="shared" si="357"/>
        <v>8.8950913674638485</v>
      </c>
      <c r="BC402">
        <f t="shared" si="358"/>
        <v>-1.5051473950577732</v>
      </c>
      <c r="BD402">
        <f t="shared" si="346"/>
        <v>-266.23859338046236</v>
      </c>
      <c r="BF402">
        <f t="shared" si="347"/>
        <v>-53.215144057315683</v>
      </c>
      <c r="BG402">
        <f t="shared" si="348"/>
        <v>-188.13162031678289</v>
      </c>
      <c r="BH402">
        <f t="shared" si="359"/>
        <v>-8.131620316782886</v>
      </c>
      <c r="BI402">
        <f t="shared" si="360"/>
        <v>-8.131620316782886</v>
      </c>
      <c r="BJ402">
        <f t="shared" si="349"/>
        <v>0</v>
      </c>
      <c r="BK402">
        <f t="shared" si="361"/>
        <v>0</v>
      </c>
      <c r="BM402">
        <f t="shared" si="362"/>
        <v>-62.110235424779532</v>
      </c>
      <c r="BN402">
        <f t="shared" si="350"/>
        <v>-101.89302693632054</v>
      </c>
      <c r="BQ402" s="47">
        <f t="shared" si="363"/>
        <v>25.797052167748987</v>
      </c>
      <c r="BR402" s="529"/>
      <c r="BS402" s="529"/>
      <c r="BT402" s="529">
        <v>831763.77099999995</v>
      </c>
      <c r="BU402" s="529">
        <v>7.3913599999999997</v>
      </c>
      <c r="BV402" s="529">
        <v>104.541</v>
      </c>
      <c r="BY402" s="529"/>
      <c r="BZ402" s="529"/>
      <c r="CA402" s="529"/>
      <c r="CC402" s="529"/>
    </row>
    <row r="403" spans="1:81">
      <c r="A403">
        <f t="shared" si="319"/>
        <v>945000</v>
      </c>
      <c r="B403">
        <f t="shared" si="351"/>
        <v>945</v>
      </c>
      <c r="C403">
        <f t="shared" si="320"/>
        <v>4.8542081570900191</v>
      </c>
      <c r="D403">
        <f t="shared" si="321"/>
        <v>1.3633038387251399</v>
      </c>
      <c r="F403">
        <f t="shared" si="322"/>
        <v>1.0712141367519692E-5</v>
      </c>
      <c r="G403">
        <f t="shared" si="323"/>
        <v>9.8679409717832988E-4</v>
      </c>
      <c r="H403">
        <f t="shared" si="324"/>
        <v>-3.1406058559028218</v>
      </c>
      <c r="J403">
        <f t="shared" si="325"/>
        <v>15</v>
      </c>
      <c r="M403">
        <f t="shared" si="326"/>
        <v>1.5936262624190105E-3</v>
      </c>
      <c r="N403">
        <f t="shared" si="327"/>
        <v>-1.5707963250000001</v>
      </c>
      <c r="O403">
        <f t="shared" si="328"/>
        <v>460.4627497796219</v>
      </c>
      <c r="P403">
        <f t="shared" si="329"/>
        <v>1.5686245967547412</v>
      </c>
      <c r="Q403">
        <f t="shared" si="330"/>
        <v>359.36455546624512</v>
      </c>
      <c r="R403">
        <f t="shared" si="331"/>
        <v>1.5680136336345563</v>
      </c>
      <c r="S403">
        <f t="shared" si="332"/>
        <v>0.19365870034356314</v>
      </c>
      <c r="T403">
        <f t="shared" si="333"/>
        <v>-1.3759062434196558</v>
      </c>
      <c r="U403">
        <f t="shared" si="334"/>
        <v>0.12564547052160219</v>
      </c>
      <c r="V403">
        <f t="shared" si="335"/>
        <v>-1.4448178957820166</v>
      </c>
      <c r="X403">
        <f t="shared" si="352"/>
        <v>-46.01227958148521</v>
      </c>
      <c r="Y403">
        <f t="shared" si="336"/>
        <v>-173.73136048628399</v>
      </c>
      <c r="Z403">
        <f t="shared" si="353"/>
        <v>6.2686395137160105</v>
      </c>
      <c r="AC403">
        <v>1</v>
      </c>
      <c r="AD403">
        <f t="shared" si="337"/>
        <v>460.46166391417506</v>
      </c>
      <c r="AE403">
        <f t="shared" si="338"/>
        <v>-0.22419143007914991</v>
      </c>
      <c r="AF403">
        <f t="shared" si="339"/>
        <v>2.8393651538847004E-2</v>
      </c>
      <c r="AG403">
        <f t="shared" si="315"/>
        <v>251.62523332005108</v>
      </c>
      <c r="AH403">
        <f t="shared" si="316"/>
        <v>-2022.0090685931336</v>
      </c>
      <c r="AJ403">
        <f t="shared" si="340"/>
        <v>22100</v>
      </c>
      <c r="AK403">
        <f t="shared" si="341"/>
        <v>111957.91367504562</v>
      </c>
      <c r="AL403">
        <v>1</v>
      </c>
      <c r="AM403">
        <f t="shared" si="342"/>
        <v>359.3631641187672</v>
      </c>
      <c r="AN403">
        <f t="shared" si="317"/>
        <v>311.71404064339043</v>
      </c>
      <c r="AO403">
        <f t="shared" si="318"/>
        <v>-60.630270809157615</v>
      </c>
      <c r="AQ403">
        <f t="shared" si="343"/>
        <v>2.7994729152395186E-3</v>
      </c>
      <c r="AR403">
        <f t="shared" si="344"/>
        <v>-5.2910038098026906</v>
      </c>
      <c r="AT403">
        <f t="shared" si="313"/>
        <v>-10697.753267356389</v>
      </c>
      <c r="AU403">
        <f t="shared" si="314"/>
        <v>-1337.0106277607763</v>
      </c>
      <c r="AV403">
        <f t="shared" si="354"/>
        <v>-3.0172568521373413</v>
      </c>
      <c r="AW403">
        <f t="shared" si="355"/>
        <v>232.92645559811965</v>
      </c>
      <c r="AX403">
        <f t="shared" si="356"/>
        <v>-3885.4426332460107</v>
      </c>
      <c r="AY403">
        <f t="shared" si="364"/>
        <v>-1.5109194876354928</v>
      </c>
      <c r="BA403">
        <f t="shared" si="345"/>
        <v>2.7697382949126701</v>
      </c>
      <c r="BB403">
        <f t="shared" si="357"/>
        <v>8.8487747138180737</v>
      </c>
      <c r="BC403">
        <f t="shared" si="358"/>
        <v>-1.5063373645018485</v>
      </c>
      <c r="BD403">
        <f t="shared" si="346"/>
        <v>-266.30677360743528</v>
      </c>
      <c r="BF403">
        <f t="shared" si="347"/>
        <v>-53.309506282722054</v>
      </c>
      <c r="BG403">
        <f t="shared" si="348"/>
        <v>-188.13867822816414</v>
      </c>
      <c r="BH403">
        <f t="shared" si="359"/>
        <v>-8.1386782281641388</v>
      </c>
      <c r="BI403">
        <f t="shared" si="360"/>
        <v>-8.1386782281641388</v>
      </c>
      <c r="BJ403">
        <f t="shared" si="349"/>
        <v>0</v>
      </c>
      <c r="BK403">
        <f t="shared" si="361"/>
        <v>0</v>
      </c>
      <c r="BM403">
        <f t="shared" si="362"/>
        <v>-62.158280996540121</v>
      </c>
      <c r="BN403">
        <f t="shared" si="350"/>
        <v>-101.83190462072884</v>
      </c>
      <c r="BQ403" s="47">
        <f t="shared" si="363"/>
        <v>25.750735514103212</v>
      </c>
      <c r="BR403" s="529"/>
      <c r="BS403" s="529"/>
      <c r="BT403" s="529">
        <v>851138.03799999994</v>
      </c>
      <c r="BU403" s="529">
        <v>7.3125499999999999</v>
      </c>
      <c r="BV403" s="529">
        <v>103.205</v>
      </c>
      <c r="BY403" s="529"/>
      <c r="BZ403" s="529"/>
      <c r="CA403" s="529"/>
      <c r="CC403" s="529"/>
    </row>
    <row r="404" spans="1:81">
      <c r="A404">
        <f t="shared" si="319"/>
        <v>950000</v>
      </c>
      <c r="B404">
        <f t="shared" si="351"/>
        <v>950</v>
      </c>
      <c r="C404">
        <f t="shared" si="320"/>
        <v>4.8788045622022009</v>
      </c>
      <c r="D404">
        <f t="shared" si="321"/>
        <v>1.3643650653167116</v>
      </c>
      <c r="F404">
        <f t="shared" si="322"/>
        <v>1.0599677560577997E-5</v>
      </c>
      <c r="G404">
        <f t="shared" si="323"/>
        <v>9.8160033499984341E-4</v>
      </c>
      <c r="H404">
        <f t="shared" si="324"/>
        <v>-3.1406110496650004</v>
      </c>
      <c r="J404">
        <f t="shared" si="325"/>
        <v>15</v>
      </c>
      <c r="M404">
        <f t="shared" si="326"/>
        <v>1.5852387557747003E-3</v>
      </c>
      <c r="N404">
        <f t="shared" si="327"/>
        <v>-1.5707963250000001</v>
      </c>
      <c r="O404">
        <f t="shared" si="328"/>
        <v>462.89904916462899</v>
      </c>
      <c r="P404">
        <f t="shared" si="329"/>
        <v>1.5686360268771911</v>
      </c>
      <c r="Q404">
        <f t="shared" si="330"/>
        <v>361.26594054613662</v>
      </c>
      <c r="R404">
        <f t="shared" si="331"/>
        <v>1.5680282793130225</v>
      </c>
      <c r="S404">
        <f t="shared" si="332"/>
        <v>0.19267737985032729</v>
      </c>
      <c r="T404">
        <f t="shared" si="333"/>
        <v>-1.3769064012425365</v>
      </c>
      <c r="U404">
        <f t="shared" si="334"/>
        <v>0.12499453725860901</v>
      </c>
      <c r="V404">
        <f t="shared" si="335"/>
        <v>-1.445474001550711</v>
      </c>
      <c r="X404">
        <f t="shared" si="352"/>
        <v>-46.103458224944653</v>
      </c>
      <c r="Y404">
        <f t="shared" si="336"/>
        <v>-173.7642571423886</v>
      </c>
      <c r="Z404">
        <f t="shared" si="353"/>
        <v>6.2357428576113989</v>
      </c>
      <c r="AC404">
        <v>1</v>
      </c>
      <c r="AD404">
        <f t="shared" si="337"/>
        <v>462.89796901425001</v>
      </c>
      <c r="AE404">
        <f t="shared" si="338"/>
        <v>-0.22657010234476388</v>
      </c>
      <c r="AF404">
        <f t="shared" si="339"/>
        <v>2.854388249937E-2</v>
      </c>
      <c r="AG404">
        <f t="shared" si="315"/>
        <v>249.0247900932703</v>
      </c>
      <c r="AH404">
        <f t="shared" si="316"/>
        <v>-2011.6945261067051</v>
      </c>
      <c r="AJ404">
        <f t="shared" si="340"/>
        <v>22100</v>
      </c>
      <c r="AK404">
        <f t="shared" si="341"/>
        <v>112550.28358867021</v>
      </c>
      <c r="AL404">
        <v>1</v>
      </c>
      <c r="AM404">
        <f t="shared" si="342"/>
        <v>361.26455652151202</v>
      </c>
      <c r="AN404">
        <f t="shared" si="317"/>
        <v>311.71226937394925</v>
      </c>
      <c r="AO404">
        <f t="shared" si="318"/>
        <v>-60.311169023658806</v>
      </c>
      <c r="AQ404">
        <f t="shared" si="343"/>
        <v>2.770082335157248E-3</v>
      </c>
      <c r="AR404">
        <f t="shared" si="344"/>
        <v>-5.2631564367987709</v>
      </c>
      <c r="AT404">
        <f t="shared" si="313"/>
        <v>-10587.173174779304</v>
      </c>
      <c r="AU404">
        <f t="shared" si="314"/>
        <v>-1316.228986372359</v>
      </c>
      <c r="AV404">
        <f t="shared" si="354"/>
        <v>-3.0179043125224374</v>
      </c>
      <c r="AW404">
        <f t="shared" si="355"/>
        <v>233.79134178168297</v>
      </c>
      <c r="AX404">
        <f t="shared" si="356"/>
        <v>-3865.2956162898886</v>
      </c>
      <c r="AY404">
        <f t="shared" si="364"/>
        <v>-1.5103851996159716</v>
      </c>
      <c r="BA404">
        <f t="shared" si="345"/>
        <v>2.7550846004062928</v>
      </c>
      <c r="BB404">
        <f t="shared" si="357"/>
        <v>8.8026987855383148</v>
      </c>
      <c r="BC404">
        <f t="shared" si="358"/>
        <v>-1.5075191129064658</v>
      </c>
      <c r="BD404">
        <f t="shared" si="346"/>
        <v>-266.37448280354357</v>
      </c>
      <c r="BF404">
        <f t="shared" si="347"/>
        <v>-53.403354521388628</v>
      </c>
      <c r="BG404">
        <f t="shared" si="348"/>
        <v>-188.14588120005172</v>
      </c>
      <c r="BH404">
        <f t="shared" si="359"/>
        <v>-8.1458812000517185</v>
      </c>
      <c r="BI404">
        <f t="shared" si="360"/>
        <v>-8.1458812000517185</v>
      </c>
      <c r="BJ404">
        <f t="shared" si="349"/>
        <v>0</v>
      </c>
      <c r="BK404">
        <f t="shared" si="361"/>
        <v>0</v>
      </c>
      <c r="BM404">
        <f t="shared" si="362"/>
        <v>-62.206053306926947</v>
      </c>
      <c r="BN404">
        <f t="shared" si="350"/>
        <v>-101.7713983965082</v>
      </c>
      <c r="BQ404" s="47">
        <f t="shared" si="363"/>
        <v>25.70465958582345</v>
      </c>
      <c r="BR404" s="529"/>
      <c r="BS404" s="529"/>
      <c r="BT404" s="529">
        <v>870963.59</v>
      </c>
      <c r="BU404" s="529">
        <v>7.1463099999999997</v>
      </c>
      <c r="BV404" s="529">
        <v>103.91</v>
      </c>
      <c r="BY404" s="529"/>
      <c r="BZ404" s="529"/>
      <c r="CA404" s="529"/>
      <c r="CC404" s="529"/>
    </row>
    <row r="405" spans="1:81">
      <c r="A405">
        <f t="shared" si="319"/>
        <v>955000</v>
      </c>
      <c r="B405">
        <f t="shared" si="351"/>
        <v>955</v>
      </c>
      <c r="C405">
        <f t="shared" si="320"/>
        <v>4.9034064067065852</v>
      </c>
      <c r="D405">
        <f t="shared" si="321"/>
        <v>1.365415644104343</v>
      </c>
      <c r="F405">
        <f t="shared" si="322"/>
        <v>1.0488975596617766E-5</v>
      </c>
      <c r="G405">
        <f t="shared" si="323"/>
        <v>9.7646095946482547E-4</v>
      </c>
      <c r="H405">
        <f t="shared" si="324"/>
        <v>-3.1406161890405353</v>
      </c>
      <c r="J405">
        <f t="shared" si="325"/>
        <v>15</v>
      </c>
      <c r="M405">
        <f t="shared" si="326"/>
        <v>1.5769390764250944E-3</v>
      </c>
      <c r="N405">
        <f t="shared" si="327"/>
        <v>-1.5707963250000001</v>
      </c>
      <c r="O405">
        <f t="shared" si="328"/>
        <v>465.33534860947952</v>
      </c>
      <c r="P405">
        <f t="shared" si="329"/>
        <v>1.5686473373130503</v>
      </c>
      <c r="Q405">
        <f t="shared" si="330"/>
        <v>363.16732570270671</v>
      </c>
      <c r="R405">
        <f t="shared" si="331"/>
        <v>1.568042771634768</v>
      </c>
      <c r="S405">
        <f t="shared" si="332"/>
        <v>0.19170576556805427</v>
      </c>
      <c r="T405">
        <f t="shared" si="333"/>
        <v>-1.377896473055177</v>
      </c>
      <c r="U405">
        <f t="shared" si="334"/>
        <v>0.12435026112735721</v>
      </c>
      <c r="V405">
        <f t="shared" si="335"/>
        <v>-1.4461233438883661</v>
      </c>
      <c r="X405">
        <f t="shared" si="352"/>
        <v>-46.194163443872291</v>
      </c>
      <c r="Y405">
        <f t="shared" si="336"/>
        <v>-173.79681099895146</v>
      </c>
      <c r="Z405">
        <f t="shared" si="353"/>
        <v>6.2031890010485427</v>
      </c>
      <c r="AC405">
        <v>1</v>
      </c>
      <c r="AD405">
        <f t="shared" si="337"/>
        <v>465.33427411432501</v>
      </c>
      <c r="AE405">
        <f t="shared" si="338"/>
        <v>-0.22896132697061861</v>
      </c>
      <c r="AF405">
        <f t="shared" si="339"/>
        <v>2.8694113459893002E-2</v>
      </c>
      <c r="AG405">
        <f t="shared" si="315"/>
        <v>246.46424238839523</v>
      </c>
      <c r="AH405">
        <f t="shared" si="316"/>
        <v>-2001.4829894754769</v>
      </c>
      <c r="AJ405">
        <f t="shared" si="340"/>
        <v>22100</v>
      </c>
      <c r="AK405">
        <f t="shared" si="341"/>
        <v>113142.65350229478</v>
      </c>
      <c r="AL405">
        <v>1</v>
      </c>
      <c r="AM405">
        <f t="shared" si="342"/>
        <v>363.16594892425684</v>
      </c>
      <c r="AN405">
        <f t="shared" si="317"/>
        <v>311.71052585231888</v>
      </c>
      <c r="AO405">
        <f t="shared" si="318"/>
        <v>-59.995408541707533</v>
      </c>
      <c r="AQ405">
        <f t="shared" si="343"/>
        <v>2.7411521775301726E-3</v>
      </c>
      <c r="AR405">
        <f t="shared" si="344"/>
        <v>-5.2356006590826292</v>
      </c>
      <c r="AT405">
        <f t="shared" si="313"/>
        <v>-10478.290062845772</v>
      </c>
      <c r="AU405">
        <f t="shared" si="314"/>
        <v>-1295.8747193438733</v>
      </c>
      <c r="AV405">
        <f t="shared" si="354"/>
        <v>-3.0185451000035233</v>
      </c>
      <c r="AW405">
        <f t="shared" si="355"/>
        <v>234.64187309185064</v>
      </c>
      <c r="AX405">
        <f t="shared" si="356"/>
        <v>-3845.3549470644093</v>
      </c>
      <c r="AY405">
        <f t="shared" si="364"/>
        <v>-1.5098523295920503</v>
      </c>
      <c r="BA405">
        <f t="shared" si="345"/>
        <v>2.7405835878662983</v>
      </c>
      <c r="BB405">
        <f t="shared" si="357"/>
        <v>8.7568610520503842</v>
      </c>
      <c r="BC405">
        <f t="shared" si="358"/>
        <v>-1.508692770411473</v>
      </c>
      <c r="BD405">
        <f t="shared" si="346"/>
        <v>-266.44172842525114</v>
      </c>
      <c r="BF405">
        <f t="shared" si="347"/>
        <v>-53.496694463722122</v>
      </c>
      <c r="BG405">
        <f t="shared" si="348"/>
        <v>-188.15322755564114</v>
      </c>
      <c r="BH405">
        <f t="shared" si="359"/>
        <v>-8.1532275556411378</v>
      </c>
      <c r="BI405">
        <f t="shared" si="360"/>
        <v>-8.1532275556411378</v>
      </c>
      <c r="BJ405">
        <f t="shared" si="349"/>
        <v>0</v>
      </c>
      <c r="BK405">
        <f t="shared" si="361"/>
        <v>0</v>
      </c>
      <c r="BM405">
        <f t="shared" si="362"/>
        <v>-62.253555515772511</v>
      </c>
      <c r="BN405">
        <f t="shared" si="350"/>
        <v>-101.71149913039</v>
      </c>
      <c r="BQ405" s="47">
        <f t="shared" si="363"/>
        <v>25.658821852335521</v>
      </c>
      <c r="BR405" s="529"/>
      <c r="BS405" s="529"/>
      <c r="BT405" s="529">
        <v>891250.93799999997</v>
      </c>
      <c r="BU405" s="529">
        <v>6.8612700000000002</v>
      </c>
      <c r="BV405" s="529">
        <v>102.337</v>
      </c>
      <c r="BY405" s="529"/>
      <c r="BZ405" s="529"/>
      <c r="CA405" s="529"/>
      <c r="CC405" s="529"/>
    </row>
    <row r="406" spans="1:81">
      <c r="A406">
        <f t="shared" si="319"/>
        <v>960000</v>
      </c>
      <c r="B406">
        <f t="shared" si="351"/>
        <v>960</v>
      </c>
      <c r="C406">
        <f t="shared" si="320"/>
        <v>4.9280136091388593</v>
      </c>
      <c r="D406">
        <f t="shared" si="321"/>
        <v>1.3664557322554407</v>
      </c>
      <c r="F406">
        <f t="shared" si="322"/>
        <v>1.0379998865711474E-5</v>
      </c>
      <c r="G406">
        <f t="shared" si="323"/>
        <v>9.7137512074684787E-4</v>
      </c>
      <c r="H406">
        <f t="shared" si="324"/>
        <v>-3.1406212748792535</v>
      </c>
      <c r="J406">
        <f t="shared" si="325"/>
        <v>15</v>
      </c>
      <c r="M406">
        <f t="shared" si="326"/>
        <v>1.5687258520687137E-3</v>
      </c>
      <c r="N406">
        <f t="shared" si="327"/>
        <v>-1.5707963250000001</v>
      </c>
      <c r="O406">
        <f t="shared" si="328"/>
        <v>467.77164811323837</v>
      </c>
      <c r="P406">
        <f t="shared" si="329"/>
        <v>1.5686585299324107</v>
      </c>
      <c r="Q406">
        <f t="shared" si="330"/>
        <v>365.06871093475741</v>
      </c>
      <c r="R406">
        <f t="shared" si="331"/>
        <v>1.5680571129959673</v>
      </c>
      <c r="S406">
        <f t="shared" si="332"/>
        <v>0.19074371706900131</v>
      </c>
      <c r="T406">
        <f t="shared" si="333"/>
        <v>-1.3788766087474875</v>
      </c>
      <c r="U406">
        <f t="shared" si="334"/>
        <v>0.12371254133205489</v>
      </c>
      <c r="V406">
        <f t="shared" si="335"/>
        <v>-1.4467660263001931</v>
      </c>
      <c r="X406">
        <f t="shared" si="352"/>
        <v>-46.284400100553221</v>
      </c>
      <c r="Y406">
        <f t="shared" si="336"/>
        <v>-173.82902737366689</v>
      </c>
      <c r="Z406">
        <f t="shared" si="353"/>
        <v>6.1709726263331106</v>
      </c>
      <c r="AC406">
        <v>1</v>
      </c>
      <c r="AD406">
        <f t="shared" si="337"/>
        <v>467.77057921440007</v>
      </c>
      <c r="AE406">
        <f t="shared" si="338"/>
        <v>-0.23136510395671403</v>
      </c>
      <c r="AF406">
        <f t="shared" si="339"/>
        <v>2.8844344420416005E-2</v>
      </c>
      <c r="AG406">
        <f t="shared" si="315"/>
        <v>243.94278251988536</v>
      </c>
      <c r="AH406">
        <f t="shared" si="316"/>
        <v>-1991.3729499273165</v>
      </c>
      <c r="AJ406">
        <f t="shared" si="340"/>
        <v>22100</v>
      </c>
      <c r="AK406">
        <f t="shared" si="341"/>
        <v>113735.02341591936</v>
      </c>
      <c r="AL406">
        <v>1</v>
      </c>
      <c r="AM406">
        <f t="shared" si="342"/>
        <v>365.0673413270016</v>
      </c>
      <c r="AN406">
        <f t="shared" si="317"/>
        <v>311.70880950193538</v>
      </c>
      <c r="AO406">
        <f t="shared" si="318"/>
        <v>-59.682937157015232</v>
      </c>
      <c r="AQ406">
        <f t="shared" si="343"/>
        <v>2.7126728752514986E-3</v>
      </c>
      <c r="AR406">
        <f t="shared" si="344"/>
        <v>-5.2083319204828777</v>
      </c>
      <c r="AT406">
        <f t="shared" ref="AT406:AT469" si="365">-AR406*AH406+AG406*AQ406</f>
        <v>-10371.069563723338</v>
      </c>
      <c r="AU406">
        <f t="shared" ref="AU406:AU469" si="366">AQ406*AH406+AG406*AR406</f>
        <v>-1275.9369243555091</v>
      </c>
      <c r="AV406">
        <f t="shared" si="354"/>
        <v>-3.019179316671337</v>
      </c>
      <c r="AW406">
        <f t="shared" si="355"/>
        <v>235.47836819384079</v>
      </c>
      <c r="AX406">
        <f t="shared" si="356"/>
        <v>-3825.6174942548059</v>
      </c>
      <c r="AY406">
        <f t="shared" si="364"/>
        <v>-1.5093208522694421</v>
      </c>
      <c r="BA406">
        <f t="shared" si="345"/>
        <v>2.7262328785036725</v>
      </c>
      <c r="BB406">
        <f t="shared" si="357"/>
        <v>8.7112590221177015</v>
      </c>
      <c r="BC406">
        <f t="shared" si="358"/>
        <v>-1.5098584644018949</v>
      </c>
      <c r="BD406">
        <f t="shared" si="346"/>
        <v>-266.50851777118243</v>
      </c>
      <c r="BF406">
        <f t="shared" si="347"/>
        <v>-53.589531705680912</v>
      </c>
      <c r="BG406">
        <f t="shared" si="348"/>
        <v>-188.160715637219</v>
      </c>
      <c r="BH406">
        <f t="shared" si="359"/>
        <v>-8.1607156372189991</v>
      </c>
      <c r="BI406">
        <f t="shared" si="360"/>
        <v>-8.1607156372189991</v>
      </c>
      <c r="BJ406">
        <f t="shared" si="349"/>
        <v>0</v>
      </c>
      <c r="BK406">
        <f t="shared" si="361"/>
        <v>0</v>
      </c>
      <c r="BM406">
        <f t="shared" si="362"/>
        <v>-62.300790727798613</v>
      </c>
      <c r="BN406">
        <f t="shared" si="350"/>
        <v>-101.6521978660366</v>
      </c>
      <c r="BQ406" s="47">
        <f t="shared" si="363"/>
        <v>25.613219822402836</v>
      </c>
      <c r="BR406" s="529"/>
      <c r="BS406" s="529"/>
      <c r="BT406" s="529">
        <v>912010.83900000004</v>
      </c>
      <c r="BU406" s="529">
        <v>6.4708399999999999</v>
      </c>
      <c r="BV406" s="529">
        <v>100.33499999999999</v>
      </c>
      <c r="BY406" s="529"/>
      <c r="BZ406" s="529"/>
      <c r="CA406" s="529"/>
      <c r="CC406" s="529"/>
    </row>
    <row r="407" spans="1:81">
      <c r="A407">
        <f t="shared" si="319"/>
        <v>965000</v>
      </c>
      <c r="B407">
        <f t="shared" si="351"/>
        <v>965</v>
      </c>
      <c r="C407">
        <f t="shared" si="320"/>
        <v>4.9526260896361727</v>
      </c>
      <c r="D407">
        <f t="shared" si="321"/>
        <v>1.3674854839049986</v>
      </c>
      <c r="F407">
        <f t="shared" si="322"/>
        <v>1.0272711703930823E-5</v>
      </c>
      <c r="G407">
        <f t="shared" si="323"/>
        <v>9.663419866333679E-4</v>
      </c>
      <c r="H407">
        <f t="shared" si="324"/>
        <v>-3.140626308013367</v>
      </c>
      <c r="J407">
        <f t="shared" si="325"/>
        <v>15</v>
      </c>
      <c r="M407">
        <f t="shared" si="326"/>
        <v>1.5605977388455595E-3</v>
      </c>
      <c r="N407">
        <f t="shared" si="327"/>
        <v>-1.5707963250000001</v>
      </c>
      <c r="O407">
        <f t="shared" si="328"/>
        <v>470.20794767499001</v>
      </c>
      <c r="P407">
        <f t="shared" si="329"/>
        <v>1.5686696065666057</v>
      </c>
      <c r="Q407">
        <f t="shared" si="330"/>
        <v>366.97009624111536</v>
      </c>
      <c r="R407">
        <f t="shared" si="331"/>
        <v>1.5680713057431341</v>
      </c>
      <c r="S407">
        <f t="shared" si="332"/>
        <v>0.18979109656289805</v>
      </c>
      <c r="T407">
        <f t="shared" si="333"/>
        <v>-1.3798469552922605</v>
      </c>
      <c r="U407">
        <f t="shared" si="334"/>
        <v>0.12308127908502087</v>
      </c>
      <c r="V407">
        <f t="shared" si="335"/>
        <v>-1.4474021502010634</v>
      </c>
      <c r="X407">
        <f t="shared" si="352"/>
        <v>-46.37417298321509</v>
      </c>
      <c r="Y407">
        <f t="shared" si="336"/>
        <v>-173.8609114751244</v>
      </c>
      <c r="Z407">
        <f t="shared" si="353"/>
        <v>6.1390885248756035</v>
      </c>
      <c r="AC407">
        <v>1</v>
      </c>
      <c r="AD407">
        <f t="shared" si="337"/>
        <v>470.20688431447508</v>
      </c>
      <c r="AE407">
        <f t="shared" si="338"/>
        <v>-0.23378143330305018</v>
      </c>
      <c r="AF407">
        <f t="shared" si="339"/>
        <v>2.8994575380939008E-2</v>
      </c>
      <c r="AG407">
        <f t="shared" si="315"/>
        <v>241.45962303090749</v>
      </c>
      <c r="AH407">
        <f t="shared" si="316"/>
        <v>-1981.3629274511286</v>
      </c>
      <c r="AJ407">
        <f t="shared" si="340"/>
        <v>22100</v>
      </c>
      <c r="AK407">
        <f t="shared" si="341"/>
        <v>114327.39332954393</v>
      </c>
      <c r="AL407">
        <v>1</v>
      </c>
      <c r="AM407">
        <f t="shared" si="342"/>
        <v>366.96873372974642</v>
      </c>
      <c r="AN407">
        <f t="shared" si="317"/>
        <v>311.70711976113239</v>
      </c>
      <c r="AO407">
        <f t="shared" si="318"/>
        <v>-59.373703745248285</v>
      </c>
      <c r="AQ407">
        <f t="shared" si="343"/>
        <v>2.6846351084230157E-3</v>
      </c>
      <c r="AR407">
        <f t="shared" si="344"/>
        <v>-5.1813457592564207</v>
      </c>
      <c r="AT407">
        <f t="shared" si="365"/>
        <v>-10265.478170715538</v>
      </c>
      <c r="AU407">
        <f t="shared" si="366"/>
        <v>-1256.4050303004096</v>
      </c>
      <c r="AV407">
        <f t="shared" si="354"/>
        <v>-3.0198070625555915</v>
      </c>
      <c r="AW407">
        <f t="shared" si="355"/>
        <v>236.30113690493565</v>
      </c>
      <c r="AX407">
        <f t="shared" si="356"/>
        <v>-3806.0801891329766</v>
      </c>
      <c r="AY407">
        <f t="shared" si="364"/>
        <v>-1.508790742975058</v>
      </c>
      <c r="BA407">
        <f t="shared" si="345"/>
        <v>2.7120301426330622</v>
      </c>
      <c r="BB407">
        <f t="shared" si="357"/>
        <v>8.6658902430337044</v>
      </c>
      <c r="BC407">
        <f t="shared" si="358"/>
        <v>-1.5110163195805335</v>
      </c>
      <c r="BD407">
        <f t="shared" si="346"/>
        <v>-266.57485798628159</v>
      </c>
      <c r="BF407">
        <f t="shared" si="347"/>
        <v>-53.681871750860154</v>
      </c>
      <c r="BG407">
        <f t="shared" si="348"/>
        <v>-188.16834380612721</v>
      </c>
      <c r="BH407">
        <f t="shared" si="359"/>
        <v>-8.1683438061272113</v>
      </c>
      <c r="BI407">
        <f t="shared" si="360"/>
        <v>-8.1683438061272113</v>
      </c>
      <c r="BJ407">
        <f t="shared" si="349"/>
        <v>0</v>
      </c>
      <c r="BK407">
        <f t="shared" si="361"/>
        <v>0</v>
      </c>
      <c r="BM407">
        <f t="shared" si="362"/>
        <v>-62.347761993893862</v>
      </c>
      <c r="BN407">
        <f t="shared" si="350"/>
        <v>-101.59348581984564</v>
      </c>
      <c r="BQ407" s="47">
        <f t="shared" si="363"/>
        <v>25.567851043318839</v>
      </c>
      <c r="BR407" s="529"/>
      <c r="BS407" s="529"/>
      <c r="BT407" s="529">
        <v>933254.30099999998</v>
      </c>
      <c r="BU407" s="529">
        <v>6.2453099999999999</v>
      </c>
      <c r="BV407" s="529">
        <v>100.20399999999999</v>
      </c>
      <c r="BY407" s="529"/>
      <c r="BZ407" s="529"/>
      <c r="CA407" s="529"/>
      <c r="CC407" s="529"/>
    </row>
    <row r="408" spans="1:81">
      <c r="A408">
        <f t="shared" si="319"/>
        <v>970000</v>
      </c>
      <c r="B408">
        <f t="shared" si="351"/>
        <v>970</v>
      </c>
      <c r="C408">
        <f t="shared" si="320"/>
        <v>4.977243769898398</v>
      </c>
      <c r="D408">
        <f t="shared" si="321"/>
        <v>1.3685050502272453</v>
      </c>
      <c r="F408">
        <f t="shared" si="322"/>
        <v>1.0167079364163993E-5</v>
      </c>
      <c r="G408">
        <f t="shared" si="323"/>
        <v>9.6136074207173498E-4</v>
      </c>
      <c r="H408">
        <f t="shared" si="324"/>
        <v>-3.1406312892579287</v>
      </c>
      <c r="J408">
        <f t="shared" si="325"/>
        <v>15</v>
      </c>
      <c r="M408">
        <f t="shared" si="326"/>
        <v>1.5525534206040877E-3</v>
      </c>
      <c r="N408">
        <f t="shared" si="327"/>
        <v>-1.5707963250000001</v>
      </c>
      <c r="O408">
        <f t="shared" si="328"/>
        <v>472.64424729383757</v>
      </c>
      <c r="P408">
        <f t="shared" si="329"/>
        <v>1.5686805690092094</v>
      </c>
      <c r="Q408">
        <f t="shared" si="330"/>
        <v>368.87148162063153</v>
      </c>
      <c r="R408">
        <f t="shared" si="331"/>
        <v>1.5680853521744007</v>
      </c>
      <c r="S408">
        <f t="shared" si="332"/>
        <v>0.18884776883681359</v>
      </c>
      <c r="T408">
        <f t="shared" si="333"/>
        <v>-1.3808076568148369</v>
      </c>
      <c r="U408">
        <f t="shared" si="334"/>
        <v>0.12245637755734651</v>
      </c>
      <c r="V408">
        <f t="shared" si="335"/>
        <v>-1.448031814967734</v>
      </c>
      <c r="X408">
        <f t="shared" si="352"/>
        <v>-46.463486807514329</v>
      </c>
      <c r="Y408">
        <f t="shared" si="336"/>
        <v>-173.89246840558272</v>
      </c>
      <c r="Z408">
        <f t="shared" si="353"/>
        <v>6.1075315944172814</v>
      </c>
      <c r="AC408">
        <v>1</v>
      </c>
      <c r="AD408">
        <f t="shared" si="337"/>
        <v>472.64318941455002</v>
      </c>
      <c r="AE408">
        <f t="shared" si="338"/>
        <v>-0.236210315009627</v>
      </c>
      <c r="AF408">
        <f t="shared" si="339"/>
        <v>2.9144806341462003E-2</v>
      </c>
      <c r="AG408">
        <f t="shared" si="315"/>
        <v>239.01399609167549</v>
      </c>
      <c r="AH408">
        <f t="shared" si="316"/>
        <v>-1971.451470129829</v>
      </c>
      <c r="AJ408">
        <f t="shared" si="340"/>
        <v>22100</v>
      </c>
      <c r="AK408">
        <f t="shared" si="341"/>
        <v>114919.76324316852</v>
      </c>
      <c r="AL408">
        <v>1</v>
      </c>
      <c r="AM408">
        <f t="shared" si="342"/>
        <v>368.87012613249124</v>
      </c>
      <c r="AN408">
        <f t="shared" si="317"/>
        <v>311.70545608268208</v>
      </c>
      <c r="AO408">
        <f t="shared" si="318"/>
        <v>-59.067658236143991</v>
      </c>
      <c r="AQ408">
        <f t="shared" si="343"/>
        <v>2.6570297967292494E-3</v>
      </c>
      <c r="AR408">
        <f t="shared" si="344"/>
        <v>-5.1546378056547439</v>
      </c>
      <c r="AT408">
        <f t="shared" si="365"/>
        <v>-10161.483212635389</v>
      </c>
      <c r="AU408">
        <f t="shared" si="366"/>
        <v>-1237.2687856337063</v>
      </c>
      <c r="AV408">
        <f t="shared" si="354"/>
        <v>-3.0204284356764455</v>
      </c>
      <c r="AW408">
        <f t="shared" si="355"/>
        <v>237.110480488809</v>
      </c>
      <c r="AX408">
        <f t="shared" si="356"/>
        <v>-3786.7400240127117</v>
      </c>
      <c r="AY408">
        <f t="shared" si="364"/>
        <v>-1.5082619776381663</v>
      </c>
      <c r="BA408">
        <f t="shared" si="345"/>
        <v>2.6979730984142076</v>
      </c>
      <c r="BB408">
        <f t="shared" si="357"/>
        <v>8.6207522998347521</v>
      </c>
      <c r="BC408">
        <f t="shared" si="358"/>
        <v>-1.5121664580382792</v>
      </c>
      <c r="BD408">
        <f t="shared" si="346"/>
        <v>-266.6407560658414</v>
      </c>
      <c r="BF408">
        <f t="shared" si="347"/>
        <v>-53.773720012519853</v>
      </c>
      <c r="BG408">
        <f t="shared" si="348"/>
        <v>-188.17611044271229</v>
      </c>
      <c r="BH408">
        <f t="shared" si="359"/>
        <v>-8.1761104427122859</v>
      </c>
      <c r="BI408">
        <f t="shared" si="360"/>
        <v>-8.1761104427122859</v>
      </c>
      <c r="BJ408">
        <f t="shared" si="349"/>
        <v>0</v>
      </c>
      <c r="BK408">
        <f t="shared" si="361"/>
        <v>0</v>
      </c>
      <c r="BM408">
        <f t="shared" si="362"/>
        <v>-62.394472312354608</v>
      </c>
      <c r="BN408">
        <f t="shared" si="350"/>
        <v>-101.53535437687091</v>
      </c>
      <c r="BQ408" s="47">
        <f t="shared" si="363"/>
        <v>25.522713100119887</v>
      </c>
      <c r="BR408" s="529"/>
      <c r="BS408" s="529"/>
      <c r="BT408" s="529">
        <v>954992.58600000001</v>
      </c>
      <c r="BU408" s="529">
        <v>6.1328699999999996</v>
      </c>
      <c r="BV408" s="529">
        <v>99.956599999999995</v>
      </c>
      <c r="BY408" s="529"/>
      <c r="BZ408" s="529"/>
      <c r="CA408" s="529"/>
      <c r="CC408" s="529"/>
    </row>
    <row r="409" spans="1:81">
      <c r="A409">
        <f t="shared" si="319"/>
        <v>975000</v>
      </c>
      <c r="B409">
        <f t="shared" si="351"/>
        <v>975</v>
      </c>
      <c r="C409">
        <f t="shared" si="320"/>
        <v>5.0018665731505072</v>
      </c>
      <c r="D409">
        <f t="shared" si="321"/>
        <v>1.369514579505303</v>
      </c>
      <c r="F409">
        <f t="shared" si="322"/>
        <v>1.0063067987977863E-5</v>
      </c>
      <c r="G409">
        <f t="shared" si="323"/>
        <v>9.5643058872916739E-4</v>
      </c>
      <c r="H409">
        <f t="shared" si="324"/>
        <v>-3.1406362194112711</v>
      </c>
      <c r="J409">
        <f t="shared" si="325"/>
        <v>15</v>
      </c>
      <c r="M409">
        <f t="shared" si="326"/>
        <v>1.5445916081907333E-3</v>
      </c>
      <c r="N409">
        <f t="shared" si="327"/>
        <v>-1.5707963250000001</v>
      </c>
      <c r="O409">
        <f t="shared" si="328"/>
        <v>475.08054696890258</v>
      </c>
      <c r="P409">
        <f t="shared" si="329"/>
        <v>1.5686914190170049</v>
      </c>
      <c r="Q409">
        <f t="shared" si="330"/>
        <v>370.77286707218047</v>
      </c>
      <c r="R409">
        <f t="shared" si="331"/>
        <v>1.5680992545407588</v>
      </c>
      <c r="S409">
        <f t="shared" si="332"/>
        <v>0.18791360119661443</v>
      </c>
      <c r="T409">
        <f t="shared" si="333"/>
        <v>-1.3817588546608111</v>
      </c>
      <c r="U409">
        <f t="shared" si="334"/>
        <v>0.12183774183099207</v>
      </c>
      <c r="V409">
        <f t="shared" si="335"/>
        <v>-1.4486551179895264</v>
      </c>
      <c r="X409">
        <f t="shared" si="352"/>
        <v>-46.552346217985551</v>
      </c>
      <c r="Y409">
        <f t="shared" si="336"/>
        <v>-173.92370316366043</v>
      </c>
      <c r="Z409">
        <f t="shared" si="353"/>
        <v>6.0762968363395657</v>
      </c>
      <c r="AC409">
        <v>1</v>
      </c>
      <c r="AD409">
        <f t="shared" si="337"/>
        <v>475.07949451462503</v>
      </c>
      <c r="AE409">
        <f t="shared" si="338"/>
        <v>-0.23865174907644454</v>
      </c>
      <c r="AF409">
        <f t="shared" si="339"/>
        <v>2.9295037301985002E-2</v>
      </c>
      <c r="AG409">
        <f t="shared" si="315"/>
        <v>236.60515291844857</v>
      </c>
      <c r="AH409">
        <f t="shared" si="316"/>
        <v>-1961.6371534913023</v>
      </c>
      <c r="AJ409">
        <f t="shared" si="340"/>
        <v>22100</v>
      </c>
      <c r="AK409">
        <f t="shared" si="341"/>
        <v>115512.13315679312</v>
      </c>
      <c r="AL409">
        <v>1</v>
      </c>
      <c r="AM409">
        <f t="shared" si="342"/>
        <v>370.771518535236</v>
      </c>
      <c r="AN409">
        <f t="shared" si="317"/>
        <v>311.7038179333519</v>
      </c>
      <c r="AO409">
        <f t="shared" si="318"/>
        <v>-58.764751586484159</v>
      </c>
      <c r="AQ409">
        <f t="shared" si="343"/>
        <v>2.6298480920846569E-3</v>
      </c>
      <c r="AR409">
        <f t="shared" si="344"/>
        <v>-5.128203779565081</v>
      </c>
      <c r="AT409">
        <f t="shared" si="365"/>
        <v>-10059.052829059403</v>
      </c>
      <c r="AU409">
        <f t="shared" si="366"/>
        <v>-1218.5182471864334</v>
      </c>
      <c r="AV409">
        <f t="shared" si="354"/>
        <v>-3.0210435320944486</v>
      </c>
      <c r="AW409">
        <f t="shared" si="355"/>
        <v>237.90669193847174</v>
      </c>
      <c r="AX409">
        <f t="shared" si="356"/>
        <v>-3767.5940507501218</v>
      </c>
      <c r="AY409">
        <f t="shared" si="364"/>
        <v>-1.5077345327722307</v>
      </c>
      <c r="BA409">
        <f t="shared" si="345"/>
        <v>2.684059510631819</v>
      </c>
      <c r="BB409">
        <f t="shared" si="357"/>
        <v>8.5758428145329333</v>
      </c>
      <c r="BC409">
        <f t="shared" si="358"/>
        <v>-1.513308999322218</v>
      </c>
      <c r="BD409">
        <f t="shared" si="346"/>
        <v>-266.70621885940534</v>
      </c>
      <c r="BF409">
        <f t="shared" si="347"/>
        <v>-53.865081815557446</v>
      </c>
      <c r="BG409">
        <f t="shared" si="348"/>
        <v>-188.18401394626176</v>
      </c>
      <c r="BH409">
        <f t="shared" si="359"/>
        <v>-8.1840139462617572</v>
      </c>
      <c r="BI409">
        <f t="shared" si="360"/>
        <v>-8.1840139462617572</v>
      </c>
      <c r="BJ409">
        <f t="shared" si="349"/>
        <v>0</v>
      </c>
      <c r="BK409">
        <f t="shared" si="361"/>
        <v>0</v>
      </c>
      <c r="BM409">
        <f t="shared" si="362"/>
        <v>-62.440924630090386</v>
      </c>
      <c r="BN409">
        <f t="shared" si="350"/>
        <v>-101.47779508685643</v>
      </c>
      <c r="BQ409" s="47">
        <f t="shared" si="363"/>
        <v>25.477803614818072</v>
      </c>
      <c r="BR409" s="529"/>
      <c r="BS409" s="529"/>
      <c r="BT409" s="529">
        <v>977237.22100000002</v>
      </c>
      <c r="BU409" s="529">
        <v>5.7547600000000001</v>
      </c>
      <c r="BV409" s="529">
        <v>98.699600000000004</v>
      </c>
      <c r="BY409" s="529"/>
      <c r="BZ409" s="529"/>
      <c r="CA409" s="529"/>
      <c r="CC409" s="529"/>
    </row>
    <row r="410" spans="1:81">
      <c r="A410">
        <f t="shared" si="319"/>
        <v>980000</v>
      </c>
      <c r="B410">
        <f t="shared" si="351"/>
        <v>980</v>
      </c>
      <c r="C410">
        <f t="shared" si="320"/>
        <v>5.026494424106013</v>
      </c>
      <c r="D410">
        <f t="shared" si="321"/>
        <v>1.3705142171989215</v>
      </c>
      <c r="F410">
        <f t="shared" si="322"/>
        <v>9.9606445784825671E-6</v>
      </c>
      <c r="G410">
        <f t="shared" si="323"/>
        <v>9.5155074456619798E-4</v>
      </c>
      <c r="H410">
        <f t="shared" si="324"/>
        <v>-3.1406410992554341</v>
      </c>
      <c r="J410">
        <f t="shared" si="325"/>
        <v>15</v>
      </c>
      <c r="M410">
        <f t="shared" si="326"/>
        <v>1.5367110387611888E-3</v>
      </c>
      <c r="N410">
        <f t="shared" si="327"/>
        <v>-1.5707963250000001</v>
      </c>
      <c r="O410">
        <f t="shared" si="328"/>
        <v>477.51684669932473</v>
      </c>
      <c r="P410">
        <f t="shared" si="329"/>
        <v>1.5687021583109235</v>
      </c>
      <c r="Q410">
        <f t="shared" si="330"/>
        <v>372.67425259465955</v>
      </c>
      <c r="R410">
        <f t="shared" si="331"/>
        <v>1.5681130150472626</v>
      </c>
      <c r="S410">
        <f t="shared" si="332"/>
        <v>0.18698846340996672</v>
      </c>
      <c r="T410">
        <f t="shared" si="333"/>
        <v>-1.3827006874618422</v>
      </c>
      <c r="U410">
        <f t="shared" si="334"/>
        <v>0.12122527885227004</v>
      </c>
      <c r="V410">
        <f t="shared" si="335"/>
        <v>-1.4492721547175071</v>
      </c>
      <c r="X410">
        <f t="shared" si="352"/>
        <v>-46.640755789455241</v>
      </c>
      <c r="Y410">
        <f t="shared" si="336"/>
        <v>-173.95462064694527</v>
      </c>
      <c r="Z410">
        <f t="shared" si="353"/>
        <v>6.0453793530547273</v>
      </c>
      <c r="AC410">
        <v>1</v>
      </c>
      <c r="AD410">
        <f t="shared" si="337"/>
        <v>477.51579961470003</v>
      </c>
      <c r="AE410">
        <f t="shared" si="338"/>
        <v>-0.24110573550350278</v>
      </c>
      <c r="AF410">
        <f t="shared" si="339"/>
        <v>2.9445268262508005E-2</v>
      </c>
      <c r="AG410">
        <f t="shared" si="315"/>
        <v>234.23236321238724</v>
      </c>
      <c r="AH410">
        <f t="shared" si="316"/>
        <v>-1951.9185798768065</v>
      </c>
      <c r="AJ410">
        <f t="shared" si="340"/>
        <v>22100</v>
      </c>
      <c r="AK410">
        <f t="shared" si="341"/>
        <v>116104.50307041768</v>
      </c>
      <c r="AL410">
        <v>1</v>
      </c>
      <c r="AM410">
        <f t="shared" si="342"/>
        <v>372.67291093798076</v>
      </c>
      <c r="AN410">
        <f t="shared" si="317"/>
        <v>311.70220479347671</v>
      </c>
      <c r="AO410">
        <f t="shared" si="318"/>
        <v>-58.464935753896199</v>
      </c>
      <c r="AQ410">
        <f t="shared" si="343"/>
        <v>2.6030813715427498E-3</v>
      </c>
      <c r="AR410">
        <f t="shared" si="344"/>
        <v>-5.1020394882237898</v>
      </c>
      <c r="AT410">
        <f t="shared" si="365"/>
        <v>-9958.1559464278762</v>
      </c>
      <c r="AU410">
        <f t="shared" si="366"/>
        <v>-1200.1437694236224</v>
      </c>
      <c r="AV410">
        <f t="shared" si="354"/>
        <v>-3.0216524459590142</v>
      </c>
      <c r="AW410">
        <f t="shared" si="355"/>
        <v>238.69005624833085</v>
      </c>
      <c r="AX410">
        <f t="shared" si="356"/>
        <v>-3748.6393792877357</v>
      </c>
      <c r="AY410">
        <f t="shared" si="364"/>
        <v>-1.5072083854573983</v>
      </c>
      <c r="BA410">
        <f t="shared" si="345"/>
        <v>2.6702871895125315</v>
      </c>
      <c r="BB410">
        <f t="shared" si="357"/>
        <v>8.5311594453681501</v>
      </c>
      <c r="BC410">
        <f t="shared" si="358"/>
        <v>-1.5144440605016158</v>
      </c>
      <c r="BD410">
        <f t="shared" si="346"/>
        <v>-266.77125307454833</v>
      </c>
      <c r="BF410">
        <f t="shared" si="347"/>
        <v>-53.955962398426976</v>
      </c>
      <c r="BG410">
        <f t="shared" si="348"/>
        <v>-188.19205273492827</v>
      </c>
      <c r="BH410">
        <f t="shared" si="359"/>
        <v>-8.1920527349282679</v>
      </c>
      <c r="BI410">
        <f t="shared" si="360"/>
        <v>-8.1920527349282679</v>
      </c>
      <c r="BJ410">
        <f t="shared" si="349"/>
        <v>0</v>
      </c>
      <c r="BK410">
        <f t="shared" si="361"/>
        <v>0</v>
      </c>
      <c r="BM410">
        <f t="shared" si="362"/>
        <v>-62.48712184379513</v>
      </c>
      <c r="BN410">
        <f t="shared" si="350"/>
        <v>-101.42079966037998</v>
      </c>
      <c r="BQ410" s="47">
        <f t="shared" si="363"/>
        <v>25.433120245653285</v>
      </c>
    </row>
    <row r="411" spans="1:81">
      <c r="A411">
        <f t="shared" si="319"/>
        <v>985000</v>
      </c>
      <c r="B411">
        <f t="shared" si="351"/>
        <v>985</v>
      </c>
      <c r="C411">
        <f t="shared" si="320"/>
        <v>5.0511272489314427</v>
      </c>
      <c r="D411">
        <f t="shared" si="321"/>
        <v>1.3715041060103479</v>
      </c>
      <c r="F411">
        <f t="shared" si="322"/>
        <v>9.8597769741578452E-6</v>
      </c>
      <c r="G411">
        <f t="shared" si="323"/>
        <v>9.4672044342311514E-4</v>
      </c>
      <c r="H411">
        <f t="shared" si="324"/>
        <v>-3.1406459295565772</v>
      </c>
      <c r="J411">
        <f t="shared" si="325"/>
        <v>15</v>
      </c>
      <c r="M411">
        <f t="shared" si="326"/>
        <v>1.528910475112655E-3</v>
      </c>
      <c r="N411">
        <f t="shared" si="327"/>
        <v>-1.5707963250000001</v>
      </c>
      <c r="O411">
        <f t="shared" si="328"/>
        <v>479.95314648426091</v>
      </c>
      <c r="P411">
        <f t="shared" si="329"/>
        <v>1.568712788576953</v>
      </c>
      <c r="Q411">
        <f t="shared" si="330"/>
        <v>374.57563818698867</v>
      </c>
      <c r="R411">
        <f t="shared" si="331"/>
        <v>1.5681266358541934</v>
      </c>
      <c r="S411">
        <f t="shared" si="332"/>
        <v>0.18607222765083692</v>
      </c>
      <c r="T411">
        <f t="shared" si="333"/>
        <v>-1.3836332911996303</v>
      </c>
      <c r="U411">
        <f t="shared" si="334"/>
        <v>0.12061889738666833</v>
      </c>
      <c r="V411">
        <f t="shared" si="335"/>
        <v>-1.4498830187122236</v>
      </c>
      <c r="X411">
        <f t="shared" si="352"/>
        <v>-46.728720028420689</v>
      </c>
      <c r="Y411">
        <f t="shared" si="336"/>
        <v>-173.98522565452546</v>
      </c>
      <c r="Z411">
        <f t="shared" si="353"/>
        <v>6.0147743454745353</v>
      </c>
      <c r="AC411">
        <v>1</v>
      </c>
      <c r="AD411">
        <f t="shared" si="337"/>
        <v>479.95210471477509</v>
      </c>
      <c r="AE411">
        <f t="shared" si="338"/>
        <v>-0.24357227429080178</v>
      </c>
      <c r="AF411">
        <f t="shared" si="339"/>
        <v>2.9595499223031001E-2</v>
      </c>
      <c r="AG411">
        <f t="shared" si="315"/>
        <v>231.89491461749907</v>
      </c>
      <c r="AH411">
        <f t="shared" si="316"/>
        <v>-1942.2943778262934</v>
      </c>
      <c r="AJ411">
        <f t="shared" si="340"/>
        <v>22100</v>
      </c>
      <c r="AK411">
        <f t="shared" si="341"/>
        <v>116696.87298404227</v>
      </c>
      <c r="AL411">
        <v>1</v>
      </c>
      <c r="AM411">
        <f t="shared" si="342"/>
        <v>374.57430334072558</v>
      </c>
      <c r="AN411">
        <f t="shared" si="317"/>
        <v>311.7006161565476</v>
      </c>
      <c r="AO411">
        <f t="shared" si="318"/>
        <v>-58.168163671452042</v>
      </c>
      <c r="AQ411">
        <f t="shared" si="343"/>
        <v>2.5767212304565359E-3</v>
      </c>
      <c r="AR411">
        <f t="shared" si="344"/>
        <v>-5.0761408239993751</v>
      </c>
      <c r="AT411">
        <f t="shared" si="365"/>
        <v>-9858.762254958785</v>
      </c>
      <c r="AU411">
        <f t="shared" si="366"/>
        <v>-1182.1359941268777</v>
      </c>
      <c r="AV411">
        <f t="shared" si="354"/>
        <v>-3.022255269555465</v>
      </c>
      <c r="AW411">
        <f t="shared" si="355"/>
        <v>239.46085067584761</v>
      </c>
      <c r="AX411">
        <f t="shared" si="356"/>
        <v>-3729.8731762408297</v>
      </c>
      <c r="AY411">
        <f t="shared" si="364"/>
        <v>-1.5066835133236123</v>
      </c>
      <c r="BA411">
        <f t="shared" si="345"/>
        <v>2.6566539895776344</v>
      </c>
      <c r="BB411">
        <f t="shared" si="357"/>
        <v>8.4866998860789415</v>
      </c>
      <c r="BC411">
        <f t="shared" si="358"/>
        <v>-1.5155717562318527</v>
      </c>
      <c r="BD411">
        <f t="shared" si="346"/>
        <v>-266.83586528053962</v>
      </c>
      <c r="BF411">
        <f t="shared" si="347"/>
        <v>-54.046366915006381</v>
      </c>
      <c r="BG411">
        <f t="shared" si="348"/>
        <v>-188.20022524564243</v>
      </c>
      <c r="BH411">
        <f t="shared" si="359"/>
        <v>-8.2002252456424287</v>
      </c>
      <c r="BI411">
        <f t="shared" si="360"/>
        <v>-8.2002252456424287</v>
      </c>
      <c r="BJ411">
        <f t="shared" si="349"/>
        <v>0</v>
      </c>
      <c r="BK411">
        <f t="shared" si="361"/>
        <v>0</v>
      </c>
      <c r="BM411">
        <f t="shared" si="362"/>
        <v>-62.533066801085326</v>
      </c>
      <c r="BN411">
        <f t="shared" si="350"/>
        <v>-101.36435996510282</v>
      </c>
      <c r="BQ411" s="47">
        <f t="shared" si="363"/>
        <v>25.388660686364076</v>
      </c>
    </row>
    <row r="412" spans="1:81">
      <c r="A412">
        <f t="shared" si="319"/>
        <v>990000</v>
      </c>
      <c r="B412">
        <f t="shared" si="351"/>
        <v>990</v>
      </c>
      <c r="C412">
        <f t="shared" si="320"/>
        <v>5.0757649752118219</v>
      </c>
      <c r="D412">
        <f t="shared" si="321"/>
        <v>1.3724843859483906</v>
      </c>
      <c r="F412">
        <f t="shared" si="322"/>
        <v>9.7604338236023753E-6</v>
      </c>
      <c r="G412">
        <f t="shared" si="323"/>
        <v>9.4193893461893489E-4</v>
      </c>
      <c r="H412">
        <f t="shared" si="324"/>
        <v>-3.1406507110653812</v>
      </c>
      <c r="J412">
        <f t="shared" si="325"/>
        <v>15</v>
      </c>
      <c r="M412">
        <f t="shared" si="326"/>
        <v>1.5211887050363285E-3</v>
      </c>
      <c r="N412">
        <f t="shared" si="327"/>
        <v>-1.5707963250000001</v>
      </c>
      <c r="O412">
        <f t="shared" si="328"/>
        <v>482.38944632288519</v>
      </c>
      <c r="P412">
        <f t="shared" si="329"/>
        <v>1.5687233114670216</v>
      </c>
      <c r="Q412">
        <f t="shared" si="330"/>
        <v>376.47702384810958</v>
      </c>
      <c r="R412">
        <f t="shared" si="331"/>
        <v>1.5681401190781914</v>
      </c>
      <c r="S412">
        <f t="shared" si="332"/>
        <v>0.18516476844544635</v>
      </c>
      <c r="T412">
        <f t="shared" si="333"/>
        <v>-1.3845567992681169</v>
      </c>
      <c r="U412">
        <f t="shared" si="334"/>
        <v>0.12001850797497006</v>
      </c>
      <c r="V412">
        <f t="shared" si="335"/>
        <v>-1.450487801690042</v>
      </c>
      <c r="X412">
        <f t="shared" si="352"/>
        <v>-46.816243374395285</v>
      </c>
      <c r="Y412">
        <f t="shared" si="336"/>
        <v>-174.01552288944544</v>
      </c>
      <c r="Z412">
        <f t="shared" si="353"/>
        <v>5.9844771105545647</v>
      </c>
      <c r="AC412">
        <v>1</v>
      </c>
      <c r="AD412">
        <f t="shared" si="337"/>
        <v>482.38840981485004</v>
      </c>
      <c r="AE412">
        <f t="shared" si="338"/>
        <v>-0.24605136543834144</v>
      </c>
      <c r="AF412">
        <f t="shared" si="339"/>
        <v>2.9745730183554003E-2</v>
      </c>
      <c r="AG412">
        <f t="shared" si="315"/>
        <v>229.59211219694069</v>
      </c>
      <c r="AH412">
        <f t="shared" si="316"/>
        <v>-1932.7632014801356</v>
      </c>
      <c r="AJ412">
        <f t="shared" si="340"/>
        <v>22100</v>
      </c>
      <c r="AK412">
        <f t="shared" si="341"/>
        <v>117289.24289766683</v>
      </c>
      <c r="AL412">
        <v>1</v>
      </c>
      <c r="AM412">
        <f t="shared" si="342"/>
        <v>376.4756957434704</v>
      </c>
      <c r="AN412">
        <f t="shared" si="317"/>
        <v>311.69905152881347</v>
      </c>
      <c r="AO412">
        <f t="shared" si="318"/>
        <v>-57.874389223036808</v>
      </c>
      <c r="AQ412">
        <f t="shared" si="343"/>
        <v>2.5507594758801457E-3</v>
      </c>
      <c r="AR412">
        <f t="shared" si="344"/>
        <v>-5.0505037622426894</v>
      </c>
      <c r="AT412">
        <f t="shared" si="365"/>
        <v>-9760.8421863438762</v>
      </c>
      <c r="AU412">
        <f t="shared" si="366"/>
        <v>-1164.4858404827023</v>
      </c>
      <c r="AV412">
        <f t="shared" si="354"/>
        <v>-3.0228520933507053</v>
      </c>
      <c r="AW412">
        <f t="shared" si="355"/>
        <v>240.21934499323712</v>
      </c>
      <c r="AX412">
        <f t="shared" si="356"/>
        <v>-3711.2926635245321</v>
      </c>
      <c r="AY412">
        <f t="shared" si="364"/>
        <v>-1.506159894534318</v>
      </c>
      <c r="BA412">
        <f t="shared" si="345"/>
        <v>2.6431578085303187</v>
      </c>
      <c r="BB412">
        <f t="shared" si="357"/>
        <v>8.4424618651914329</v>
      </c>
      <c r="BC412">
        <f t="shared" si="358"/>
        <v>-1.5166921988163873</v>
      </c>
      <c r="BD412">
        <f t="shared" si="346"/>
        <v>-266.90006191189354</v>
      </c>
      <c r="BF412">
        <f t="shared" si="347"/>
        <v>-54.136300436414722</v>
      </c>
      <c r="BG412">
        <f t="shared" si="348"/>
        <v>-188.20852993401544</v>
      </c>
      <c r="BH412">
        <f t="shared" si="359"/>
        <v>-8.208529934015445</v>
      </c>
      <c r="BI412">
        <f t="shared" si="360"/>
        <v>-8.208529934015445</v>
      </c>
      <c r="BJ412">
        <f t="shared" si="349"/>
        <v>0</v>
      </c>
      <c r="BK412">
        <f t="shared" si="361"/>
        <v>0</v>
      </c>
      <c r="BM412">
        <f t="shared" si="362"/>
        <v>-62.578762301606154</v>
      </c>
      <c r="BN412">
        <f t="shared" si="350"/>
        <v>-101.30846802212193</v>
      </c>
      <c r="BQ412" s="47">
        <f t="shared" si="363"/>
        <v>25.344422665476568</v>
      </c>
    </row>
    <row r="413" spans="1:81">
      <c r="A413">
        <f t="shared" si="319"/>
        <v>995000</v>
      </c>
      <c r="B413">
        <f t="shared" si="351"/>
        <v>995</v>
      </c>
      <c r="C413">
        <f t="shared" si="320"/>
        <v>5.1004075319171163</v>
      </c>
      <c r="D413">
        <f t="shared" si="321"/>
        <v>1.3734551943907345</v>
      </c>
      <c r="F413">
        <f t="shared" si="322"/>
        <v>9.6625845611691337E-6</v>
      </c>
      <c r="G413">
        <f t="shared" si="323"/>
        <v>9.3720548256246556E-4</v>
      </c>
      <c r="H413">
        <f t="shared" si="324"/>
        <v>-3.1406554445174377</v>
      </c>
      <c r="J413">
        <f t="shared" si="325"/>
        <v>15</v>
      </c>
      <c r="M413">
        <f t="shared" si="326"/>
        <v>1.5135445406894122E-3</v>
      </c>
      <c r="N413">
        <f t="shared" si="327"/>
        <v>-1.5707963250000001</v>
      </c>
      <c r="O413">
        <f t="shared" si="328"/>
        <v>484.82574621438818</v>
      </c>
      <c r="P413">
        <f t="shared" si="329"/>
        <v>1.5687337285998535</v>
      </c>
      <c r="Q413">
        <f t="shared" si="330"/>
        <v>378.37840957698506</v>
      </c>
      <c r="R413">
        <f t="shared" si="331"/>
        <v>1.5681534667933519</v>
      </c>
      <c r="S413">
        <f t="shared" si="332"/>
        <v>0.18426596261963735</v>
      </c>
      <c r="T413">
        <f t="shared" si="333"/>
        <v>-1.3854713425339646</v>
      </c>
      <c r="U413">
        <f t="shared" si="334"/>
        <v>0.11942402289062638</v>
      </c>
      <c r="V413">
        <f t="shared" si="335"/>
        <v>-1.4510865935681383</v>
      </c>
      <c r="X413">
        <f t="shared" si="352"/>
        <v>-46.903330201221074</v>
      </c>
      <c r="Y413">
        <f t="shared" si="336"/>
        <v>-174.04551696108916</v>
      </c>
      <c r="Z413">
        <f t="shared" si="353"/>
        <v>5.954483038910837</v>
      </c>
      <c r="AC413">
        <v>1</v>
      </c>
      <c r="AD413">
        <f t="shared" si="337"/>
        <v>484.82471491492504</v>
      </c>
      <c r="AE413">
        <f t="shared" si="338"/>
        <v>-0.24854300894612183</v>
      </c>
      <c r="AF413">
        <f t="shared" si="339"/>
        <v>2.9895961144077006E-2</v>
      </c>
      <c r="AG413">
        <f t="shared" si="315"/>
        <v>227.32327792697043</v>
      </c>
      <c r="AH413">
        <f t="shared" si="316"/>
        <v>-1923.323729996772</v>
      </c>
      <c r="AJ413">
        <f t="shared" si="340"/>
        <v>22100</v>
      </c>
      <c r="AK413">
        <f t="shared" si="341"/>
        <v>117881.61281129143</v>
      </c>
      <c r="AL413">
        <v>1</v>
      </c>
      <c r="AM413">
        <f t="shared" si="342"/>
        <v>378.37708814621521</v>
      </c>
      <c r="AN413">
        <f t="shared" si="317"/>
        <v>311.69751042889777</v>
      </c>
      <c r="AO413">
        <f t="shared" si="318"/>
        <v>-57.583567219459944</v>
      </c>
      <c r="AQ413">
        <f t="shared" si="343"/>
        <v>2.5251881202019849E-3</v>
      </c>
      <c r="AR413">
        <f t="shared" si="344"/>
        <v>-5.0251243592019499</v>
      </c>
      <c r="AT413">
        <f t="shared" si="365"/>
        <v>-9664.3668921970675</v>
      </c>
      <c r="AU413">
        <f t="shared" si="366"/>
        <v>-1147.1844955587446</v>
      </c>
      <c r="AV413">
        <f t="shared" si="354"/>
        <v>-3.0234430060375619</v>
      </c>
      <c r="AW413">
        <f t="shared" si="355"/>
        <v>240.96580172964778</v>
      </c>
      <c r="AX413">
        <f t="shared" si="356"/>
        <v>-3692.8951170203959</v>
      </c>
      <c r="AY413">
        <f t="shared" si="364"/>
        <v>-1.5056375077707482</v>
      </c>
      <c r="BA413">
        <f t="shared" si="345"/>
        <v>2.6297965861762518</v>
      </c>
      <c r="BB413">
        <f t="shared" si="357"/>
        <v>8.3984431453259525</v>
      </c>
      <c r="BC413">
        <f t="shared" si="358"/>
        <v>-1.5178054982668137</v>
      </c>
      <c r="BD413">
        <f t="shared" si="346"/>
        <v>-266.96384927181009</v>
      </c>
      <c r="BF413">
        <f t="shared" si="347"/>
        <v>-54.225767952780814</v>
      </c>
      <c r="BG413">
        <f t="shared" si="348"/>
        <v>-188.21696527423217</v>
      </c>
      <c r="BH413">
        <f t="shared" si="359"/>
        <v>-8.2169652742321659</v>
      </c>
      <c r="BI413">
        <f t="shared" si="360"/>
        <v>-8.2169652742321659</v>
      </c>
      <c r="BJ413">
        <f t="shared" si="349"/>
        <v>0</v>
      </c>
      <c r="BK413">
        <f t="shared" si="361"/>
        <v>0</v>
      </c>
      <c r="BM413">
        <f t="shared" si="362"/>
        <v>-62.62421109810677</v>
      </c>
      <c r="BN413">
        <f t="shared" si="350"/>
        <v>-101.25311600242208</v>
      </c>
      <c r="BQ413" s="47">
        <f t="shared" si="363"/>
        <v>25.300403945611091</v>
      </c>
    </row>
    <row r="414" spans="1:81">
      <c r="A414">
        <f t="shared" si="319"/>
        <v>1000000</v>
      </c>
      <c r="B414">
        <f t="shared" si="351"/>
        <v>1000</v>
      </c>
      <c r="C414">
        <f t="shared" si="320"/>
        <v>5.125054849369624</v>
      </c>
      <c r="D414">
        <f t="shared" si="321"/>
        <v>1.3744166661445592</v>
      </c>
      <c r="F414">
        <f t="shared" si="322"/>
        <v>9.5661993834513669E-6</v>
      </c>
      <c r="G414">
        <f t="shared" si="323"/>
        <v>9.3251936637504145E-4</v>
      </c>
      <c r="H414">
        <f t="shared" si="324"/>
        <v>-3.1406601306336253</v>
      </c>
      <c r="J414">
        <f t="shared" si="325"/>
        <v>15</v>
      </c>
      <c r="M414">
        <f t="shared" si="326"/>
        <v>1.505976817985965E-3</v>
      </c>
      <c r="N414">
        <f t="shared" si="327"/>
        <v>-1.5707963250000001</v>
      </c>
      <c r="O414">
        <f t="shared" si="328"/>
        <v>487.26204615797673</v>
      </c>
      <c r="P414">
        <f t="shared" si="329"/>
        <v>1.5687440415617979</v>
      </c>
      <c r="Q414">
        <f t="shared" si="330"/>
        <v>380.27979537259887</v>
      </c>
      <c r="R414">
        <f t="shared" si="331"/>
        <v>1.5681666810322885</v>
      </c>
      <c r="S414">
        <f t="shared" si="332"/>
        <v>0.18337568924760927</v>
      </c>
      <c r="T414">
        <f t="shared" si="333"/>
        <v>-1.3863770493953722</v>
      </c>
      <c r="U414">
        <f t="shared" si="334"/>
        <v>0.11883535609834125</v>
      </c>
      <c r="V414">
        <f t="shared" si="335"/>
        <v>-1.4516794825081822</v>
      </c>
      <c r="X414">
        <f t="shared" si="352"/>
        <v>-46.989984818349541</v>
      </c>
      <c r="Y414">
        <f t="shared" si="336"/>
        <v>-174.07521238749271</v>
      </c>
      <c r="Z414">
        <f t="shared" si="353"/>
        <v>5.9247876125072878</v>
      </c>
      <c r="AC414">
        <v>1</v>
      </c>
      <c r="AD414">
        <f t="shared" si="337"/>
        <v>487.26102001500004</v>
      </c>
      <c r="AE414">
        <f t="shared" si="338"/>
        <v>-0.25104720481414289</v>
      </c>
      <c r="AF414">
        <f t="shared" si="339"/>
        <v>3.0046192104600005E-2</v>
      </c>
      <c r="AG414">
        <f t="shared" si="315"/>
        <v>225.08775020788198</v>
      </c>
      <c r="AH414">
        <f t="shared" si="316"/>
        <v>-1913.9746669857868</v>
      </c>
      <c r="AJ414">
        <f t="shared" si="340"/>
        <v>22100</v>
      </c>
      <c r="AK414">
        <f t="shared" si="341"/>
        <v>118473.98272491602</v>
      </c>
      <c r="AL414">
        <v>1</v>
      </c>
      <c r="AM414">
        <f t="shared" si="342"/>
        <v>380.27848054895998</v>
      </c>
      <c r="AN414">
        <f t="shared" si="317"/>
        <v>311.69599238742796</v>
      </c>
      <c r="AO414">
        <f t="shared" si="318"/>
        <v>-57.295653375283159</v>
      </c>
      <c r="AQ414">
        <f t="shared" si="343"/>
        <v>2.4999993750001561E-3</v>
      </c>
      <c r="AR414">
        <f t="shared" si="344"/>
        <v>-4.9999987500003122</v>
      </c>
      <c r="AT414">
        <f t="shared" si="365"/>
        <v>-9569.3082232263587</v>
      </c>
      <c r="AU414">
        <f t="shared" si="366"/>
        <v>-1130.2234051510231</v>
      </c>
      <c r="AV414">
        <f t="shared" si="354"/>
        <v>-3.0240280945778442</v>
      </c>
      <c r="AW414">
        <f t="shared" si="355"/>
        <v>241.70047640422584</v>
      </c>
      <c r="AX414">
        <f t="shared" si="356"/>
        <v>-3674.6778652810899</v>
      </c>
      <c r="AY414">
        <f t="shared" si="364"/>
        <v>-1.5051163322167538</v>
      </c>
      <c r="BA414">
        <f t="shared" si="345"/>
        <v>2.6165683033763076</v>
      </c>
      <c r="BB414">
        <f t="shared" si="357"/>
        <v>8.3546415225207369</v>
      </c>
      <c r="BC414">
        <f t="shared" si="358"/>
        <v>-1.5189117623610904</v>
      </c>
      <c r="BD414">
        <f t="shared" si="346"/>
        <v>-267.02723353551141</v>
      </c>
      <c r="BF414">
        <f t="shared" si="347"/>
        <v>-54.31477437496487</v>
      </c>
      <c r="BG414">
        <f t="shared" si="348"/>
        <v>-188.22552975893552</v>
      </c>
      <c r="BH414">
        <f t="shared" si="359"/>
        <v>-8.2255297589355223</v>
      </c>
      <c r="BI414">
        <f t="shared" si="360"/>
        <v>-8.2255297589355223</v>
      </c>
      <c r="BJ414">
        <f t="shared" si="349"/>
        <v>0</v>
      </c>
      <c r="BK414">
        <f t="shared" si="361"/>
        <v>0</v>
      </c>
      <c r="BM414">
        <f t="shared" si="362"/>
        <v>-62.669415897485614</v>
      </c>
      <c r="BN414">
        <f t="shared" si="350"/>
        <v>-101.19829622342409</v>
      </c>
      <c r="BQ414" s="47">
        <f t="shared" si="363"/>
        <v>25.256602322805875</v>
      </c>
    </row>
    <row r="415" spans="1:81">
      <c r="A415">
        <f t="shared" si="319"/>
        <v>1005000</v>
      </c>
      <c r="B415">
        <f t="shared" si="351"/>
        <v>1005</v>
      </c>
      <c r="C415">
        <f t="shared" si="320"/>
        <v>5.1497068592122606</v>
      </c>
      <c r="D415">
        <f t="shared" si="321"/>
        <v>1.3753689335055186</v>
      </c>
      <c r="F415">
        <f t="shared" si="322"/>
        <v>9.4712492265854595E-6</v>
      </c>
      <c r="G415">
        <f t="shared" si="323"/>
        <v>9.2787987952451848E-4</v>
      </c>
      <c r="H415">
        <f t="shared" si="324"/>
        <v>-3.1406647701204755</v>
      </c>
      <c r="J415">
        <f t="shared" si="325"/>
        <v>15</v>
      </c>
      <c r="M415">
        <f t="shared" si="326"/>
        <v>1.4984843960059353E-3</v>
      </c>
      <c r="N415">
        <f t="shared" si="327"/>
        <v>-1.5707963250000001</v>
      </c>
      <c r="O415">
        <f t="shared" si="328"/>
        <v>489.69834615287351</v>
      </c>
      <c r="P415">
        <f t="shared" si="329"/>
        <v>1.5687542519076356</v>
      </c>
      <c r="Q415">
        <f t="shared" si="330"/>
        <v>382.18118123395504</v>
      </c>
      <c r="R415">
        <f t="shared" si="331"/>
        <v>1.5681797637871651</v>
      </c>
      <c r="S415">
        <f t="shared" si="332"/>
        <v>0.18249382960198435</v>
      </c>
      <c r="T415">
        <f t="shared" si="333"/>
        <v>-1.3872740458392769</v>
      </c>
      <c r="U415">
        <f t="shared" si="334"/>
        <v>0.11825242321382894</v>
      </c>
      <c r="V415">
        <f t="shared" si="335"/>
        <v>-1.4522665549587634</v>
      </c>
      <c r="X415">
        <f t="shared" si="352"/>
        <v>-47.076211472091536</v>
      </c>
      <c r="Y415">
        <f t="shared" si="336"/>
        <v>-174.10461359758889</v>
      </c>
      <c r="Z415">
        <f t="shared" si="353"/>
        <v>5.8953864024111056</v>
      </c>
      <c r="AC415">
        <v>1</v>
      </c>
      <c r="AD415">
        <f t="shared" si="337"/>
        <v>489.6973251150751</v>
      </c>
      <c r="AE415">
        <f t="shared" si="338"/>
        <v>-0.25356395304240464</v>
      </c>
      <c r="AF415">
        <f t="shared" si="339"/>
        <v>3.0196423065123001E-2</v>
      </c>
      <c r="AG415">
        <f t="shared" si="315"/>
        <v>222.88488339127161</v>
      </c>
      <c r="AH415">
        <f t="shared" si="316"/>
        <v>-1904.7147399559706</v>
      </c>
      <c r="AJ415">
        <f t="shared" si="340"/>
        <v>22100</v>
      </c>
      <c r="AK415">
        <f t="shared" si="341"/>
        <v>119066.35263854059</v>
      </c>
      <c r="AL415">
        <v>1</v>
      </c>
      <c r="AM415">
        <f t="shared" si="342"/>
        <v>382.17987295170479</v>
      </c>
      <c r="AN415">
        <f t="shared" si="317"/>
        <v>311.69449694667804</v>
      </c>
      <c r="AO415">
        <f t="shared" si="318"/>
        <v>-57.010604286339962</v>
      </c>
      <c r="AQ415">
        <f t="shared" si="343"/>
        <v>2.4751856451113476E-3</v>
      </c>
      <c r="AR415">
        <f t="shared" si="344"/>
        <v>-4.9751231466738082</v>
      </c>
      <c r="AT415">
        <f t="shared" si="365"/>
        <v>-9475.6387091018496</v>
      </c>
      <c r="AU415">
        <f t="shared" si="366"/>
        <v>-1113.5942649859792</v>
      </c>
      <c r="AV415">
        <f t="shared" si="354"/>
        <v>-3.0246074442441579</v>
      </c>
      <c r="AW415">
        <f t="shared" si="355"/>
        <v>242.42361775045757</v>
      </c>
      <c r="AX415">
        <f t="shared" si="356"/>
        <v>-3656.6382882719763</v>
      </c>
      <c r="AY415">
        <f t="shared" si="364"/>
        <v>-1.5045963475441642</v>
      </c>
      <c r="BA415">
        <f t="shared" si="345"/>
        <v>2.6034709810303527</v>
      </c>
      <c r="BB415">
        <f t="shared" si="357"/>
        <v>8.3110548255722296</v>
      </c>
      <c r="BC415">
        <f t="shared" si="358"/>
        <v>-1.5200110966999938</v>
      </c>
      <c r="BD415">
        <f t="shared" si="346"/>
        <v>-267.09022075347639</v>
      </c>
      <c r="BF415">
        <f t="shared" si="347"/>
        <v>-54.403324536234699</v>
      </c>
      <c r="BG415">
        <f t="shared" si="348"/>
        <v>-188.23422189910303</v>
      </c>
      <c r="BH415">
        <f t="shared" si="359"/>
        <v>-8.2342218991030336</v>
      </c>
      <c r="BI415">
        <f t="shared" si="360"/>
        <v>-8.2342218991030336</v>
      </c>
      <c r="BJ415">
        <f t="shared" si="349"/>
        <v>0</v>
      </c>
      <c r="BK415">
        <f t="shared" si="361"/>
        <v>0</v>
      </c>
      <c r="BM415">
        <f t="shared" si="362"/>
        <v>-62.714379361806934</v>
      </c>
      <c r="BN415">
        <f t="shared" si="350"/>
        <v>-101.14400114562663</v>
      </c>
      <c r="BQ415" s="47">
        <f t="shared" si="363"/>
        <v>25.213015625857366</v>
      </c>
    </row>
    <row r="416" spans="1:81">
      <c r="A416">
        <f t="shared" si="319"/>
        <v>1010000</v>
      </c>
      <c r="B416">
        <f t="shared" si="351"/>
        <v>1010</v>
      </c>
      <c r="C416">
        <f t="shared" si="320"/>
        <v>5.1743634943777339</v>
      </c>
      <c r="D416">
        <f t="shared" si="321"/>
        <v>1.3763121263151257</v>
      </c>
      <c r="F416">
        <f t="shared" si="322"/>
        <v>9.3777057443383885E-6</v>
      </c>
      <c r="G416">
        <f t="shared" si="323"/>
        <v>9.2328632947014262E-4</v>
      </c>
      <c r="H416">
        <f t="shared" si="324"/>
        <v>-3.1406693636705301</v>
      </c>
      <c r="J416">
        <f t="shared" si="325"/>
        <v>15</v>
      </c>
      <c r="M416">
        <f t="shared" si="326"/>
        <v>1.4910661564217474E-3</v>
      </c>
      <c r="N416">
        <f t="shared" si="327"/>
        <v>-1.5707963250000001</v>
      </c>
      <c r="O416">
        <f t="shared" si="328"/>
        <v>492.13464619831637</v>
      </c>
      <c r="P416">
        <f t="shared" si="329"/>
        <v>1.56876436116136</v>
      </c>
      <c r="Q416">
        <f t="shared" si="330"/>
        <v>384.08256716007702</v>
      </c>
      <c r="R416">
        <f t="shared" si="331"/>
        <v>1.5681927170106977</v>
      </c>
      <c r="S416">
        <f t="shared" si="332"/>
        <v>0.18162026710516435</v>
      </c>
      <c r="T416">
        <f t="shared" si="333"/>
        <v>-1.388162455496994</v>
      </c>
      <c r="U416">
        <f t="shared" si="334"/>
        <v>0.11767514146470547</v>
      </c>
      <c r="V416">
        <f t="shared" si="335"/>
        <v>-1.4528478956965984</v>
      </c>
      <c r="X416">
        <f t="shared" si="352"/>
        <v>-47.162014346837267</v>
      </c>
      <c r="Y416">
        <f t="shared" si="336"/>
        <v>-174.13372493338656</v>
      </c>
      <c r="Z416">
        <f t="shared" si="353"/>
        <v>5.86627506661344</v>
      </c>
      <c r="AC416">
        <v>1</v>
      </c>
      <c r="AD416">
        <f t="shared" si="337"/>
        <v>492.13363021515005</v>
      </c>
      <c r="AE416">
        <f t="shared" si="338"/>
        <v>-0.25609325363090713</v>
      </c>
      <c r="AF416">
        <f t="shared" si="339"/>
        <v>3.0346654025646003E-2</v>
      </c>
      <c r="AG416">
        <f t="shared" si="315"/>
        <v>220.71404732302372</v>
      </c>
      <c r="AH416">
        <f t="shared" si="316"/>
        <v>-1895.5426997779082</v>
      </c>
      <c r="AJ416">
        <f t="shared" si="340"/>
        <v>22100</v>
      </c>
      <c r="AK416">
        <f t="shared" si="341"/>
        <v>119658.72255216517</v>
      </c>
      <c r="AL416">
        <v>1</v>
      </c>
      <c r="AM416">
        <f t="shared" si="342"/>
        <v>384.08126535444961</v>
      </c>
      <c r="AN416">
        <f t="shared" si="317"/>
        <v>311.69302366022362</v>
      </c>
      <c r="AO416">
        <f t="shared" si="318"/>
        <v>-56.728377407922842</v>
      </c>
      <c r="AQ416">
        <f t="shared" si="343"/>
        <v>2.4507395229047342E-3</v>
      </c>
      <c r="AR416">
        <f t="shared" si="344"/>
        <v>-4.9504938362675626</v>
      </c>
      <c r="AT416">
        <f t="shared" si="365"/>
        <v>-9383.3315389934742</v>
      </c>
      <c r="AU416">
        <f t="shared" si="366"/>
        <v>-1097.2890122619951</v>
      </c>
      <c r="AV416">
        <f t="shared" si="354"/>
        <v>-3.0251811386605225</v>
      </c>
      <c r="AW416">
        <f t="shared" si="355"/>
        <v>243.13546793216059</v>
      </c>
      <c r="AX416">
        <f t="shared" si="356"/>
        <v>-3638.7738161483544</v>
      </c>
      <c r="AY416">
        <f t="shared" si="364"/>
        <v>-1.5040775338986543</v>
      </c>
      <c r="BA416">
        <f t="shared" si="345"/>
        <v>2.5905026790910153</v>
      </c>
      <c r="BB416">
        <f t="shared" si="357"/>
        <v>8.2676809153915229</v>
      </c>
      <c r="BC416">
        <f t="shared" si="358"/>
        <v>-1.5211036047618682</v>
      </c>
      <c r="BD416">
        <f t="shared" si="346"/>
        <v>-267.15281685457734</v>
      </c>
      <c r="BF416">
        <f t="shared" si="347"/>
        <v>-54.491423193897745</v>
      </c>
      <c r="BG416">
        <f t="shared" si="348"/>
        <v>-188.24304022391604</v>
      </c>
      <c r="BH416">
        <f t="shared" si="359"/>
        <v>-8.2430402239160401</v>
      </c>
      <c r="BI416">
        <f t="shared" si="360"/>
        <v>-8.2430402239160401</v>
      </c>
      <c r="BJ416">
        <f t="shared" si="349"/>
        <v>0</v>
      </c>
      <c r="BK416">
        <f t="shared" si="361"/>
        <v>0</v>
      </c>
      <c r="BM416">
        <f t="shared" si="362"/>
        <v>-62.759104109289261</v>
      </c>
      <c r="BN416">
        <f t="shared" si="350"/>
        <v>-101.09022336933872</v>
      </c>
      <c r="BQ416" s="47">
        <f t="shared" si="363"/>
        <v>25.169641715676661</v>
      </c>
    </row>
    <row r="417" spans="1:69">
      <c r="A417">
        <f t="shared" si="319"/>
        <v>1015000</v>
      </c>
      <c r="B417">
        <f t="shared" si="351"/>
        <v>1015</v>
      </c>
      <c r="C417">
        <f t="shared" si="320"/>
        <v>5.199024689058569</v>
      </c>
      <c r="D417">
        <f t="shared" si="321"/>
        <v>1.3772463720165966</v>
      </c>
      <c r="F417">
        <f t="shared" si="322"/>
        <v>9.2855412869489314E-6</v>
      </c>
      <c r="G417">
        <f t="shared" si="323"/>
        <v>9.1873803731791536E-4</v>
      </c>
      <c r="H417">
        <f t="shared" si="324"/>
        <v>-3.1406739119626823</v>
      </c>
      <c r="J417">
        <f t="shared" si="325"/>
        <v>15</v>
      </c>
      <c r="M417">
        <f t="shared" si="326"/>
        <v>1.4837210029418377E-3</v>
      </c>
      <c r="N417">
        <f t="shared" si="327"/>
        <v>-1.5707963250000001</v>
      </c>
      <c r="O417">
        <f t="shared" si="328"/>
        <v>494.57094629355845</v>
      </c>
      <c r="P417">
        <f t="shared" si="329"/>
        <v>1.5687743708169344</v>
      </c>
      <c r="Q417">
        <f t="shared" si="330"/>
        <v>385.98395315000778</v>
      </c>
      <c r="R417">
        <f t="shared" si="331"/>
        <v>1.5682055426171253</v>
      </c>
      <c r="S417">
        <f t="shared" si="332"/>
        <v>0.18075488728194117</v>
      </c>
      <c r="T417">
        <f t="shared" si="333"/>
        <v>-1.3890423996983428</v>
      </c>
      <c r="U417">
        <f t="shared" si="334"/>
        <v>0.11710342965247753</v>
      </c>
      <c r="V417">
        <f t="shared" si="335"/>
        <v>-1.4534235878665585</v>
      </c>
      <c r="X417">
        <f t="shared" si="352"/>
        <v>-47.247397566247045</v>
      </c>
      <c r="Y417">
        <f t="shared" si="336"/>
        <v>-174.16255065208625</v>
      </c>
      <c r="Z417">
        <f t="shared" si="353"/>
        <v>5.837449347913747</v>
      </c>
      <c r="AC417">
        <v>1</v>
      </c>
      <c r="AD417">
        <f t="shared" si="337"/>
        <v>494.56993531522505</v>
      </c>
      <c r="AE417">
        <f t="shared" si="338"/>
        <v>-0.25863510657965028</v>
      </c>
      <c r="AF417">
        <f t="shared" si="339"/>
        <v>3.0496884986169006E-2</v>
      </c>
      <c r="AG417">
        <f t="shared" si="315"/>
        <v>218.5746269014225</v>
      </c>
      <c r="AH417">
        <f t="shared" si="316"/>
        <v>-1886.4573201606747</v>
      </c>
      <c r="AJ417">
        <f t="shared" si="340"/>
        <v>22100</v>
      </c>
      <c r="AK417">
        <f t="shared" si="341"/>
        <v>120251.09246578974</v>
      </c>
      <c r="AL417">
        <v>1</v>
      </c>
      <c r="AM417">
        <f t="shared" si="342"/>
        <v>385.98265775719443</v>
      </c>
      <c r="AN417">
        <f t="shared" si="317"/>
        <v>311.69157209260891</v>
      </c>
      <c r="AO417">
        <f t="shared" si="318"/>
        <v>-56.448931033615267</v>
      </c>
      <c r="AQ417">
        <f t="shared" si="343"/>
        <v>2.4266537827528495E-3</v>
      </c>
      <c r="AR417">
        <f t="shared" si="344"/>
        <v>-4.9261071789882847</v>
      </c>
      <c r="AT417">
        <f t="shared" si="365"/>
        <v>-9292.3605427533166</v>
      </c>
      <c r="AU417">
        <f t="shared" si="366"/>
        <v>-1081.2998175157529</v>
      </c>
      <c r="AV417">
        <f t="shared" si="354"/>
        <v>-3.0257492598418252</v>
      </c>
      <c r="AW417">
        <f t="shared" si="355"/>
        <v>243.83626275147631</v>
      </c>
      <c r="AX417">
        <f t="shared" si="356"/>
        <v>-3621.0819280672113</v>
      </c>
      <c r="AY417">
        <f t="shared" si="364"/>
        <v>-1.5035598718860987</v>
      </c>
      <c r="BA417">
        <f t="shared" si="345"/>
        <v>2.5776614956064168</v>
      </c>
      <c r="BB417">
        <f t="shared" si="357"/>
        <v>8.2245176843764369</v>
      </c>
      <c r="BC417">
        <f t="shared" si="358"/>
        <v>-1.5221893879557264</v>
      </c>
      <c r="BD417">
        <f t="shared" si="346"/>
        <v>-267.2150276491227</v>
      </c>
      <c r="BF417">
        <f t="shared" si="347"/>
        <v>-54.579075030890436</v>
      </c>
      <c r="BG417">
        <f t="shared" si="348"/>
        <v>-188.25198328062237</v>
      </c>
      <c r="BH417">
        <f t="shared" si="359"/>
        <v>-8.251983280622369</v>
      </c>
      <c r="BI417">
        <f t="shared" si="360"/>
        <v>-8.251983280622369</v>
      </c>
      <c r="BJ417">
        <f t="shared" si="349"/>
        <v>0</v>
      </c>
      <c r="BK417">
        <f t="shared" si="361"/>
        <v>0</v>
      </c>
      <c r="BM417">
        <f t="shared" si="362"/>
        <v>-62.803592715266873</v>
      </c>
      <c r="BN417">
        <f t="shared" si="350"/>
        <v>-101.03695563149965</v>
      </c>
      <c r="BQ417" s="47">
        <f t="shared" si="363"/>
        <v>25.126478484661572</v>
      </c>
    </row>
    <row r="418" spans="1:69">
      <c r="A418">
        <f t="shared" si="319"/>
        <v>1020000</v>
      </c>
      <c r="B418">
        <f t="shared" si="351"/>
        <v>1020</v>
      </c>
      <c r="C418">
        <f t="shared" si="320"/>
        <v>5.2236903786779516</v>
      </c>
      <c r="D418">
        <f t="shared" si="321"/>
        <v>1.3781717957092001</v>
      </c>
      <c r="F418">
        <f t="shared" si="322"/>
        <v>9.1947288806931389E-6</v>
      </c>
      <c r="G418">
        <f t="shared" si="323"/>
        <v>9.1423433748609526E-4</v>
      </c>
      <c r="H418">
        <f t="shared" si="324"/>
        <v>-3.140678415662514</v>
      </c>
      <c r="J418">
        <f t="shared" si="325"/>
        <v>15</v>
      </c>
      <c r="M418">
        <f t="shared" si="326"/>
        <v>1.4764478607705541E-3</v>
      </c>
      <c r="N418">
        <f t="shared" si="327"/>
        <v>-1.5707963250000001</v>
      </c>
      <c r="O418">
        <f t="shared" si="328"/>
        <v>497.00724643786737</v>
      </c>
      <c r="P418">
        <f t="shared" si="329"/>
        <v>1.5687842823390301</v>
      </c>
      <c r="Q418">
        <f t="shared" si="330"/>
        <v>387.88533920280895</v>
      </c>
      <c r="R418">
        <f t="shared" si="331"/>
        <v>1.5682182424831534</v>
      </c>
      <c r="S418">
        <f t="shared" si="332"/>
        <v>0.17989757771332396</v>
      </c>
      <c r="T418">
        <f t="shared" si="333"/>
        <v>-1.3899139975243064</v>
      </c>
      <c r="U418">
        <f t="shared" si="334"/>
        <v>0.11653720811559357</v>
      </c>
      <c r="V418">
        <f t="shared" si="335"/>
        <v>-1.4539937130205609</v>
      </c>
      <c r="X418">
        <f t="shared" si="352"/>
        <v>-47.332365194413875</v>
      </c>
      <c r="Y418">
        <f t="shared" si="336"/>
        <v>-174.19109492813448</v>
      </c>
      <c r="Z418">
        <f t="shared" si="353"/>
        <v>5.8089050718655244</v>
      </c>
      <c r="AC418">
        <v>1</v>
      </c>
      <c r="AD418">
        <f t="shared" si="337"/>
        <v>497.00624041530006</v>
      </c>
      <c r="AE418">
        <f t="shared" si="338"/>
        <v>-0.26118951188863421</v>
      </c>
      <c r="AF418">
        <f t="shared" si="339"/>
        <v>3.0647115946692002E-2</v>
      </c>
      <c r="AG418">
        <f t="shared" si="315"/>
        <v>216.46602164982301</v>
      </c>
      <c r="AH418">
        <f t="shared" si="316"/>
        <v>-1877.4573971422071</v>
      </c>
      <c r="AJ418">
        <f t="shared" si="340"/>
        <v>22100</v>
      </c>
      <c r="AK418">
        <f t="shared" si="341"/>
        <v>120843.46237941433</v>
      </c>
      <c r="AL418">
        <v>1</v>
      </c>
      <c r="AM418">
        <f t="shared" si="342"/>
        <v>387.88405015993919</v>
      </c>
      <c r="AN418">
        <f t="shared" si="317"/>
        <v>311.69014181902457</v>
      </c>
      <c r="AO418">
        <f t="shared" si="318"/>
        <v>-56.172224274746114</v>
      </c>
      <c r="AQ418">
        <f t="shared" si="343"/>
        <v>2.402921375691711E-3</v>
      </c>
      <c r="AR418">
        <f t="shared" si="344"/>
        <v>-4.90195960641109</v>
      </c>
      <c r="AT418">
        <f t="shared" si="365"/>
        <v>-9202.7001727182706</v>
      </c>
      <c r="AU418">
        <f t="shared" si="366"/>
        <v>-1065.6190767994844</v>
      </c>
      <c r="AV418">
        <f t="shared" si="354"/>
        <v>-3.026311888232156</v>
      </c>
      <c r="AW418">
        <f t="shared" si="355"/>
        <v>244.52623184920216</v>
      </c>
      <c r="AX418">
        <f t="shared" si="356"/>
        <v>-3603.560151032344</v>
      </c>
      <c r="AY418">
        <f t="shared" si="364"/>
        <v>-1.503043342559391</v>
      </c>
      <c r="BA418">
        <f t="shared" si="345"/>
        <v>2.5649455657908802</v>
      </c>
      <c r="BB418">
        <f t="shared" si="357"/>
        <v>8.1815630557988133</v>
      </c>
      <c r="BC418">
        <f t="shared" si="358"/>
        <v>-1.523268545672765</v>
      </c>
      <c r="BD418">
        <f t="shared" si="346"/>
        <v>-267.27685883180868</v>
      </c>
      <c r="BF418">
        <f t="shared" si="347"/>
        <v>-54.666284657326287</v>
      </c>
      <c r="BG418">
        <f t="shared" si="348"/>
        <v>-188.26104963439298</v>
      </c>
      <c r="BH418">
        <f t="shared" si="359"/>
        <v>-8.2610496343929753</v>
      </c>
      <c r="BI418">
        <f t="shared" si="360"/>
        <v>-8.2610496343929753</v>
      </c>
      <c r="BJ418">
        <f t="shared" si="349"/>
        <v>0</v>
      </c>
      <c r="BK418">
        <f t="shared" si="361"/>
        <v>0</v>
      </c>
      <c r="BM418">
        <f t="shared" si="362"/>
        <v>-62.847847713125098</v>
      </c>
      <c r="BN418">
        <f t="shared" si="350"/>
        <v>-100.98419080258432</v>
      </c>
      <c r="BQ418" s="47">
        <f t="shared" si="363"/>
        <v>25.08352385608395</v>
      </c>
    </row>
    <row r="419" spans="1:69">
      <c r="A419">
        <f t="shared" si="319"/>
        <v>1025000</v>
      </c>
      <c r="B419">
        <f t="shared" si="351"/>
        <v>1025</v>
      </c>
      <c r="C419">
        <f t="shared" si="320"/>
        <v>5.2483604998613718</v>
      </c>
      <c r="D419">
        <f t="shared" si="321"/>
        <v>1.3790885202011556</v>
      </c>
      <c r="F419">
        <f t="shared" si="322"/>
        <v>9.1052422081459026E-6</v>
      </c>
      <c r="G419">
        <f t="shared" si="323"/>
        <v>9.0977457738049164E-4</v>
      </c>
      <c r="H419">
        <f t="shared" si="324"/>
        <v>-3.1406828754226197</v>
      </c>
      <c r="J419">
        <f t="shared" si="325"/>
        <v>15</v>
      </c>
      <c r="M419">
        <f t="shared" si="326"/>
        <v>1.4692456760838685E-3</v>
      </c>
      <c r="N419">
        <f t="shared" si="327"/>
        <v>-1.5707963250000001</v>
      </c>
      <c r="O419">
        <f t="shared" si="328"/>
        <v>499.44354663052508</v>
      </c>
      <c r="P419">
        <f t="shared" si="329"/>
        <v>1.5687940971637386</v>
      </c>
      <c r="Q419">
        <f t="shared" si="330"/>
        <v>389.78672531756052</v>
      </c>
      <c r="R419">
        <f t="shared" si="331"/>
        <v>1.5682308184488689</v>
      </c>
      <c r="S419">
        <f t="shared" si="332"/>
        <v>0.17904822799154838</v>
      </c>
      <c r="T419">
        <f t="shared" si="333"/>
        <v>-1.3907773658582721</v>
      </c>
      <c r="U419">
        <f t="shared" si="334"/>
        <v>0.11597639869352244</v>
      </c>
      <c r="V419">
        <f t="shared" si="335"/>
        <v>-1.454558351155357</v>
      </c>
      <c r="X419">
        <f t="shared" si="352"/>
        <v>-47.416921236998412</v>
      </c>
      <c r="Y419">
        <f t="shared" si="336"/>
        <v>-174.21936185521932</v>
      </c>
      <c r="Z419">
        <f t="shared" si="353"/>
        <v>5.7806381447806814</v>
      </c>
      <c r="AC419">
        <v>1</v>
      </c>
      <c r="AD419">
        <f t="shared" si="337"/>
        <v>499.442545515375</v>
      </c>
      <c r="AE419">
        <f t="shared" si="338"/>
        <v>-0.26375646955785881</v>
      </c>
      <c r="AF419">
        <f t="shared" si="339"/>
        <v>3.0797346907215004E-2</v>
      </c>
      <c r="AG419">
        <f t="shared" si="315"/>
        <v>214.38764530334018</v>
      </c>
      <c r="AH419">
        <f t="shared" si="316"/>
        <v>-1868.5417485929588</v>
      </c>
      <c r="AJ419">
        <f t="shared" si="340"/>
        <v>22100</v>
      </c>
      <c r="AK419">
        <f t="shared" si="341"/>
        <v>121435.83229303891</v>
      </c>
      <c r="AL419">
        <v>1</v>
      </c>
      <c r="AM419">
        <f t="shared" si="342"/>
        <v>389.78544256268401</v>
      </c>
      <c r="AN419">
        <f t="shared" si="317"/>
        <v>311.68873242499683</v>
      </c>
      <c r="AO419">
        <f t="shared" si="318"/>
        <v>-55.898217040445466</v>
      </c>
      <c r="AQ419">
        <f t="shared" si="343"/>
        <v>2.3795354242628379E-3</v>
      </c>
      <c r="AR419">
        <f t="shared" si="344"/>
        <v>-4.8780476197388172</v>
      </c>
      <c r="AT419">
        <f t="shared" si="365"/>
        <v>-9114.3254861099667</v>
      </c>
      <c r="AU419">
        <f t="shared" si="366"/>
        <v>-1050.2394041558593</v>
      </c>
      <c r="AV419">
        <f t="shared" si="354"/>
        <v>-3.026869102742054</v>
      </c>
      <c r="AW419">
        <f t="shared" si="355"/>
        <v>245.20559889778426</v>
      </c>
      <c r="AX419">
        <f t="shared" si="356"/>
        <v>-3586.2060587717779</v>
      </c>
      <c r="AY419">
        <f t="shared" si="364"/>
        <v>-1.5025279274057135</v>
      </c>
      <c r="BA419">
        <f t="shared" si="345"/>
        <v>2.5523530611226679</v>
      </c>
      <c r="BB419">
        <f t="shared" si="357"/>
        <v>8.1388149832065899</v>
      </c>
      <c r="BC419">
        <f t="shared" si="358"/>
        <v>-1.5243411753363405</v>
      </c>
      <c r="BD419">
        <f t="shared" si="346"/>
        <v>-267.33831598458232</v>
      </c>
      <c r="BF419">
        <f t="shared" si="347"/>
        <v>-54.753056612003718</v>
      </c>
      <c r="BG419">
        <f t="shared" si="348"/>
        <v>-188.27023786817324</v>
      </c>
      <c r="BH419">
        <f t="shared" si="359"/>
        <v>-8.2702378681732398</v>
      </c>
      <c r="BI419">
        <f t="shared" si="360"/>
        <v>-8.2702378681732398</v>
      </c>
      <c r="BJ419">
        <f t="shared" si="349"/>
        <v>0</v>
      </c>
      <c r="BK419">
        <f t="shared" si="361"/>
        <v>0</v>
      </c>
      <c r="BM419">
        <f t="shared" si="362"/>
        <v>-62.891871595210304</v>
      </c>
      <c r="BN419">
        <f t="shared" si="350"/>
        <v>-100.93192188359097</v>
      </c>
      <c r="BQ419" s="47">
        <f t="shared" si="363"/>
        <v>25.040775783491725</v>
      </c>
    </row>
    <row r="420" spans="1:69">
      <c r="A420">
        <f t="shared" si="319"/>
        <v>1030000</v>
      </c>
      <c r="B420">
        <f t="shared" si="351"/>
        <v>1030</v>
      </c>
      <c r="C420">
        <f t="shared" si="320"/>
        <v>5.273034990409041</v>
      </c>
      <c r="D420">
        <f t="shared" si="321"/>
        <v>1.3799966660611285</v>
      </c>
      <c r="F420">
        <f t="shared" si="322"/>
        <v>9.0170555891115866E-6</v>
      </c>
      <c r="G420">
        <f t="shared" si="323"/>
        <v>9.0535811707921534E-4</v>
      </c>
      <c r="H420">
        <f t="shared" si="324"/>
        <v>-3.1406872918829212</v>
      </c>
      <c r="J420">
        <f t="shared" si="325"/>
        <v>15</v>
      </c>
      <c r="M420">
        <f t="shared" si="326"/>
        <v>1.4621134155203544E-3</v>
      </c>
      <c r="N420">
        <f t="shared" si="327"/>
        <v>-1.5707963250000001</v>
      </c>
      <c r="O420">
        <f t="shared" si="328"/>
        <v>501.87984687082746</v>
      </c>
      <c r="P420">
        <f t="shared" si="329"/>
        <v>1.5688038166992673</v>
      </c>
      <c r="Q420">
        <f t="shared" si="330"/>
        <v>391.68811149336022</v>
      </c>
      <c r="R420">
        <f t="shared" si="331"/>
        <v>1.5682432723186297</v>
      </c>
      <c r="S420">
        <f t="shared" si="332"/>
        <v>0.17820672967623349</v>
      </c>
      <c r="T420">
        <f t="shared" si="333"/>
        <v>-1.3916326194358914</v>
      </c>
      <c r="U420">
        <f t="shared" si="334"/>
        <v>0.11542092469182695</v>
      </c>
      <c r="V420">
        <f t="shared" si="335"/>
        <v>-1.455117580749254</v>
      </c>
      <c r="X420">
        <f t="shared" si="352"/>
        <v>-47.501069642337328</v>
      </c>
      <c r="Y420">
        <f t="shared" si="336"/>
        <v>-174.24735544820788</v>
      </c>
      <c r="Z420">
        <f t="shared" si="353"/>
        <v>5.7526445517921161</v>
      </c>
      <c r="AC420">
        <v>1</v>
      </c>
      <c r="AD420">
        <f t="shared" si="337"/>
        <v>501.87885061545006</v>
      </c>
      <c r="AE420">
        <f t="shared" si="338"/>
        <v>-0.26633597958732413</v>
      </c>
      <c r="AF420">
        <f t="shared" si="339"/>
        <v>3.0947577867738003E-2</v>
      </c>
      <c r="AG420">
        <f t="shared" si="315"/>
        <v>212.33892540903301</v>
      </c>
      <c r="AH420">
        <f t="shared" si="316"/>
        <v>-1859.7092137324419</v>
      </c>
      <c r="AJ420">
        <f t="shared" si="340"/>
        <v>22100</v>
      </c>
      <c r="AK420">
        <f t="shared" si="341"/>
        <v>122028.20220666348</v>
      </c>
      <c r="AL420">
        <v>1</v>
      </c>
      <c r="AM420">
        <f t="shared" si="342"/>
        <v>391.68683496542883</v>
      </c>
      <c r="AN420">
        <f t="shared" si="317"/>
        <v>311.68734350608736</v>
      </c>
      <c r="AO420">
        <f t="shared" si="318"/>
        <v>-55.626870018281309</v>
      </c>
      <c r="AQ420">
        <f t="shared" si="343"/>
        <v>2.3564892175301118E-3</v>
      </c>
      <c r="AR420">
        <f t="shared" si="344"/>
        <v>-4.8543677881120306</v>
      </c>
      <c r="AT420">
        <f t="shared" si="365"/>
        <v>-9027.212128009729</v>
      </c>
      <c r="AU420">
        <f t="shared" si="366"/>
        <v>-1035.1536243778351</v>
      </c>
      <c r="AV420">
        <f t="shared" si="354"/>
        <v>-3.027420980784707</v>
      </c>
      <c r="AW420">
        <f t="shared" si="355"/>
        <v>245.87458178727516</v>
      </c>
      <c r="AX420">
        <f t="shared" si="356"/>
        <v>-3569.0172706464514</v>
      </c>
      <c r="AY420">
        <f t="shared" si="364"/>
        <v>-1.5020136083342392</v>
      </c>
      <c r="BA420">
        <f t="shared" si="345"/>
        <v>2.5398821884678289</v>
      </c>
      <c r="BB420">
        <f t="shared" si="357"/>
        <v>8.0962714498401702</v>
      </c>
      <c r="BC420">
        <f t="shared" si="358"/>
        <v>-1.5254073724504678</v>
      </c>
      <c r="BD420">
        <f t="shared" si="346"/>
        <v>-267.39940457942066</v>
      </c>
      <c r="BF420">
        <f t="shared" si="347"/>
        <v>-54.839395363875177</v>
      </c>
      <c r="BG420">
        <f t="shared" si="348"/>
        <v>-188.27954658252932</v>
      </c>
      <c r="BH420">
        <f t="shared" si="359"/>
        <v>-8.2795465825293206</v>
      </c>
      <c r="BI420">
        <f t="shared" si="360"/>
        <v>-8.2795465825293206</v>
      </c>
      <c r="BJ420">
        <f t="shared" si="349"/>
        <v>0</v>
      </c>
      <c r="BK420">
        <f t="shared" si="361"/>
        <v>0</v>
      </c>
      <c r="BM420">
        <f t="shared" si="362"/>
        <v>-62.935666813715358</v>
      </c>
      <c r="BN420">
        <f t="shared" si="350"/>
        <v>-100.88014200310873</v>
      </c>
      <c r="BQ420" s="47">
        <f t="shared" si="363"/>
        <v>24.998232250125309</v>
      </c>
    </row>
    <row r="421" spans="1:69">
      <c r="A421">
        <f t="shared" si="319"/>
        <v>1035000</v>
      </c>
      <c r="B421">
        <f t="shared" si="351"/>
        <v>1035</v>
      </c>
      <c r="C421">
        <f t="shared" si="320"/>
        <v>5.2977137892690545</v>
      </c>
      <c r="D421">
        <f t="shared" si="321"/>
        <v>1.3808963516683612</v>
      </c>
      <c r="F421">
        <f t="shared" si="322"/>
        <v>8.9301439621980154E-6</v>
      </c>
      <c r="G421">
        <f t="shared" si="323"/>
        <v>9.0098432902656854E-4</v>
      </c>
      <c r="H421">
        <f t="shared" si="324"/>
        <v>-3.1406916656709738</v>
      </c>
      <c r="J421">
        <f t="shared" si="325"/>
        <v>15</v>
      </c>
      <c r="M421">
        <f t="shared" si="326"/>
        <v>1.4550500656869227E-3</v>
      </c>
      <c r="N421">
        <f t="shared" si="327"/>
        <v>-1.5707963250000001</v>
      </c>
      <c r="O421">
        <f t="shared" si="328"/>
        <v>504.31614715808405</v>
      </c>
      <c r="P421">
        <f t="shared" si="329"/>
        <v>1.5688134423266109</v>
      </c>
      <c r="Q421">
        <f t="shared" si="330"/>
        <v>393.5894977293234</v>
      </c>
      <c r="R421">
        <f t="shared" si="331"/>
        <v>1.5682556058619268</v>
      </c>
      <c r="S421">
        <f t="shared" si="332"/>
        <v>0.1773729762516533</v>
      </c>
      <c r="T421">
        <f t="shared" si="333"/>
        <v>-1.3924798708936101</v>
      </c>
      <c r="U421">
        <f t="shared" si="334"/>
        <v>0.11487071084820084</v>
      </c>
      <c r="V421">
        <f t="shared" si="335"/>
        <v>-1.4556714787978091</v>
      </c>
      <c r="X421">
        <f t="shared" si="352"/>
        <v>-47.584814302525501</v>
      </c>
      <c r="Y421">
        <f t="shared" si="336"/>
        <v>-174.27507964502936</v>
      </c>
      <c r="Z421">
        <f t="shared" si="353"/>
        <v>5.7249203549706351</v>
      </c>
      <c r="AC421">
        <v>1</v>
      </c>
      <c r="AD421">
        <f t="shared" si="337"/>
        <v>504.31515571552507</v>
      </c>
      <c r="AE421">
        <f t="shared" si="338"/>
        <v>-0.26892804197703019</v>
      </c>
      <c r="AF421">
        <f t="shared" si="339"/>
        <v>3.1097808828261006E-2</v>
      </c>
      <c r="AG421">
        <f t="shared" si="315"/>
        <v>210.31930293908749</v>
      </c>
      <c r="AH421">
        <f t="shared" si="316"/>
        <v>-1850.9586526582766</v>
      </c>
      <c r="AJ421">
        <f t="shared" si="340"/>
        <v>22100</v>
      </c>
      <c r="AK421">
        <f t="shared" si="341"/>
        <v>122620.57212028807</v>
      </c>
      <c r="AL421">
        <v>1</v>
      </c>
      <c r="AM421">
        <f t="shared" si="342"/>
        <v>393.58822736817359</v>
      </c>
      <c r="AN421">
        <f t="shared" si="317"/>
        <v>311.68597466760355</v>
      </c>
      <c r="AO421">
        <f t="shared" si="318"/>
        <v>-55.358144655457359</v>
      </c>
      <c r="AQ421">
        <f t="shared" si="343"/>
        <v>2.3337762062647423E-3</v>
      </c>
      <c r="AR421">
        <f t="shared" si="344"/>
        <v>-4.8309167469680165</v>
      </c>
      <c r="AT421">
        <f t="shared" si="365"/>
        <v>-8941.3363148873068</v>
      </c>
      <c r="AU421">
        <f t="shared" si="366"/>
        <v>-1020.354766041431</v>
      </c>
      <c r="AV421">
        <f t="shared" si="354"/>
        <v>-3.0279675983111325</v>
      </c>
      <c r="AW421">
        <f t="shared" si="355"/>
        <v>246.53339280455296</v>
      </c>
      <c r="AX421">
        <f t="shared" si="356"/>
        <v>-3551.9914505891397</v>
      </c>
      <c r="AY421">
        <f t="shared" si="364"/>
        <v>-1.5015003676642438</v>
      </c>
      <c r="BA421">
        <f t="shared" si="345"/>
        <v>2.527531189229292</v>
      </c>
      <c r="BB421">
        <f t="shared" si="357"/>
        <v>8.0539304680627737</v>
      </c>
      <c r="BC421">
        <f t="shared" si="358"/>
        <v>-1.5264672306468887</v>
      </c>
      <c r="BD421">
        <f t="shared" si="346"/>
        <v>-267.46012998102731</v>
      </c>
      <c r="BF421">
        <f t="shared" si="347"/>
        <v>-54.92530531347861</v>
      </c>
      <c r="BG421">
        <f t="shared" si="348"/>
        <v>-188.28897439549019</v>
      </c>
      <c r="BH421">
        <f t="shared" si="359"/>
        <v>-8.288974395490186</v>
      </c>
      <c r="BI421">
        <f t="shared" si="360"/>
        <v>-8.288974395490186</v>
      </c>
      <c r="BJ421">
        <f t="shared" si="349"/>
        <v>0</v>
      </c>
      <c r="BK421">
        <f t="shared" si="361"/>
        <v>0</v>
      </c>
      <c r="BM421">
        <f t="shared" si="362"/>
        <v>-62.979235781541391</v>
      </c>
      <c r="BN421">
        <f t="shared" si="350"/>
        <v>-100.82884441446291</v>
      </c>
      <c r="BQ421" s="47">
        <f t="shared" si="363"/>
        <v>24.955891268347909</v>
      </c>
    </row>
    <row r="422" spans="1:69">
      <c r="A422">
        <f t="shared" si="319"/>
        <v>1040000</v>
      </c>
      <c r="B422">
        <f t="shared" si="351"/>
        <v>1040</v>
      </c>
      <c r="C422">
        <f t="shared" si="320"/>
        <v>5.3223968365112855</v>
      </c>
      <c r="D422">
        <f t="shared" si="321"/>
        <v>1.3817876932614845</v>
      </c>
      <c r="F422">
        <f t="shared" si="322"/>
        <v>8.8444828670090425E-6</v>
      </c>
      <c r="G422">
        <f t="shared" si="323"/>
        <v>8.9665259773576405E-4</v>
      </c>
      <c r="H422">
        <f t="shared" si="324"/>
        <v>-3.1406959974022644</v>
      </c>
      <c r="J422">
        <f t="shared" si="325"/>
        <v>15</v>
      </c>
      <c r="M422">
        <f t="shared" si="326"/>
        <v>1.4480546326788126E-3</v>
      </c>
      <c r="N422">
        <f t="shared" si="327"/>
        <v>-1.5707963250000001</v>
      </c>
      <c r="O422">
        <f t="shared" si="328"/>
        <v>506.7524474916176</v>
      </c>
      <c r="P422">
        <f t="shared" si="329"/>
        <v>1.5688229754002077</v>
      </c>
      <c r="Q422">
        <f t="shared" si="330"/>
        <v>395.49088402458227</v>
      </c>
      <c r="R422">
        <f t="shared" si="331"/>
        <v>1.5682678208142233</v>
      </c>
      <c r="S422">
        <f t="shared" si="332"/>
        <v>0.17654686308509099</v>
      </c>
      <c r="T422">
        <f t="shared" si="333"/>
        <v>-1.3933192308159006</v>
      </c>
      <c r="U422">
        <f t="shared" si="334"/>
        <v>0.11432568329943793</v>
      </c>
      <c r="V422">
        <f t="shared" si="335"/>
        <v>-1.4562201208485221</v>
      </c>
      <c r="X422">
        <f t="shared" si="352"/>
        <v>-47.668159054473165</v>
      </c>
      <c r="Y422">
        <f t="shared" si="336"/>
        <v>-174.30253830850376</v>
      </c>
      <c r="Z422">
        <f t="shared" si="353"/>
        <v>5.6974616914962439</v>
      </c>
      <c r="AC422">
        <v>1</v>
      </c>
      <c r="AD422">
        <f t="shared" si="337"/>
        <v>506.75146081560001</v>
      </c>
      <c r="AE422">
        <f t="shared" si="338"/>
        <v>-0.27153265672697691</v>
      </c>
      <c r="AF422">
        <f t="shared" si="339"/>
        <v>3.1248039788784002E-2</v>
      </c>
      <c r="AG422">
        <f t="shared" si="315"/>
        <v>208.328231916519</v>
      </c>
      <c r="AH422">
        <f t="shared" si="316"/>
        <v>-1842.2889458873926</v>
      </c>
      <c r="AJ422">
        <f t="shared" si="340"/>
        <v>22100</v>
      </c>
      <c r="AK422">
        <f t="shared" si="341"/>
        <v>123212.94203391264</v>
      </c>
      <c r="AL422">
        <v>1</v>
      </c>
      <c r="AM422">
        <f t="shared" si="342"/>
        <v>395.48961977091841</v>
      </c>
      <c r="AN422">
        <f t="shared" si="317"/>
        <v>311.68462552431697</v>
      </c>
      <c r="AO422">
        <f t="shared" si="318"/>
        <v>-55.092003140553338</v>
      </c>
      <c r="AQ422">
        <f t="shared" si="343"/>
        <v>2.3113899982918828E-3</v>
      </c>
      <c r="AR422">
        <f t="shared" si="344"/>
        <v>-4.8076911964471165</v>
      </c>
      <c r="AT422">
        <f t="shared" si="365"/>
        <v>-8856.674818663043</v>
      </c>
      <c r="AU422">
        <f t="shared" si="366"/>
        <v>-1005.8360547999295</v>
      </c>
      <c r="AV422">
        <f t="shared" si="354"/>
        <v>-3.02850902984438</v>
      </c>
      <c r="AW422">
        <f t="shared" si="355"/>
        <v>247.18223880607266</v>
      </c>
      <c r="AX422">
        <f t="shared" si="356"/>
        <v>-3535.1263060726696</v>
      </c>
      <c r="AY422">
        <f t="shared" si="364"/>
        <v>-1.5009881881136211</v>
      </c>
      <c r="BA422">
        <f t="shared" si="345"/>
        <v>2.5152983385203642</v>
      </c>
      <c r="BB422">
        <f t="shared" si="357"/>
        <v>8.0117900788043173</v>
      </c>
      <c r="BC422">
        <f t="shared" si="358"/>
        <v>-1.5275208417307589</v>
      </c>
      <c r="BD422">
        <f t="shared" si="346"/>
        <v>-267.5204974494502</v>
      </c>
      <c r="BF422">
        <f t="shared" si="347"/>
        <v>-55.01079079433228</v>
      </c>
      <c r="BG422">
        <f t="shared" si="348"/>
        <v>-188.29851994238558</v>
      </c>
      <c r="BH422">
        <f t="shared" si="359"/>
        <v>-8.2985199423855818</v>
      </c>
      <c r="BI422">
        <f t="shared" si="360"/>
        <v>-8.2985199423855818</v>
      </c>
      <c r="BJ422">
        <f t="shared" si="349"/>
        <v>0</v>
      </c>
      <c r="BK422">
        <f t="shared" si="361"/>
        <v>0</v>
      </c>
      <c r="BM422">
        <f t="shared" si="362"/>
        <v>-63.022580873136597</v>
      </c>
      <c r="BN422">
        <f t="shared" si="350"/>
        <v>-100.77802249293534</v>
      </c>
      <c r="BQ422" s="47">
        <f t="shared" si="363"/>
        <v>24.913750879089456</v>
      </c>
    </row>
    <row r="423" spans="1:69">
      <c r="A423">
        <f t="shared" si="319"/>
        <v>1045000</v>
      </c>
      <c r="B423">
        <f t="shared" si="351"/>
        <v>1045</v>
      </c>
      <c r="C423">
        <f t="shared" si="320"/>
        <v>5.3470840733019767</v>
      </c>
      <c r="D423">
        <f t="shared" si="321"/>
        <v>1.3826708049860452</v>
      </c>
      <c r="F423">
        <f t="shared" si="322"/>
        <v>8.760048426932148E-6</v>
      </c>
      <c r="G423">
        <f t="shared" si="323"/>
        <v>8.9236231950018104E-4</v>
      </c>
      <c r="H423">
        <f t="shared" si="324"/>
        <v>-3.1407002876805001</v>
      </c>
      <c r="J423">
        <f t="shared" si="325"/>
        <v>15</v>
      </c>
      <c r="M423">
        <f t="shared" si="326"/>
        <v>1.4411261416133637E-3</v>
      </c>
      <c r="N423">
        <f t="shared" si="327"/>
        <v>-1.5707963250000001</v>
      </c>
      <c r="O423">
        <f t="shared" si="328"/>
        <v>509.18874787076385</v>
      </c>
      <c r="P423">
        <f t="shared" si="329"/>
        <v>1.5688324172485735</v>
      </c>
      <c r="Q423">
        <f t="shared" si="330"/>
        <v>397.39227037828562</v>
      </c>
      <c r="R423">
        <f t="shared" si="331"/>
        <v>1.5682799188777681</v>
      </c>
      <c r="S423">
        <f t="shared" si="332"/>
        <v>0.17572828738624505</v>
      </c>
      <c r="T423">
        <f t="shared" si="333"/>
        <v>-1.3941508077812428</v>
      </c>
      <c r="U423">
        <f t="shared" si="334"/>
        <v>0.11378576954930479</v>
      </c>
      <c r="V423">
        <f t="shared" si="335"/>
        <v>-1.4567635810345665</v>
      </c>
      <c r="X423">
        <f t="shared" si="352"/>
        <v>-47.751107680938283</v>
      </c>
      <c r="Y423">
        <f t="shared" si="336"/>
        <v>-174.3297352281194</v>
      </c>
      <c r="Z423">
        <f t="shared" si="353"/>
        <v>5.6702647718805963</v>
      </c>
      <c r="AC423">
        <v>1</v>
      </c>
      <c r="AD423">
        <f t="shared" si="337"/>
        <v>509.18776591567502</v>
      </c>
      <c r="AE423">
        <f t="shared" si="338"/>
        <v>-0.27414982383716435</v>
      </c>
      <c r="AF423">
        <f t="shared" si="339"/>
        <v>3.1398270749307004E-2</v>
      </c>
      <c r="AG423">
        <f t="shared" si="315"/>
        <v>206.36517905293528</v>
      </c>
      <c r="AH423">
        <f t="shared" si="316"/>
        <v>-1833.6989939090142</v>
      </c>
      <c r="AJ423">
        <f t="shared" si="340"/>
        <v>22100</v>
      </c>
      <c r="AK423">
        <f t="shared" si="341"/>
        <v>123805.31194753722</v>
      </c>
      <c r="AL423">
        <v>1</v>
      </c>
      <c r="AM423">
        <f t="shared" si="342"/>
        <v>397.39101217366323</v>
      </c>
      <c r="AN423">
        <f t="shared" si="317"/>
        <v>311.68329570019341</v>
      </c>
      <c r="AO423">
        <f t="shared" si="318"/>
        <v>-54.828408385789388</v>
      </c>
      <c r="AQ423">
        <f t="shared" si="343"/>
        <v>2.2893243539927307E-3</v>
      </c>
      <c r="AR423">
        <f t="shared" si="344"/>
        <v>-4.7846878998448066</v>
      </c>
      <c r="AT423">
        <f t="shared" si="365"/>
        <v>-8773.2049512838348</v>
      </c>
      <c r="AU423">
        <f t="shared" si="366"/>
        <v>-991.5909069285342</v>
      </c>
      <c r="AV423">
        <f t="shared" si="354"/>
        <v>-3.0290453485127768</v>
      </c>
      <c r="AW423">
        <f t="shared" si="355"/>
        <v>247.82132138442233</v>
      </c>
      <c r="AX423">
        <f t="shared" si="356"/>
        <v>-3518.4195871064849</v>
      </c>
      <c r="AY423">
        <f t="shared" si="364"/>
        <v>-1.5004770527877769</v>
      </c>
      <c r="BA423">
        <f t="shared" si="345"/>
        <v>2.5031819443617991</v>
      </c>
      <c r="BB423">
        <f t="shared" si="357"/>
        <v>7.9698483510184239</v>
      </c>
      <c r="BC423">
        <f t="shared" si="358"/>
        <v>-1.528568295725</v>
      </c>
      <c r="BD423">
        <f t="shared" si="346"/>
        <v>-267.58051214262292</v>
      </c>
      <c r="BF423">
        <f t="shared" si="347"/>
        <v>-55.095856074294325</v>
      </c>
      <c r="BG423">
        <f t="shared" si="348"/>
        <v>-188.30818187568073</v>
      </c>
      <c r="BH423">
        <f t="shared" si="359"/>
        <v>-8.3081818756807309</v>
      </c>
      <c r="BI423">
        <f t="shared" si="360"/>
        <v>-8.3081818756807309</v>
      </c>
      <c r="BJ423">
        <f t="shared" si="349"/>
        <v>0</v>
      </c>
      <c r="BK423">
        <f t="shared" si="361"/>
        <v>0</v>
      </c>
      <c r="BM423">
        <f t="shared" si="362"/>
        <v>-63.065704425312752</v>
      </c>
      <c r="BN423">
        <f t="shared" si="350"/>
        <v>-100.72766973305781</v>
      </c>
      <c r="BQ423" s="47">
        <f t="shared" si="363"/>
        <v>24.871809151303559</v>
      </c>
    </row>
    <row r="424" spans="1:69">
      <c r="A424">
        <f t="shared" si="319"/>
        <v>1050000</v>
      </c>
      <c r="B424">
        <f t="shared" si="351"/>
        <v>1050</v>
      </c>
      <c r="C424">
        <f t="shared" si="320"/>
        <v>5.3717754418790102</v>
      </c>
      <c r="D424">
        <f t="shared" si="321"/>
        <v>1.3835457989407931</v>
      </c>
      <c r="F424">
        <f t="shared" si="322"/>
        <v>8.676817332498419E-6</v>
      </c>
      <c r="G424">
        <f t="shared" si="323"/>
        <v>8.8811290211286979E-4</v>
      </c>
      <c r="H424">
        <f t="shared" si="324"/>
        <v>-3.1407045370978874</v>
      </c>
      <c r="J424">
        <f t="shared" si="325"/>
        <v>15</v>
      </c>
      <c r="M424">
        <f t="shared" si="326"/>
        <v>1.4342636361771098E-3</v>
      </c>
      <c r="N424">
        <f t="shared" si="327"/>
        <v>-1.5707963250000001</v>
      </c>
      <c r="O424">
        <f t="shared" si="328"/>
        <v>511.62504829487119</v>
      </c>
      <c r="P424">
        <f t="shared" si="329"/>
        <v>1.568841769174919</v>
      </c>
      <c r="Q424">
        <f t="shared" si="330"/>
        <v>399.29365678959869</v>
      </c>
      <c r="R424">
        <f t="shared" si="331"/>
        <v>1.5682919017223862</v>
      </c>
      <c r="S424">
        <f t="shared" si="332"/>
        <v>0.17491714816765672</v>
      </c>
      <c r="T424">
        <f t="shared" si="333"/>
        <v>-1.394974708406888</v>
      </c>
      <c r="U424">
        <f t="shared" si="334"/>
        <v>0.11325089843728751</v>
      </c>
      <c r="V424">
        <f t="shared" si="335"/>
        <v>-1.457301932107584</v>
      </c>
      <c r="X424">
        <f t="shared" si="352"/>
        <v>-47.833663911535183</v>
      </c>
      <c r="Y424">
        <f t="shared" si="336"/>
        <v>-174.35667412176016</v>
      </c>
      <c r="Z424">
        <f t="shared" si="353"/>
        <v>5.6433258782398354</v>
      </c>
      <c r="AC424">
        <v>1</v>
      </c>
      <c r="AD424">
        <f t="shared" si="337"/>
        <v>511.62407101575002</v>
      </c>
      <c r="AE424">
        <f t="shared" si="338"/>
        <v>-0.27677954330759252</v>
      </c>
      <c r="AF424">
        <f t="shared" si="339"/>
        <v>3.1548501709830007E-2</v>
      </c>
      <c r="AG424">
        <f t="shared" ref="AG424:AG487" si="367">AC424*AE424/(AE424^2+AF424^2)+AD424*AF424/(AE424^2+AF424^2)</f>
        <v>204.4296233979199</v>
      </c>
      <c r="AH424">
        <f t="shared" ref="AH424:AH487" si="368">AD424*AE424/(AE424^2+AF424^2)-AC424*AF424/(AE424^2+AF424^2)</f>
        <v>-1825.1877167490904</v>
      </c>
      <c r="AJ424">
        <f t="shared" si="340"/>
        <v>22100</v>
      </c>
      <c r="AK424">
        <f t="shared" si="341"/>
        <v>124397.68186116179</v>
      </c>
      <c r="AL424">
        <v>1</v>
      </c>
      <c r="AM424">
        <f t="shared" si="342"/>
        <v>399.29240457640805</v>
      </c>
      <c r="AN424">
        <f t="shared" ref="AN424:AN487" si="369">AJ424*AL424/(AL424^2+AM424^2)+AK424*AM424/(AL424^2+AM424^2)</f>
        <v>311.68198482813006</v>
      </c>
      <c r="AO424">
        <f t="shared" ref="AO424:AO487" si="370">AK424*AL424/(AL424^2+AM424^2)-AJ424*AM424/(AL424^2+AM424^2)</f>
        <v>-54.567324009797147</v>
      </c>
      <c r="AQ424">
        <f t="shared" si="343"/>
        <v>2.2675731819561946E-3</v>
      </c>
      <c r="AR424">
        <f t="shared" si="344"/>
        <v>-4.7619036821080085</v>
      </c>
      <c r="AT424">
        <f t="shared" si="365"/>
        <v>-8690.9045497941879</v>
      </c>
      <c r="AU424">
        <f t="shared" si="366"/>
        <v>-977.61292310904435</v>
      </c>
      <c r="AV424">
        <f t="shared" si="354"/>
        <v>-3.0295766260822612</v>
      </c>
      <c r="AW424">
        <f t="shared" si="355"/>
        <v>248.45083702893268</v>
      </c>
      <c r="AX424">
        <f t="shared" si="356"/>
        <v>-3501.8690852606551</v>
      </c>
      <c r="AY424">
        <f t="shared" si="364"/>
        <v>-1.4999669451688942</v>
      </c>
      <c r="BA424">
        <f t="shared" si="345"/>
        <v>2.4911803469016913</v>
      </c>
      <c r="BB424">
        <f t="shared" si="357"/>
        <v>7.9281033811522628</v>
      </c>
      <c r="BC424">
        <f t="shared" si="358"/>
        <v>-1.529609680913367</v>
      </c>
      <c r="BD424">
        <f t="shared" si="346"/>
        <v>-267.64017911883195</v>
      </c>
      <c r="BF424">
        <f t="shared" si="347"/>
        <v>-55.180505356887963</v>
      </c>
      <c r="BG424">
        <f t="shared" si="348"/>
        <v>-188.31795886480793</v>
      </c>
      <c r="BH424">
        <f t="shared" si="359"/>
        <v>-8.3179588648079346</v>
      </c>
      <c r="BI424">
        <f t="shared" si="360"/>
        <v>-8.3179588648079346</v>
      </c>
      <c r="BJ424">
        <f t="shared" si="349"/>
        <v>0</v>
      </c>
      <c r="BK424">
        <f t="shared" si="361"/>
        <v>0</v>
      </c>
      <c r="BM424">
        <f t="shared" si="362"/>
        <v>-63.108608738040218</v>
      </c>
      <c r="BN424">
        <f t="shared" si="350"/>
        <v>-100.67777974597595</v>
      </c>
      <c r="BQ424" s="47">
        <f t="shared" si="363"/>
        <v>24.830064181437397</v>
      </c>
    </row>
    <row r="425" spans="1:69">
      <c r="A425">
        <f t="shared" si="319"/>
        <v>1055000</v>
      </c>
      <c r="B425">
        <f t="shared" si="351"/>
        <v>1055</v>
      </c>
      <c r="C425">
        <f t="shared" si="320"/>
        <v>5.396470885527842</v>
      </c>
      <c r="D425">
        <f t="shared" si="321"/>
        <v>1.384412785222761</v>
      </c>
      <c r="F425">
        <f t="shared" si="322"/>
        <v>8.5947668252932586E-6</v>
      </c>
      <c r="G425">
        <f t="shared" si="323"/>
        <v>8.8390376459403339E-4</v>
      </c>
      <c r="H425">
        <f t="shared" si="324"/>
        <v>-3.140708746235406</v>
      </c>
      <c r="J425">
        <f t="shared" si="325"/>
        <v>15</v>
      </c>
      <c r="M425">
        <f t="shared" si="326"/>
        <v>1.427466178185749E-3</v>
      </c>
      <c r="N425">
        <f t="shared" si="327"/>
        <v>-1.5707963250000001</v>
      </c>
      <c r="O425">
        <f t="shared" si="328"/>
        <v>514.06134876330043</v>
      </c>
      <c r="P425">
        <f t="shared" si="329"/>
        <v>1.5688510324577498</v>
      </c>
      <c r="Q425">
        <f t="shared" si="330"/>
        <v>401.19504325770231</v>
      </c>
      <c r="R425">
        <f t="shared" si="331"/>
        <v>1.5683037709862477</v>
      </c>
      <c r="S425">
        <f t="shared" si="332"/>
        <v>0.17411334620613064</v>
      </c>
      <c r="T425">
        <f t="shared" si="333"/>
        <v>-1.3957910373924438</v>
      </c>
      <c r="U425">
        <f t="shared" si="334"/>
        <v>0.11272100010818607</v>
      </c>
      <c r="V425">
        <f t="shared" si="335"/>
        <v>-1.4578352454695767</v>
      </c>
      <c r="X425">
        <f t="shared" si="352"/>
        <v>-47.915831423719915</v>
      </c>
      <c r="Y425">
        <f t="shared" si="336"/>
        <v>-174.38335863738419</v>
      </c>
      <c r="Z425">
        <f t="shared" si="353"/>
        <v>5.6166413626158089</v>
      </c>
      <c r="AC425">
        <v>1</v>
      </c>
      <c r="AD425">
        <f t="shared" si="337"/>
        <v>514.06037611582508</v>
      </c>
      <c r="AE425">
        <f t="shared" si="338"/>
        <v>-0.27942181513826136</v>
      </c>
      <c r="AF425">
        <f t="shared" si="339"/>
        <v>3.1698732670353003E-2</v>
      </c>
      <c r="AG425">
        <f t="shared" si="367"/>
        <v>202.52105599961573</v>
      </c>
      <c r="AH425">
        <f t="shared" si="368"/>
        <v>-1816.7540535458506</v>
      </c>
      <c r="AJ425">
        <f t="shared" si="340"/>
        <v>22100</v>
      </c>
      <c r="AK425">
        <f t="shared" si="341"/>
        <v>124990.05177478638</v>
      </c>
      <c r="AL425">
        <v>1</v>
      </c>
      <c r="AM425">
        <f t="shared" si="342"/>
        <v>401.19379697915281</v>
      </c>
      <c r="AN425">
        <f t="shared" si="369"/>
        <v>311.68069254970294</v>
      </c>
      <c r="AO425">
        <f t="shared" si="370"/>
        <v>-54.308714320880895</v>
      </c>
      <c r="AQ425">
        <f t="shared" si="343"/>
        <v>2.2461305347744806E-3</v>
      </c>
      <c r="AR425">
        <f t="shared" si="344"/>
        <v>-4.7393354283741544</v>
      </c>
      <c r="AT425">
        <f t="shared" si="365"/>
        <v>-8609.7519618843889</v>
      </c>
      <c r="AU425">
        <f t="shared" si="366"/>
        <v>-963.89588244456957</v>
      </c>
      <c r="AV425">
        <f t="shared" si="354"/>
        <v>-3.0301029329878149</v>
      </c>
      <c r="AW425">
        <f t="shared" si="355"/>
        <v>249.07097728058432</v>
      </c>
      <c r="AX425">
        <f t="shared" si="356"/>
        <v>-3485.4726327164867</v>
      </c>
      <c r="AY425">
        <f t="shared" si="364"/>
        <v>-1.4994578491055501</v>
      </c>
      <c r="BA425">
        <f t="shared" si="345"/>
        <v>2.4792919176574153</v>
      </c>
      <c r="BB425">
        <f t="shared" si="357"/>
        <v>7.8865532926287916</v>
      </c>
      <c r="BC425">
        <f t="shared" si="358"/>
        <v>-1.5306450838822647</v>
      </c>
      <c r="BD425">
        <f t="shared" si="346"/>
        <v>-267.69950333911294</v>
      </c>
      <c r="BF425">
        <f t="shared" si="347"/>
        <v>-55.264742782593352</v>
      </c>
      <c r="BG425">
        <f t="shared" si="348"/>
        <v>-188.3278495959951</v>
      </c>
      <c r="BH425">
        <f t="shared" si="359"/>
        <v>-8.3278495959951044</v>
      </c>
      <c r="BI425">
        <f t="shared" si="360"/>
        <v>-8.3278495959951044</v>
      </c>
      <c r="BJ425">
        <f t="shared" si="349"/>
        <v>0</v>
      </c>
      <c r="BK425">
        <f t="shared" si="361"/>
        <v>0</v>
      </c>
      <c r="BM425">
        <f t="shared" si="362"/>
        <v>-63.151296075222135</v>
      </c>
      <c r="BN425">
        <f t="shared" si="350"/>
        <v>-100.62834625688218</v>
      </c>
      <c r="BQ425" s="47">
        <f t="shared" si="363"/>
        <v>24.788514092913928</v>
      </c>
    </row>
    <row r="426" spans="1:69">
      <c r="A426">
        <f t="shared" si="319"/>
        <v>1060000</v>
      </c>
      <c r="B426">
        <f t="shared" si="351"/>
        <v>1060</v>
      </c>
      <c r="C426">
        <f t="shared" si="320"/>
        <v>5.4211703485580784</v>
      </c>
      <c r="D426">
        <f t="shared" si="321"/>
        <v>1.3852718719711741</v>
      </c>
      <c r="F426">
        <f t="shared" si="322"/>
        <v>8.5138746823971138E-6</v>
      </c>
      <c r="G426">
        <f t="shared" si="323"/>
        <v>8.7973433692622375E-4</v>
      </c>
      <c r="H426">
        <f t="shared" si="324"/>
        <v>-3.140712915663074</v>
      </c>
      <c r="J426">
        <f t="shared" si="325"/>
        <v>15</v>
      </c>
      <c r="M426">
        <f t="shared" si="326"/>
        <v>1.4207328471565709E-3</v>
      </c>
      <c r="N426">
        <f t="shared" si="327"/>
        <v>-1.5707963250000001</v>
      </c>
      <c r="O426">
        <f t="shared" si="328"/>
        <v>516.49764927542412</v>
      </c>
      <c r="P426">
        <f t="shared" si="329"/>
        <v>1.5688602083514491</v>
      </c>
      <c r="Q426">
        <f t="shared" si="330"/>
        <v>403.09642978179284</v>
      </c>
      <c r="R426">
        <f t="shared" si="331"/>
        <v>1.5683155282766141</v>
      </c>
      <c r="S426">
        <f t="shared" si="332"/>
        <v>0.17331678400511938</v>
      </c>
      <c r="T426">
        <f t="shared" si="333"/>
        <v>-1.396599897562316</v>
      </c>
      <c r="U426">
        <f t="shared" si="334"/>
        <v>0.11219600598252924</v>
      </c>
      <c r="V426">
        <f t="shared" si="335"/>
        <v>-1.4583635912039217</v>
      </c>
      <c r="X426">
        <f t="shared" si="352"/>
        <v>-47.997613843753001</v>
      </c>
      <c r="Y426">
        <f t="shared" si="336"/>
        <v>-174.40979235465593</v>
      </c>
      <c r="Z426">
        <f t="shared" si="353"/>
        <v>5.5902076453440657</v>
      </c>
      <c r="AC426">
        <v>1</v>
      </c>
      <c r="AD426">
        <f t="shared" si="337"/>
        <v>516.49668121590003</v>
      </c>
      <c r="AE426">
        <f t="shared" si="338"/>
        <v>-0.28207663932917093</v>
      </c>
      <c r="AF426">
        <f t="shared" si="339"/>
        <v>3.1848963630876005E-2</v>
      </c>
      <c r="AG426">
        <f t="shared" si="367"/>
        <v>200.63897957610058</v>
      </c>
      <c r="AH426">
        <f t="shared" si="368"/>
        <v>-1808.3969621361412</v>
      </c>
      <c r="AJ426">
        <f t="shared" si="340"/>
        <v>22100</v>
      </c>
      <c r="AK426">
        <f t="shared" si="341"/>
        <v>125582.42168841098</v>
      </c>
      <c r="AL426">
        <v>1</v>
      </c>
      <c r="AM426">
        <f t="shared" si="342"/>
        <v>403.09518938189757</v>
      </c>
      <c r="AN426">
        <f t="shared" si="369"/>
        <v>311.67941851492077</v>
      </c>
      <c r="AO426">
        <f t="shared" si="370"/>
        <v>-54.05254430075211</v>
      </c>
      <c r="AQ426">
        <f t="shared" si="343"/>
        <v>2.2249906049771704E-3</v>
      </c>
      <c r="AR426">
        <f t="shared" si="344"/>
        <v>-4.7169800825516015</v>
      </c>
      <c r="AT426">
        <f t="shared" si="365"/>
        <v>-8529.7260318984518</v>
      </c>
      <c r="AU426">
        <f t="shared" si="366"/>
        <v>-950.43373669476625</v>
      </c>
      <c r="AV426">
        <f t="shared" si="354"/>
        <v>-3.0306243383640421</v>
      </c>
      <c r="AW426">
        <f t="shared" si="355"/>
        <v>249.68192888144023</v>
      </c>
      <c r="AX426">
        <f t="shared" si="356"/>
        <v>-3469.2281013428615</v>
      </c>
      <c r="AY426">
        <f t="shared" si="364"/>
        <v>-1.4989497488026744</v>
      </c>
      <c r="BA426">
        <f t="shared" si="345"/>
        <v>2.4675150587789005</v>
      </c>
      <c r="BB426">
        <f t="shared" si="357"/>
        <v>7.8451962353410831</v>
      </c>
      <c r="BC426">
        <f t="shared" si="358"/>
        <v>-1.5316745895613677</v>
      </c>
      <c r="BD426">
        <f t="shared" si="346"/>
        <v>-267.75848966957767</v>
      </c>
      <c r="BF426">
        <f t="shared" si="347"/>
        <v>-55.34857243010719</v>
      </c>
      <c r="BG426">
        <f t="shared" si="348"/>
        <v>-188.33785277209256</v>
      </c>
      <c r="BH426">
        <f t="shared" si="359"/>
        <v>-8.3378527720925604</v>
      </c>
      <c r="BI426">
        <f t="shared" si="360"/>
        <v>-8.3378527720925604</v>
      </c>
      <c r="BJ426">
        <f t="shared" si="349"/>
        <v>0</v>
      </c>
      <c r="BK426">
        <f t="shared" si="361"/>
        <v>0</v>
      </c>
      <c r="BM426">
        <f t="shared" si="362"/>
        <v>-63.193768665448275</v>
      </c>
      <c r="BN426">
        <f t="shared" si="350"/>
        <v>-100.57936310251489</v>
      </c>
      <c r="BQ426" s="47">
        <f t="shared" si="363"/>
        <v>24.747157035626216</v>
      </c>
    </row>
    <row r="427" spans="1:69">
      <c r="A427">
        <f t="shared" si="319"/>
        <v>1065000</v>
      </c>
      <c r="B427">
        <f t="shared" si="351"/>
        <v>1065</v>
      </c>
      <c r="C427">
        <f t="shared" si="320"/>
        <v>5.4458737762806662</v>
      </c>
      <c r="D427">
        <f t="shared" si="321"/>
        <v>1.3861231654102264</v>
      </c>
      <c r="F427">
        <f t="shared" si="322"/>
        <v>8.4341192013363313E-6</v>
      </c>
      <c r="G427">
        <f t="shared" si="323"/>
        <v>8.7560405979699503E-4</v>
      </c>
      <c r="H427">
        <f t="shared" si="324"/>
        <v>-3.1407170459402032</v>
      </c>
      <c r="J427">
        <f t="shared" si="325"/>
        <v>15</v>
      </c>
      <c r="M427">
        <f t="shared" si="326"/>
        <v>1.4140627398929249E-3</v>
      </c>
      <c r="N427">
        <f t="shared" si="327"/>
        <v>-1.5707963250000001</v>
      </c>
      <c r="O427">
        <f t="shared" si="328"/>
        <v>518.93394983062728</v>
      </c>
      <c r="P427">
        <f t="shared" si="329"/>
        <v>1.5688692980868437</v>
      </c>
      <c r="Q427">
        <f t="shared" si="330"/>
        <v>404.99781636108173</v>
      </c>
      <c r="R427">
        <f t="shared" si="331"/>
        <v>1.5683271751705643</v>
      </c>
      <c r="S427">
        <f t="shared" si="332"/>
        <v>0.17252736575804564</v>
      </c>
      <c r="T427">
        <f t="shared" si="333"/>
        <v>-1.3974013899070412</v>
      </c>
      <c r="U427">
        <f t="shared" si="334"/>
        <v>0.11167584872778484</v>
      </c>
      <c r="V427">
        <f t="shared" si="335"/>
        <v>-1.4588870381055405</v>
      </c>
      <c r="X427">
        <f t="shared" si="352"/>
        <v>-48.079014747640159</v>
      </c>
      <c r="Y427">
        <f t="shared" si="336"/>
        <v>-174.43597878653267</v>
      </c>
      <c r="Z427">
        <f t="shared" si="353"/>
        <v>5.5640212134673277</v>
      </c>
      <c r="AC427">
        <v>1</v>
      </c>
      <c r="AD427">
        <f t="shared" si="337"/>
        <v>518.93298631597509</v>
      </c>
      <c r="AE427">
        <f t="shared" si="338"/>
        <v>-0.28474401588032122</v>
      </c>
      <c r="AF427">
        <f t="shared" si="339"/>
        <v>3.1999194591399008E-2</v>
      </c>
      <c r="AG427">
        <f t="shared" si="367"/>
        <v>198.78290819716966</v>
      </c>
      <c r="AH427">
        <f t="shared" si="368"/>
        <v>-1800.1154186522583</v>
      </c>
      <c r="AJ427">
        <f t="shared" si="340"/>
        <v>22100</v>
      </c>
      <c r="AK427">
        <f t="shared" si="341"/>
        <v>126174.79160203553</v>
      </c>
      <c r="AL427">
        <v>1</v>
      </c>
      <c r="AM427">
        <f t="shared" si="342"/>
        <v>404.99658178464239</v>
      </c>
      <c r="AN427">
        <f t="shared" si="369"/>
        <v>311.67816238198895</v>
      </c>
      <c r="AO427">
        <f t="shared" si="370"/>
        <v>-53.798779588722518</v>
      </c>
      <c r="AQ427">
        <f t="shared" si="343"/>
        <v>2.2041477210986088E-3</v>
      </c>
      <c r="AR427">
        <f t="shared" si="344"/>
        <v>-4.6948346459400367</v>
      </c>
      <c r="AT427">
        <f t="shared" si="365"/>
        <v>-8450.8060872853803</v>
      </c>
      <c r="AU427">
        <f t="shared" si="366"/>
        <v>-937.22060472252667</v>
      </c>
      <c r="AV427">
        <f t="shared" si="354"/>
        <v>-3.0311409100749085</v>
      </c>
      <c r="AW427">
        <f t="shared" si="355"/>
        <v>250.28387391882836</v>
      </c>
      <c r="AX427">
        <f t="shared" si="356"/>
        <v>-3453.1334017975405</v>
      </c>
      <c r="AY427">
        <f t="shared" si="364"/>
        <v>-1.4984426288118351</v>
      </c>
      <c r="BA427">
        <f t="shared" si="345"/>
        <v>2.4558482023325454</v>
      </c>
      <c r="BB427">
        <f t="shared" si="357"/>
        <v>7.8040303851584101</v>
      </c>
      <c r="BC427">
        <f t="shared" si="358"/>
        <v>-1.5326982812630734</v>
      </c>
      <c r="BD427">
        <f t="shared" si="346"/>
        <v>-267.81714288367499</v>
      </c>
      <c r="BF427">
        <f t="shared" si="347"/>
        <v>-55.431998317570987</v>
      </c>
      <c r="BG427">
        <f t="shared" si="348"/>
        <v>-188.34796711239724</v>
      </c>
      <c r="BH427">
        <f t="shared" si="359"/>
        <v>-8.3479671123972423</v>
      </c>
      <c r="BI427">
        <f t="shared" si="360"/>
        <v>-8.3479671123972423</v>
      </c>
      <c r="BJ427">
        <f t="shared" si="349"/>
        <v>0</v>
      </c>
      <c r="BK427">
        <f t="shared" si="361"/>
        <v>0</v>
      </c>
      <c r="BM427">
        <f t="shared" si="362"/>
        <v>-63.236028702729392</v>
      </c>
      <c r="BN427">
        <f t="shared" si="350"/>
        <v>-100.53082422872227</v>
      </c>
      <c r="BQ427" s="47">
        <f t="shared" si="363"/>
        <v>24.705991185443548</v>
      </c>
    </row>
    <row r="428" spans="1:69">
      <c r="A428">
        <f t="shared" ref="A428:A433" si="371">A427+5000</f>
        <v>1070000</v>
      </c>
      <c r="B428">
        <f t="shared" si="351"/>
        <v>1070</v>
      </c>
      <c r="C428">
        <f t="shared" si="320"/>
        <v>5.4705811149856851</v>
      </c>
      <c r="D428">
        <f t="shared" si="321"/>
        <v>1.3869667698907535</v>
      </c>
      <c r="F428">
        <f t="shared" si="322"/>
        <v>8.3554791855251444E-6</v>
      </c>
      <c r="G428">
        <f t="shared" si="323"/>
        <v>8.7151238434877618E-4</v>
      </c>
      <c r="H428">
        <f t="shared" si="324"/>
        <v>-3.1407211376156514</v>
      </c>
      <c r="J428">
        <f t="shared" si="325"/>
        <v>15</v>
      </c>
      <c r="M428">
        <f t="shared" si="326"/>
        <v>1.4074549700803412E-3</v>
      </c>
      <c r="N428">
        <f t="shared" si="327"/>
        <v>-1.5707963250000001</v>
      </c>
      <c r="O428">
        <f t="shared" si="328"/>
        <v>521.37025042830567</v>
      </c>
      <c r="P428">
        <f t="shared" si="329"/>
        <v>1.5688783028717543</v>
      </c>
      <c r="Q428">
        <f t="shared" si="330"/>
        <v>406.89920299479525</v>
      </c>
      <c r="R428">
        <f t="shared" si="331"/>
        <v>1.5683387132156987</v>
      </c>
      <c r="S428">
        <f t="shared" si="332"/>
        <v>0.17174499731253495</v>
      </c>
      <c r="T428">
        <f t="shared" si="333"/>
        <v>-1.3981956136235434</v>
      </c>
      <c r="U428">
        <f t="shared" si="334"/>
        <v>0.11116046223034035</v>
      </c>
      <c r="V428">
        <f t="shared" si="335"/>
        <v>-1.4594056537102462</v>
      </c>
      <c r="X428">
        <f t="shared" si="352"/>
        <v>-48.160037662051806</v>
      </c>
      <c r="Y428">
        <f t="shared" si="336"/>
        <v>-174.46192138080735</v>
      </c>
      <c r="Z428">
        <f t="shared" si="353"/>
        <v>5.5380786191926461</v>
      </c>
      <c r="AC428">
        <v>1</v>
      </c>
      <c r="AD428">
        <f t="shared" si="337"/>
        <v>521.36929141605003</v>
      </c>
      <c r="AE428">
        <f t="shared" si="338"/>
        <v>-0.28742394479171218</v>
      </c>
      <c r="AF428">
        <f t="shared" si="339"/>
        <v>3.2149425551922003E-2</v>
      </c>
      <c r="AG428">
        <f t="shared" si="367"/>
        <v>196.95236697614857</v>
      </c>
      <c r="AH428">
        <f t="shared" si="368"/>
        <v>-1791.9084171289494</v>
      </c>
      <c r="AJ428">
        <f t="shared" si="340"/>
        <v>22100</v>
      </c>
      <c r="AK428">
        <f t="shared" si="341"/>
        <v>126767.16151566013</v>
      </c>
      <c r="AL428">
        <v>1</v>
      </c>
      <c r="AM428">
        <f t="shared" si="342"/>
        <v>406.89797418738721</v>
      </c>
      <c r="AN428">
        <f t="shared" si="369"/>
        <v>311.67692381707997</v>
      </c>
      <c r="AO428">
        <f t="shared" si="370"/>
        <v>-53.547386466340143</v>
      </c>
      <c r="AQ428">
        <f t="shared" si="343"/>
        <v>2.1835963438736256E-3</v>
      </c>
      <c r="AR428">
        <f t="shared" si="344"/>
        <v>-4.6728961758895586</v>
      </c>
      <c r="AT428">
        <f t="shared" si="365"/>
        <v>-8372.9719254777337</v>
      </c>
      <c r="AU428">
        <f t="shared" si="366"/>
        <v>-924.25076714344073</v>
      </c>
      <c r="AV428">
        <f t="shared" si="354"/>
        <v>-3.0316527147426715</v>
      </c>
      <c r="AW428">
        <f t="shared" si="355"/>
        <v>250.87698996447818</v>
      </c>
      <c r="AX428">
        <f t="shared" si="356"/>
        <v>-3437.1864826526153</v>
      </c>
      <c r="AY428">
        <f t="shared" si="364"/>
        <v>-1.4979364740218406</v>
      </c>
      <c r="BA428">
        <f t="shared" si="345"/>
        <v>2.4442898096050953</v>
      </c>
      <c r="BB428">
        <f t="shared" si="357"/>
        <v>7.7630539434437438</v>
      </c>
      <c r="BC428">
        <f t="shared" si="358"/>
        <v>-1.5337162407208309</v>
      </c>
      <c r="BD428">
        <f t="shared" si="346"/>
        <v>-267.87546766438658</v>
      </c>
      <c r="BF428">
        <f t="shared" si="347"/>
        <v>-55.515024403768919</v>
      </c>
      <c r="BG428">
        <f t="shared" si="348"/>
        <v>-188.35819135247567</v>
      </c>
      <c r="BH428">
        <f t="shared" si="359"/>
        <v>-8.3581913524756715</v>
      </c>
      <c r="BI428">
        <f t="shared" si="360"/>
        <v>-8.3581913524756715</v>
      </c>
      <c r="BJ428">
        <f t="shared" si="349"/>
        <v>0</v>
      </c>
      <c r="BK428">
        <f t="shared" si="361"/>
        <v>0</v>
      </c>
      <c r="BM428">
        <f t="shared" si="362"/>
        <v>-63.278078347212663</v>
      </c>
      <c r="BN428">
        <f t="shared" si="350"/>
        <v>-100.4827236880891</v>
      </c>
      <c r="BQ428" s="47">
        <f t="shared" si="363"/>
        <v>24.665014743728882</v>
      </c>
    </row>
    <row r="429" spans="1:69">
      <c r="A429">
        <f t="shared" si="371"/>
        <v>1075000</v>
      </c>
      <c r="B429">
        <f t="shared" si="351"/>
        <v>1075</v>
      </c>
      <c r="C429">
        <f t="shared" si="320"/>
        <v>5.4952923119207275</v>
      </c>
      <c r="D429">
        <f t="shared" si="321"/>
        <v>1.3878027879308372</v>
      </c>
      <c r="F429">
        <f t="shared" si="322"/>
        <v>8.2779339301805349E-6</v>
      </c>
      <c r="G429">
        <f t="shared" si="323"/>
        <v>8.6745877193572052E-4</v>
      </c>
      <c r="H429">
        <f t="shared" si="324"/>
        <v>-3.1407251912280647</v>
      </c>
      <c r="J429">
        <f t="shared" si="325"/>
        <v>15</v>
      </c>
      <c r="M429">
        <f t="shared" si="326"/>
        <v>1.4009086678939209E-3</v>
      </c>
      <c r="N429">
        <f t="shared" si="327"/>
        <v>-1.5707963250000001</v>
      </c>
      <c r="O429">
        <f t="shared" si="328"/>
        <v>523.80655106786674</v>
      </c>
      <c r="P429">
        <f t="shared" si="329"/>
        <v>1.5688872238915303</v>
      </c>
      <c r="Q429">
        <f t="shared" si="330"/>
        <v>408.80058968217384</v>
      </c>
      <c r="R429">
        <f t="shared" si="331"/>
        <v>1.5683501439308261</v>
      </c>
      <c r="S429">
        <f t="shared" si="332"/>
        <v>0.17096958613553379</v>
      </c>
      <c r="T429">
        <f t="shared" si="333"/>
        <v>-1.3989826661543472</v>
      </c>
      <c r="U429">
        <f t="shared" si="334"/>
        <v>0.11064978156823041</v>
      </c>
      <c r="V429">
        <f t="shared" si="335"/>
        <v>-1.4599195043232949</v>
      </c>
      <c r="X429">
        <f t="shared" si="352"/>
        <v>-48.240686065221524</v>
      </c>
      <c r="Y429">
        <f t="shared" si="336"/>
        <v>-174.48762352160847</v>
      </c>
      <c r="Z429">
        <f t="shared" si="353"/>
        <v>5.5123764783915306</v>
      </c>
      <c r="AC429">
        <v>1</v>
      </c>
      <c r="AD429">
        <f t="shared" si="337"/>
        <v>523.80559651612509</v>
      </c>
      <c r="AE429">
        <f t="shared" si="338"/>
        <v>-0.29011642606334387</v>
      </c>
      <c r="AF429">
        <f t="shared" si="339"/>
        <v>3.2299656512445006E-2</v>
      </c>
      <c r="AG429">
        <f t="shared" si="367"/>
        <v>195.14689177138177</v>
      </c>
      <c r="AH429">
        <f t="shared" si="368"/>
        <v>-1783.7749691203178</v>
      </c>
      <c r="AJ429">
        <f t="shared" si="340"/>
        <v>22100</v>
      </c>
      <c r="AK429">
        <f t="shared" si="341"/>
        <v>127359.53142928469</v>
      </c>
      <c r="AL429">
        <v>1</v>
      </c>
      <c r="AM429">
        <f t="shared" si="342"/>
        <v>408.79936659013202</v>
      </c>
      <c r="AN429">
        <f t="shared" si="369"/>
        <v>311.67570249411136</v>
      </c>
      <c r="AO429">
        <f t="shared" si="370"/>
        <v>-53.298331842454076</v>
      </c>
      <c r="AQ429">
        <f t="shared" si="343"/>
        <v>2.1633310625568279E-3</v>
      </c>
      <c r="AR429">
        <f t="shared" si="344"/>
        <v>-4.6511617844971802</v>
      </c>
      <c r="AT429">
        <f t="shared" si="365"/>
        <v>-8296.2038011823297</v>
      </c>
      <c r="AU429">
        <f t="shared" si="366"/>
        <v>-911.51866116976748</v>
      </c>
      <c r="AV429">
        <f t="shared" si="354"/>
        <v>-3.0321598177760278</v>
      </c>
      <c r="AW429">
        <f t="shared" si="355"/>
        <v>251.46145020881954</v>
      </c>
      <c r="AX429">
        <f t="shared" si="356"/>
        <v>-3421.3853295433905</v>
      </c>
      <c r="AY429">
        <f t="shared" si="364"/>
        <v>-1.4974312696496432</v>
      </c>
      <c r="BA429">
        <f t="shared" si="345"/>
        <v>2.4328383704268481</v>
      </c>
      <c r="BB429">
        <f t="shared" si="357"/>
        <v>7.7222651365823829</v>
      </c>
      <c r="BC429">
        <f t="shared" si="358"/>
        <v>-1.5347285481263846</v>
      </c>
      <c r="BD429">
        <f t="shared" si="346"/>
        <v>-267.93346860636092</v>
      </c>
      <c r="BF429">
        <f t="shared" si="347"/>
        <v>-55.597654589296141</v>
      </c>
      <c r="BG429">
        <f t="shared" si="348"/>
        <v>-188.36852424398501</v>
      </c>
      <c r="BH429">
        <f t="shared" si="359"/>
        <v>-8.3685242439850072</v>
      </c>
      <c r="BI429">
        <f t="shared" si="360"/>
        <v>-8.3685242439850072</v>
      </c>
      <c r="BJ429">
        <f t="shared" si="349"/>
        <v>0</v>
      </c>
      <c r="BK429">
        <f t="shared" si="361"/>
        <v>0</v>
      </c>
      <c r="BM429">
        <f t="shared" si="362"/>
        <v>-63.31991972587852</v>
      </c>
      <c r="BN429">
        <f t="shared" si="350"/>
        <v>-100.43505563762409</v>
      </c>
      <c r="BQ429" s="47">
        <f t="shared" si="363"/>
        <v>24.624225936867518</v>
      </c>
    </row>
    <row r="430" spans="1:69">
      <c r="A430">
        <f t="shared" si="371"/>
        <v>1080000</v>
      </c>
      <c r="B430">
        <f t="shared" si="351"/>
        <v>1080</v>
      </c>
      <c r="C430">
        <f t="shared" si="320"/>
        <v>5.5200073152698401</v>
      </c>
      <c r="D430">
        <f t="shared" si="321"/>
        <v>1.3886313202553722</v>
      </c>
      <c r="F430">
        <f t="shared" si="322"/>
        <v>8.2014632086925194E-6</v>
      </c>
      <c r="G430">
        <f t="shared" si="323"/>
        <v>8.6344269388731194E-4</v>
      </c>
      <c r="H430">
        <f t="shared" si="324"/>
        <v>-3.140729207306113</v>
      </c>
      <c r="J430">
        <f t="shared" si="325"/>
        <v>15</v>
      </c>
      <c r="M430">
        <f t="shared" si="326"/>
        <v>1.3944229796166343E-3</v>
      </c>
      <c r="N430">
        <f t="shared" si="327"/>
        <v>-1.5707963250000001</v>
      </c>
      <c r="O430">
        <f t="shared" si="328"/>
        <v>526.24285174872864</v>
      </c>
      <c r="P430">
        <f t="shared" si="329"/>
        <v>1.5688960623095713</v>
      </c>
      <c r="Q430">
        <f t="shared" si="330"/>
        <v>410.70197642247234</v>
      </c>
      <c r="R430">
        <f t="shared" si="331"/>
        <v>1.568361468806629</v>
      </c>
      <c r="S430">
        <f t="shared" si="332"/>
        <v>0.1702010412792877</v>
      </c>
      <c r="T430">
        <f t="shared" si="333"/>
        <v>-1.3997626432257784</v>
      </c>
      <c r="U430">
        <f t="shared" si="334"/>
        <v>0.11014374298458826</v>
      </c>
      <c r="V430">
        <f t="shared" si="335"/>
        <v>-1.4604286550471688</v>
      </c>
      <c r="X430">
        <f t="shared" si="352"/>
        <v>-48.320963387824477</v>
      </c>
      <c r="Y430">
        <f t="shared" si="336"/>
        <v>-174.51308853085959</v>
      </c>
      <c r="Z430">
        <f t="shared" si="353"/>
        <v>5.4869114691404093</v>
      </c>
      <c r="AC430">
        <v>1</v>
      </c>
      <c r="AD430">
        <f t="shared" si="337"/>
        <v>526.24190161620004</v>
      </c>
      <c r="AE430">
        <f t="shared" si="338"/>
        <v>-0.29282145969521622</v>
      </c>
      <c r="AF430">
        <f t="shared" si="339"/>
        <v>3.2449887472968002E-2</v>
      </c>
      <c r="AG430">
        <f t="shared" si="367"/>
        <v>193.36602889704977</v>
      </c>
      <c r="AH430">
        <f t="shared" si="368"/>
        <v>-1775.7141033263235</v>
      </c>
      <c r="AJ430">
        <f t="shared" si="340"/>
        <v>22100</v>
      </c>
      <c r="AK430">
        <f t="shared" si="341"/>
        <v>127951.90134290929</v>
      </c>
      <c r="AL430">
        <v>1</v>
      </c>
      <c r="AM430">
        <f t="shared" si="342"/>
        <v>410.70075899287679</v>
      </c>
      <c r="AN430">
        <f t="shared" si="369"/>
        <v>311.67449809453143</v>
      </c>
      <c r="AO430">
        <f t="shared" si="370"/>
        <v>-53.051583238694157</v>
      </c>
      <c r="AQ430">
        <f t="shared" si="343"/>
        <v>2.1433465913608986E-3</v>
      </c>
      <c r="AR430">
        <f t="shared" si="344"/>
        <v>-4.6296286373395414</v>
      </c>
      <c r="AT430">
        <f t="shared" si="365"/>
        <v>-8220.4824140683322</v>
      </c>
      <c r="AU430">
        <f t="shared" si="366"/>
        <v>-899.01887564100298</v>
      </c>
      <c r="AV430">
        <f t="shared" si="354"/>
        <v>-3.0326622833975039</v>
      </c>
      <c r="AW430">
        <f t="shared" si="355"/>
        <v>252.03742359062878</v>
      </c>
      <c r="AX430">
        <f t="shared" si="356"/>
        <v>-3405.7279643399397</v>
      </c>
      <c r="AY430">
        <f t="shared" si="364"/>
        <v>-1.4969270012315363</v>
      </c>
      <c r="BA430">
        <f t="shared" si="345"/>
        <v>2.4214924025135529</v>
      </c>
      <c r="BB430">
        <f t="shared" si="357"/>
        <v>7.6816622155213556</v>
      </c>
      <c r="BC430">
        <f t="shared" si="358"/>
        <v>-1.5357352821659676</v>
      </c>
      <c r="BD430">
        <f t="shared" si="346"/>
        <v>-267.99115021798707</v>
      </c>
      <c r="BF430">
        <f t="shared" si="347"/>
        <v>-55.679892717698529</v>
      </c>
      <c r="BG430">
        <f t="shared" si="348"/>
        <v>-188.37896455449354</v>
      </c>
      <c r="BH430">
        <f t="shared" si="359"/>
        <v>-8.3789645544935354</v>
      </c>
      <c r="BI430">
        <f t="shared" si="360"/>
        <v>-8.3789645544935354</v>
      </c>
      <c r="BJ430">
        <f t="shared" si="349"/>
        <v>0</v>
      </c>
      <c r="BK430">
        <f t="shared" si="361"/>
        <v>0</v>
      </c>
      <c r="BM430">
        <f t="shared" si="362"/>
        <v>-63.361554933219885</v>
      </c>
      <c r="BN430">
        <f t="shared" si="350"/>
        <v>-100.38781433650647</v>
      </c>
      <c r="BQ430" s="47">
        <f t="shared" si="363"/>
        <v>24.583623015806491</v>
      </c>
    </row>
    <row r="431" spans="1:69">
      <c r="A431">
        <f t="shared" si="371"/>
        <v>1085000</v>
      </c>
      <c r="B431">
        <f t="shared" si="351"/>
        <v>1085</v>
      </c>
      <c r="C431">
        <f t="shared" si="320"/>
        <v>5.5447260741330107</v>
      </c>
      <c r="D431">
        <f t="shared" si="321"/>
        <v>1.3894524658346261</v>
      </c>
      <c r="F431">
        <f t="shared" si="322"/>
        <v>8.1260472594330763E-6</v>
      </c>
      <c r="G431">
        <f t="shared" si="323"/>
        <v>8.5946363127850861E-4</v>
      </c>
      <c r="H431">
        <f t="shared" si="324"/>
        <v>-3.1407331863687218</v>
      </c>
      <c r="J431">
        <f t="shared" si="325"/>
        <v>15</v>
      </c>
      <c r="M431">
        <f t="shared" si="326"/>
        <v>1.3879970672681706E-3</v>
      </c>
      <c r="N431">
        <f t="shared" si="327"/>
        <v>-1.5707963250000001</v>
      </c>
      <c r="O431">
        <f t="shared" si="328"/>
        <v>528.67915247032056</v>
      </c>
      <c r="P431">
        <f t="shared" si="329"/>
        <v>1.5689048192678308</v>
      </c>
      <c r="Q431">
        <f t="shared" si="330"/>
        <v>412.60336321495902</v>
      </c>
      <c r="R431">
        <f t="shared" si="331"/>
        <v>1.5683726893063121</v>
      </c>
      <c r="S431">
        <f t="shared" si="332"/>
        <v>0.16943927334815612</v>
      </c>
      <c r="T431">
        <f t="shared" si="333"/>
        <v>-1.4005356388851813</v>
      </c>
      <c r="U431">
        <f t="shared" si="334"/>
        <v>0.10964228386179868</v>
      </c>
      <c r="V431">
        <f t="shared" si="335"/>
        <v>-1.4609331698086128</v>
      </c>
      <c r="X431">
        <f t="shared" si="352"/>
        <v>-48.400873013836012</v>
      </c>
      <c r="Y431">
        <f t="shared" si="336"/>
        <v>-174.53831966969824</v>
      </c>
      <c r="Z431">
        <f t="shared" si="353"/>
        <v>5.4616803303017605</v>
      </c>
      <c r="AC431">
        <v>1</v>
      </c>
      <c r="AD431">
        <f t="shared" si="337"/>
        <v>528.6782067162751</v>
      </c>
      <c r="AE431">
        <f t="shared" si="338"/>
        <v>-0.29553904568732936</v>
      </c>
      <c r="AF431">
        <f t="shared" si="339"/>
        <v>3.2600118433491004E-2</v>
      </c>
      <c r="AG431">
        <f t="shared" si="367"/>
        <v>191.60933484298647</v>
      </c>
      <c r="AH431">
        <f t="shared" si="368"/>
        <v>-1767.7248652286271</v>
      </c>
      <c r="AJ431">
        <f t="shared" si="340"/>
        <v>22100</v>
      </c>
      <c r="AK431">
        <f t="shared" si="341"/>
        <v>128544.27125653387</v>
      </c>
      <c r="AL431">
        <v>1</v>
      </c>
      <c r="AM431">
        <f t="shared" si="342"/>
        <v>412.6021513956216</v>
      </c>
      <c r="AN431">
        <f t="shared" si="369"/>
        <v>311.67331030711114</v>
      </c>
      <c r="AO431">
        <f t="shared" si="370"/>
        <v>-52.807108775352113</v>
      </c>
      <c r="AQ431">
        <f t="shared" si="343"/>
        <v>2.1236377660095213E-3</v>
      </c>
      <c r="AR431">
        <f t="shared" si="344"/>
        <v>-4.6082939522406612</v>
      </c>
      <c r="AT431">
        <f t="shared" si="365"/>
        <v>-8145.7888968387279</v>
      </c>
      <c r="AU431">
        <f t="shared" si="366"/>
        <v>-886.74614623350396</v>
      </c>
      <c r="AV431">
        <f t="shared" si="354"/>
        <v>-3.0331601746701087</v>
      </c>
      <c r="AW431">
        <f t="shared" si="355"/>
        <v>252.6050749222093</v>
      </c>
      <c r="AX431">
        <f t="shared" si="356"/>
        <v>-3390.2124443406742</v>
      </c>
      <c r="AY431">
        <f t="shared" si="364"/>
        <v>-1.4964236546146332</v>
      </c>
      <c r="BA431">
        <f t="shared" si="345"/>
        <v>2.4102504508264122</v>
      </c>
      <c r="BB431">
        <f t="shared" si="357"/>
        <v>7.6412434553193584</v>
      </c>
      <c r="BC431">
        <f t="shared" si="358"/>
        <v>-1.5367365200554755</v>
      </c>
      <c r="BD431">
        <f t="shared" si="346"/>
        <v>-268.04851692341003</v>
      </c>
      <c r="BF431">
        <f t="shared" si="347"/>
        <v>-55.761742576584545</v>
      </c>
      <c r="BG431">
        <f t="shared" si="348"/>
        <v>-188.38951106729982</v>
      </c>
      <c r="BH431">
        <f t="shared" si="359"/>
        <v>-8.3895110672998214</v>
      </c>
      <c r="BI431">
        <f t="shared" si="360"/>
        <v>-8.3895110672998214</v>
      </c>
      <c r="BJ431">
        <f t="shared" si="349"/>
        <v>0</v>
      </c>
      <c r="BK431">
        <f t="shared" si="361"/>
        <v>0</v>
      </c>
      <c r="BM431">
        <f t="shared" si="362"/>
        <v>-63.402986031903907</v>
      </c>
      <c r="BN431">
        <f t="shared" si="350"/>
        <v>-100.34099414388979</v>
      </c>
      <c r="BQ431" s="47">
        <f t="shared" si="363"/>
        <v>24.543204255604497</v>
      </c>
    </row>
    <row r="432" spans="1:69">
      <c r="A432">
        <f t="shared" si="371"/>
        <v>1090000</v>
      </c>
      <c r="B432">
        <f t="shared" si="351"/>
        <v>1090</v>
      </c>
      <c r="C432">
        <f t="shared" si="320"/>
        <v>5.5694485385062009</v>
      </c>
      <c r="D432">
        <f t="shared" si="321"/>
        <v>1.3902663219218205</v>
      </c>
      <c r="F432">
        <f t="shared" si="322"/>
        <v>8.0516667729876968E-6</v>
      </c>
      <c r="G432">
        <f t="shared" si="323"/>
        <v>8.5552107470621055E-4</v>
      </c>
      <c r="H432">
        <f t="shared" si="324"/>
        <v>-3.1407371289252941</v>
      </c>
      <c r="J432">
        <f t="shared" si="325"/>
        <v>15</v>
      </c>
      <c r="M432">
        <f t="shared" si="326"/>
        <v>1.3816301082440047E-3</v>
      </c>
      <c r="N432">
        <f t="shared" si="327"/>
        <v>-1.5707963250000001</v>
      </c>
      <c r="O432">
        <f t="shared" si="328"/>
        <v>531.1154532320819</v>
      </c>
      <c r="P432">
        <f t="shared" si="329"/>
        <v>1.5689134958873099</v>
      </c>
      <c r="Q432">
        <f t="shared" si="330"/>
        <v>414.5047500589157</v>
      </c>
      <c r="R432">
        <f t="shared" si="331"/>
        <v>1.5683838068662332</v>
      </c>
      <c r="S432">
        <f t="shared" si="332"/>
        <v>0.16868419446624</v>
      </c>
      <c r="T432">
        <f t="shared" si="333"/>
        <v>-1.4013017455371841</v>
      </c>
      <c r="U432">
        <f t="shared" si="334"/>
        <v>0.10914534269633143</v>
      </c>
      <c r="V432">
        <f t="shared" si="335"/>
        <v>-1.4614331113849461</v>
      </c>
      <c r="X432">
        <f t="shared" si="352"/>
        <v>-48.480418281371072</v>
      </c>
      <c r="Y432">
        <f t="shared" si="336"/>
        <v>-174.56332013985673</v>
      </c>
      <c r="Z432">
        <f t="shared" si="353"/>
        <v>5.436679860143272</v>
      </c>
      <c r="AC432">
        <v>1</v>
      </c>
      <c r="AD432">
        <f t="shared" si="337"/>
        <v>531.11451181635005</v>
      </c>
      <c r="AE432">
        <f t="shared" si="338"/>
        <v>-0.29826918403968317</v>
      </c>
      <c r="AF432">
        <f t="shared" si="339"/>
        <v>3.2750349394014E-2</v>
      </c>
      <c r="AG432">
        <f t="shared" si="367"/>
        <v>189.8763760031793</v>
      </c>
      <c r="AH432">
        <f t="shared" si="368"/>
        <v>-1759.8063167354965</v>
      </c>
      <c r="AJ432">
        <f t="shared" si="340"/>
        <v>22100</v>
      </c>
      <c r="AK432">
        <f t="shared" si="341"/>
        <v>129136.64117015844</v>
      </c>
      <c r="AL432">
        <v>1</v>
      </c>
      <c r="AM432">
        <f t="shared" si="342"/>
        <v>414.50354379836642</v>
      </c>
      <c r="AN432">
        <f t="shared" si="369"/>
        <v>311.67213882774342</v>
      </c>
      <c r="AO432">
        <f t="shared" si="370"/>
        <v>-52.564877157651267</v>
      </c>
      <c r="AQ432">
        <f t="shared" si="343"/>
        <v>2.1041995404007365E-3</v>
      </c>
      <c r="AR432">
        <f t="shared" si="344"/>
        <v>-4.5871549980736051</v>
      </c>
      <c r="AT432">
        <f t="shared" si="365"/>
        <v>-8072.1048036716156</v>
      </c>
      <c r="AU432">
        <f t="shared" si="366"/>
        <v>-874.69535084195627</v>
      </c>
      <c r="AV432">
        <f t="shared" si="354"/>
        <v>-3.0336535535232736</v>
      </c>
      <c r="AW432">
        <f t="shared" si="355"/>
        <v>253.16456501028165</v>
      </c>
      <c r="AX432">
        <f t="shared" si="356"/>
        <v>-3374.8368614872143</v>
      </c>
      <c r="AY432">
        <f t="shared" si="364"/>
        <v>-1.495921215948615</v>
      </c>
      <c r="BA432">
        <f t="shared" si="345"/>
        <v>2.3991110869496088</v>
      </c>
      <c r="BB432">
        <f t="shared" si="357"/>
        <v>7.6010071547069158</v>
      </c>
      <c r="BC432">
        <f t="shared" si="358"/>
        <v>-1.5377323375746585</v>
      </c>
      <c r="BD432">
        <f t="shared" si="346"/>
        <v>-268.10557306448959</v>
      </c>
      <c r="BF432">
        <f t="shared" si="347"/>
        <v>-55.843207898710162</v>
      </c>
      <c r="BG432">
        <f t="shared" si="348"/>
        <v>-188.40016258125115</v>
      </c>
      <c r="BH432">
        <f t="shared" si="359"/>
        <v>-8.400162581251152</v>
      </c>
      <c r="BI432">
        <f t="shared" si="360"/>
        <v>-8.400162581251152</v>
      </c>
      <c r="BJ432">
        <f t="shared" si="349"/>
        <v>0</v>
      </c>
      <c r="BK432">
        <f t="shared" si="361"/>
        <v>0</v>
      </c>
      <c r="BM432">
        <f t="shared" si="362"/>
        <v>-63.444215053417075</v>
      </c>
      <c r="BN432">
        <f t="shared" si="350"/>
        <v>-100.29458951676158</v>
      </c>
      <c r="BQ432" s="47">
        <f t="shared" si="363"/>
        <v>24.502967954992052</v>
      </c>
    </row>
    <row r="433" spans="1:69">
      <c r="A433">
        <f t="shared" si="371"/>
        <v>1095000</v>
      </c>
      <c r="B433">
        <f t="shared" si="351"/>
        <v>1095</v>
      </c>
      <c r="C433">
        <f t="shared" si="320"/>
        <v>5.5941746592618733</v>
      </c>
      <c r="D433">
        <f t="shared" si="321"/>
        <v>1.3910729840897633</v>
      </c>
      <c r="F433">
        <f t="shared" si="322"/>
        <v>7.9783028797941183E-6</v>
      </c>
      <c r="G433">
        <f t="shared" si="323"/>
        <v>8.5161452407185383E-4</v>
      </c>
      <c r="H433">
        <f t="shared" si="324"/>
        <v>-3.1407410354759282</v>
      </c>
      <c r="J433">
        <f t="shared" si="325"/>
        <v>15</v>
      </c>
      <c r="M433">
        <f t="shared" si="326"/>
        <v>1.3753212949643517E-3</v>
      </c>
      <c r="N433">
        <f t="shared" si="327"/>
        <v>-1.5707963250000001</v>
      </c>
      <c r="O433">
        <f t="shared" si="328"/>
        <v>533.55175403346266</v>
      </c>
      <c r="P433">
        <f t="shared" si="329"/>
        <v>1.5689220932685346</v>
      </c>
      <c r="Q433">
        <f t="shared" si="330"/>
        <v>416.40613695363737</v>
      </c>
      <c r="R433">
        <f t="shared" si="331"/>
        <v>1.5683948228965152</v>
      </c>
      <c r="S433">
        <f t="shared" si="332"/>
        <v>0.16793571824579984</v>
      </c>
      <c r="T433">
        <f t="shared" si="333"/>
        <v>-1.4020610539790366</v>
      </c>
      <c r="U433">
        <f t="shared" si="334"/>
        <v>0.10865285907423421</v>
      </c>
      <c r="V433">
        <f t="shared" si="335"/>
        <v>-1.4619285414296772</v>
      </c>
      <c r="X433">
        <f t="shared" si="352"/>
        <v>-48.559602483505024</v>
      </c>
      <c r="Y433">
        <f t="shared" si="336"/>
        <v>-174.58809308500551</v>
      </c>
      <c r="Z433">
        <f t="shared" si="353"/>
        <v>5.4119069149944892</v>
      </c>
      <c r="AC433">
        <v>1</v>
      </c>
      <c r="AD433">
        <f t="shared" si="337"/>
        <v>533.55081691642499</v>
      </c>
      <c r="AE433">
        <f t="shared" si="338"/>
        <v>-0.30101187475227759</v>
      </c>
      <c r="AF433">
        <f t="shared" si="339"/>
        <v>3.2900580354537003E-2</v>
      </c>
      <c r="AG433">
        <f t="shared" si="367"/>
        <v>188.16672841264722</v>
      </c>
      <c r="AH433">
        <f t="shared" si="368"/>
        <v>-1751.9575358355332</v>
      </c>
      <c r="AJ433">
        <f t="shared" si="340"/>
        <v>22100</v>
      </c>
      <c r="AK433">
        <f t="shared" si="341"/>
        <v>129729.01108378303</v>
      </c>
      <c r="AL433">
        <v>1</v>
      </c>
      <c r="AM433">
        <f t="shared" si="342"/>
        <v>416.40493620111118</v>
      </c>
      <c r="AN433">
        <f t="shared" si="369"/>
        <v>311.6709833592484</v>
      </c>
      <c r="AO433">
        <f t="shared" si="370"/>
        <v>-52.324857662392454</v>
      </c>
      <c r="AQ433">
        <f t="shared" si="343"/>
        <v>2.0850269833767054E-3</v>
      </c>
      <c r="AR433">
        <f t="shared" si="344"/>
        <v>-4.5662090935949848</v>
      </c>
      <c r="AT433">
        <f t="shared" si="365"/>
        <v>-7999.4120990183592</v>
      </c>
      <c r="AU433">
        <f t="shared" si="366"/>
        <v>-862.86150512579479</v>
      </c>
      <c r="AV433">
        <f t="shared" si="354"/>
        <v>-3.034142480778105</v>
      </c>
      <c r="AW433">
        <f t="shared" si="355"/>
        <v>253.71605077274967</v>
      </c>
      <c r="AX433">
        <f t="shared" si="356"/>
        <v>-3359.5993415999437</v>
      </c>
      <c r="AY433">
        <f t="shared" si="364"/>
        <v>-1.4954196716777413</v>
      </c>
      <c r="BA433">
        <f t="shared" si="345"/>
        <v>2.3880729084848005</v>
      </c>
      <c r="BB433">
        <f t="shared" si="357"/>
        <v>7.5609516356564832</v>
      </c>
      <c r="BC433">
        <f t="shared" si="358"/>
        <v>-1.5387228091003637</v>
      </c>
      <c r="BD433">
        <f t="shared" si="346"/>
        <v>-268.16232290270523</v>
      </c>
      <c r="BF433">
        <f t="shared" si="347"/>
        <v>-55.924292363037523</v>
      </c>
      <c r="BG433">
        <f t="shared" si="348"/>
        <v>-188.41091791056206</v>
      </c>
      <c r="BH433">
        <f t="shared" si="359"/>
        <v>-8.4109179105620626</v>
      </c>
      <c r="BI433">
        <f t="shared" si="360"/>
        <v>-8.4109179105620626</v>
      </c>
      <c r="BJ433">
        <f t="shared" si="349"/>
        <v>0</v>
      </c>
      <c r="BK433">
        <f t="shared" si="361"/>
        <v>0</v>
      </c>
      <c r="BM433">
        <f t="shared" si="362"/>
        <v>-63.485243998694017</v>
      </c>
      <c r="BN433">
        <f t="shared" si="350"/>
        <v>-100.24859500785682</v>
      </c>
      <c r="BQ433" s="47">
        <f t="shared" si="363"/>
        <v>24.462912435941622</v>
      </c>
    </row>
    <row r="434" spans="1:69">
      <c r="A434">
        <f>A433+5000</f>
        <v>1100000</v>
      </c>
      <c r="B434">
        <f t="shared" si="351"/>
        <v>1100</v>
      </c>
      <c r="C434">
        <f t="shared" si="320"/>
        <v>5.618904388130038</v>
      </c>
      <c r="D434">
        <f t="shared" si="321"/>
        <v>1.3918725462665589</v>
      </c>
      <c r="F434">
        <f t="shared" si="322"/>
        <v>7.9059371381734772E-6</v>
      </c>
      <c r="G434">
        <f t="shared" si="323"/>
        <v>8.4774348836993475E-4</v>
      </c>
      <c r="H434">
        <f t="shared" si="324"/>
        <v>-3.1407449065116304</v>
      </c>
      <c r="J434">
        <f t="shared" si="325"/>
        <v>15</v>
      </c>
      <c r="M434">
        <f t="shared" si="326"/>
        <v>1.3690698345326954E-3</v>
      </c>
      <c r="N434">
        <f t="shared" si="327"/>
        <v>-1.5707963250000001</v>
      </c>
      <c r="O434">
        <f t="shared" si="328"/>
        <v>535.98805487392212</v>
      </c>
      <c r="P434">
        <f t="shared" si="329"/>
        <v>1.5689306124920215</v>
      </c>
      <c r="Q434">
        <f t="shared" si="330"/>
        <v>418.30752389843184</v>
      </c>
      <c r="R434">
        <f t="shared" si="331"/>
        <v>1.5684057387816419</v>
      </c>
      <c r="S434">
        <f t="shared" si="332"/>
        <v>0.16719375975644227</v>
      </c>
      <c r="T434">
        <f t="shared" si="333"/>
        <v>-1.4028136534350508</v>
      </c>
      <c r="U434">
        <f t="shared" si="334"/>
        <v>0.10816477364726543</v>
      </c>
      <c r="V434">
        <f t="shared" si="335"/>
        <v>-1.4624195204974351</v>
      </c>
      <c r="X434">
        <f t="shared" si="352"/>
        <v>-48.638428869076208</v>
      </c>
      <c r="Y434">
        <f t="shared" si="336"/>
        <v>-174.61264159206024</v>
      </c>
      <c r="Z434">
        <f t="shared" si="353"/>
        <v>5.3873584079397574</v>
      </c>
      <c r="AC434">
        <v>1</v>
      </c>
      <c r="AD434">
        <f t="shared" si="337"/>
        <v>535.98712201650005</v>
      </c>
      <c r="AE434">
        <f t="shared" si="338"/>
        <v>-0.30376711782511284</v>
      </c>
      <c r="AF434">
        <f t="shared" si="339"/>
        <v>3.3050811315060005E-2</v>
      </c>
      <c r="AG434">
        <f t="shared" si="367"/>
        <v>186.47997749240207</v>
      </c>
      <c r="AH434">
        <f t="shared" si="368"/>
        <v>-1744.1776162599542</v>
      </c>
      <c r="AJ434">
        <f t="shared" si="340"/>
        <v>22100</v>
      </c>
      <c r="AK434">
        <f t="shared" si="341"/>
        <v>130321.3809974076</v>
      </c>
      <c r="AL434">
        <v>1</v>
      </c>
      <c r="AM434">
        <f t="shared" si="342"/>
        <v>418.306328603856</v>
      </c>
      <c r="AN434">
        <f t="shared" si="369"/>
        <v>311.66984361118449</v>
      </c>
      <c r="AO434">
        <f t="shared" si="370"/>
        <v>-52.087020124963907</v>
      </c>
      <c r="AQ434">
        <f t="shared" si="343"/>
        <v>2.0661152755960172E-3</v>
      </c>
      <c r="AR434">
        <f t="shared" si="344"/>
        <v>-4.5454536063112387</v>
      </c>
      <c r="AT434">
        <f t="shared" si="365"/>
        <v>-7927.693146746059</v>
      </c>
      <c r="AU434">
        <f t="shared" si="366"/>
        <v>-851.23975821398494</v>
      </c>
      <c r="AV434">
        <f t="shared" si="354"/>
        <v>-3.0346270161719664</v>
      </c>
      <c r="AW434">
        <f t="shared" si="355"/>
        <v>254.25968535150227</v>
      </c>
      <c r="AX434">
        <f t="shared" si="356"/>
        <v>-3344.4980436335818</v>
      </c>
      <c r="AY434">
        <f t="shared" si="364"/>
        <v>-1.4949190085331112</v>
      </c>
      <c r="BA434">
        <f t="shared" si="345"/>
        <v>2.3771345384620406</v>
      </c>
      <c r="BB434">
        <f t="shared" si="357"/>
        <v>7.5210752429622394</v>
      </c>
      <c r="BC434">
        <f t="shared" si="358"/>
        <v>-1.5397080076388552</v>
      </c>
      <c r="BD434">
        <f t="shared" si="346"/>
        <v>-268.21877062100776</v>
      </c>
      <c r="BF434">
        <f t="shared" si="347"/>
        <v>-56.004999595768226</v>
      </c>
      <c r="BG434">
        <f t="shared" si="348"/>
        <v>-188.42177588463187</v>
      </c>
      <c r="BH434">
        <f t="shared" si="359"/>
        <v>-8.4217758846318702</v>
      </c>
      <c r="BI434">
        <f t="shared" si="360"/>
        <v>-8.4217758846318702</v>
      </c>
      <c r="BJ434">
        <f t="shared" si="349"/>
        <v>0</v>
      </c>
      <c r="BK434">
        <f t="shared" si="361"/>
        <v>0</v>
      </c>
      <c r="BM434">
        <f t="shared" si="362"/>
        <v>-63.526074838730466</v>
      </c>
      <c r="BN434">
        <f t="shared" si="350"/>
        <v>-100.20300526362412</v>
      </c>
      <c r="BQ434" s="47">
        <f t="shared" si="363"/>
        <v>24.423036043247379</v>
      </c>
    </row>
    <row r="435" spans="1:69">
      <c r="A435">
        <f t="shared" ref="A435:A472" si="372">A434+5000</f>
        <v>1105000</v>
      </c>
      <c r="B435">
        <f t="shared" si="351"/>
        <v>1105</v>
      </c>
      <c r="C435">
        <f t="shared" si="320"/>
        <v>5.6436376776797719</v>
      </c>
      <c r="D435">
        <f t="shared" si="321"/>
        <v>1.3926651007704216</v>
      </c>
      <c r="F435">
        <f t="shared" si="322"/>
        <v>7.8345515227397313E-6</v>
      </c>
      <c r="G435">
        <f t="shared" si="323"/>
        <v>8.4390748548227306E-4</v>
      </c>
      <c r="H435">
        <f t="shared" si="324"/>
        <v>-3.1407487425145177</v>
      </c>
      <c r="J435">
        <f t="shared" si="325"/>
        <v>15</v>
      </c>
      <c r="M435">
        <f t="shared" si="326"/>
        <v>1.3628749484035883E-3</v>
      </c>
      <c r="N435">
        <f t="shared" si="327"/>
        <v>-1.5707963250000001</v>
      </c>
      <c r="O435">
        <f t="shared" si="328"/>
        <v>538.42435575293007</v>
      </c>
      <c r="P435">
        <f t="shared" si="329"/>
        <v>1.5689390546187303</v>
      </c>
      <c r="Q435">
        <f t="shared" si="330"/>
        <v>420.2089108926192</v>
      </c>
      <c r="R435">
        <f t="shared" si="331"/>
        <v>1.5684165558810401</v>
      </c>
      <c r="S435">
        <f t="shared" si="332"/>
        <v>0.16645823549505406</v>
      </c>
      <c r="T435">
        <f t="shared" si="333"/>
        <v>-1.4035596315901695</v>
      </c>
      <c r="U435">
        <f t="shared" si="334"/>
        <v>0.10768102810964734</v>
      </c>
      <c r="V435">
        <f t="shared" si="335"/>
        <v>-1.4629061080682468</v>
      </c>
      <c r="X435">
        <f t="shared" si="352"/>
        <v>-48.716900643470851</v>
      </c>
      <c r="Y435">
        <f t="shared" si="336"/>
        <v>-174.63696869245399</v>
      </c>
      <c r="Z435">
        <f t="shared" si="353"/>
        <v>5.3630313075460094</v>
      </c>
      <c r="AC435">
        <v>1</v>
      </c>
      <c r="AD435">
        <f t="shared" si="337"/>
        <v>538.42342711657511</v>
      </c>
      <c r="AE435">
        <f t="shared" si="338"/>
        <v>-0.30653491325818877</v>
      </c>
      <c r="AF435">
        <f t="shared" si="339"/>
        <v>3.3201042275583001E-2</v>
      </c>
      <c r="AG435">
        <f t="shared" si="367"/>
        <v>184.81571780221574</v>
      </c>
      <c r="AH435">
        <f t="shared" si="368"/>
        <v>-1736.465667153208</v>
      </c>
      <c r="AJ435">
        <f t="shared" si="340"/>
        <v>22100</v>
      </c>
      <c r="AK435">
        <f t="shared" si="341"/>
        <v>130913.75091103218</v>
      </c>
      <c r="AL435">
        <v>1</v>
      </c>
      <c r="AM435">
        <f t="shared" si="342"/>
        <v>420.20772100660082</v>
      </c>
      <c r="AN435">
        <f t="shared" si="369"/>
        <v>311.66871929966658</v>
      </c>
      <c r="AO435">
        <f t="shared" si="370"/>
        <v>-51.851334926704197</v>
      </c>
      <c r="AQ435">
        <f t="shared" si="343"/>
        <v>2.0474597065048409E-3</v>
      </c>
      <c r="AR435">
        <f t="shared" si="344"/>
        <v>-4.5248859513756985</v>
      </c>
      <c r="AT435">
        <f t="shared" si="365"/>
        <v>-7856.9306996124515</v>
      </c>
      <c r="AU435">
        <f t="shared" si="366"/>
        <v>-839.82538856188683</v>
      </c>
      <c r="AV435">
        <f t="shared" si="354"/>
        <v>-3.0351072183824086</v>
      </c>
      <c r="AW435">
        <f t="shared" si="355"/>
        <v>254.79561822140698</v>
      </c>
      <c r="AX435">
        <f t="shared" si="356"/>
        <v>-3329.5311589522184</v>
      </c>
      <c r="AY435">
        <f t="shared" si="364"/>
        <v>-1.4944192135251677</v>
      </c>
      <c r="BA435">
        <f t="shared" si="345"/>
        <v>2.3662946247666152</v>
      </c>
      <c r="BB435">
        <f t="shared" si="357"/>
        <v>7.4813763438292824</v>
      </c>
      <c r="BC435">
        <f t="shared" si="358"/>
        <v>-1.5406880048572409</v>
      </c>
      <c r="BD435">
        <f t="shared" si="346"/>
        <v>-268.27492032561997</v>
      </c>
      <c r="BF435">
        <f t="shared" si="347"/>
        <v>-56.085333171351749</v>
      </c>
      <c r="BG435">
        <f t="shared" si="348"/>
        <v>-188.43273534786269</v>
      </c>
      <c r="BH435">
        <f t="shared" si="359"/>
        <v>-8.432735347862689</v>
      </c>
      <c r="BI435">
        <f t="shared" si="360"/>
        <v>-8.432735347862689</v>
      </c>
      <c r="BJ435">
        <f t="shared" si="349"/>
        <v>0</v>
      </c>
      <c r="BK435">
        <f t="shared" si="361"/>
        <v>0</v>
      </c>
      <c r="BM435">
        <f t="shared" si="362"/>
        <v>-63.566709515181032</v>
      </c>
      <c r="BN435">
        <f t="shared" si="350"/>
        <v>-100.15781502224272</v>
      </c>
      <c r="BQ435" s="47">
        <f t="shared" si="363"/>
        <v>24.383337144114417</v>
      </c>
    </row>
    <row r="436" spans="1:69">
      <c r="A436">
        <f t="shared" si="372"/>
        <v>1110000</v>
      </c>
      <c r="B436">
        <f t="shared" si="351"/>
        <v>1110</v>
      </c>
      <c r="C436">
        <f t="shared" si="320"/>
        <v>5.6683744813012256</v>
      </c>
      <c r="D436">
        <f t="shared" si="321"/>
        <v>1.393450738343623</v>
      </c>
      <c r="F436">
        <f t="shared" si="322"/>
        <v>7.7641284131737091E-6</v>
      </c>
      <c r="G436">
        <f t="shared" si="323"/>
        <v>8.4010604197783925E-4</v>
      </c>
      <c r="H436">
        <f t="shared" si="324"/>
        <v>-3.1407525439580222</v>
      </c>
      <c r="J436">
        <f t="shared" si="325"/>
        <v>15</v>
      </c>
      <c r="M436">
        <f t="shared" si="326"/>
        <v>1.3567358720594279E-3</v>
      </c>
      <c r="N436">
        <f t="shared" si="327"/>
        <v>-1.5707963250000001</v>
      </c>
      <c r="O436">
        <f t="shared" si="328"/>
        <v>540.86065666996558</v>
      </c>
      <c r="P436">
        <f t="shared" si="329"/>
        <v>1.5689474206905047</v>
      </c>
      <c r="Q436">
        <f t="shared" si="330"/>
        <v>422.11029793553217</v>
      </c>
      <c r="R436">
        <f t="shared" si="331"/>
        <v>1.5684272755296418</v>
      </c>
      <c r="S436">
        <f t="shared" si="332"/>
        <v>0.16572906335646276</v>
      </c>
      <c r="T436">
        <f t="shared" si="333"/>
        <v>-1.404299074622686</v>
      </c>
      <c r="U436">
        <f t="shared" si="334"/>
        <v>0.10720156517542134</v>
      </c>
      <c r="V436">
        <f t="shared" si="335"/>
        <v>-1.4633883625711732</v>
      </c>
      <c r="X436">
        <f t="shared" si="352"/>
        <v>-48.79502096939067</v>
      </c>
      <c r="Y436">
        <f t="shared" si="336"/>
        <v>-174.66107736337494</v>
      </c>
      <c r="Z436">
        <f t="shared" si="353"/>
        <v>5.3389226366250568</v>
      </c>
      <c r="AC436">
        <v>1</v>
      </c>
      <c r="AD436">
        <f t="shared" si="337"/>
        <v>540.85973221665006</v>
      </c>
      <c r="AE436">
        <f t="shared" si="338"/>
        <v>-0.30931526105150536</v>
      </c>
      <c r="AF436">
        <f t="shared" si="339"/>
        <v>3.3351273236106004E-2</v>
      </c>
      <c r="AG436">
        <f t="shared" si="367"/>
        <v>183.17355280091843</v>
      </c>
      <c r="AH436">
        <f t="shared" si="368"/>
        <v>-1728.8208127516698</v>
      </c>
      <c r="AJ436">
        <f t="shared" si="340"/>
        <v>22100</v>
      </c>
      <c r="AK436">
        <f t="shared" si="341"/>
        <v>131506.12082465677</v>
      </c>
      <c r="AL436">
        <v>1</v>
      </c>
      <c r="AM436">
        <f t="shared" si="342"/>
        <v>422.10911340934564</v>
      </c>
      <c r="AN436">
        <f t="shared" si="369"/>
        <v>311.66761014718867</v>
      </c>
      <c r="AO436">
        <f t="shared" si="370"/>
        <v>-51.617772982606283</v>
      </c>
      <c r="AQ436">
        <f t="shared" si="343"/>
        <v>2.0290556714033618E-3</v>
      </c>
      <c r="AR436">
        <f t="shared" si="344"/>
        <v>-4.5045035905154629</v>
      </c>
      <c r="AT436">
        <f t="shared" si="365"/>
        <v>-7787.1078890615954</v>
      </c>
      <c r="AU436">
        <f t="shared" si="366"/>
        <v>-828.61379995416473</v>
      </c>
      <c r="AV436">
        <f t="shared" si="354"/>
        <v>-3.0355831450504773</v>
      </c>
      <c r="AW436">
        <f t="shared" si="355"/>
        <v>255.32399529563861</v>
      </c>
      <c r="AX436">
        <f t="shared" si="356"/>
        <v>-3314.6969106231663</v>
      </c>
      <c r="AY436">
        <f t="shared" si="364"/>
        <v>-1.4939202739364341</v>
      </c>
      <c r="BA436">
        <f t="shared" si="345"/>
        <v>2.3555518395813024</v>
      </c>
      <c r="BB436">
        <f t="shared" si="357"/>
        <v>7.4418533274720469</v>
      </c>
      <c r="BC436">
        <f t="shared" si="358"/>
        <v>-1.5416628711140432</v>
      </c>
      <c r="BD436">
        <f t="shared" si="346"/>
        <v>-268.33077604778828</v>
      </c>
      <c r="BF436">
        <f t="shared" si="347"/>
        <v>-56.165296613469984</v>
      </c>
      <c r="BG436">
        <f t="shared" si="348"/>
        <v>-188.4437951594773</v>
      </c>
      <c r="BH436">
        <f t="shared" si="359"/>
        <v>-8.443795159477304</v>
      </c>
      <c r="BI436">
        <f t="shared" si="360"/>
        <v>-8.443795159477304</v>
      </c>
      <c r="BJ436">
        <f t="shared" si="349"/>
        <v>0</v>
      </c>
      <c r="BK436">
        <f t="shared" si="361"/>
        <v>0</v>
      </c>
      <c r="BM436">
        <f t="shared" si="362"/>
        <v>-63.60714994094203</v>
      </c>
      <c r="BN436">
        <f t="shared" si="350"/>
        <v>-100.11301911168904</v>
      </c>
      <c r="BQ436" s="47">
        <f t="shared" si="363"/>
        <v>24.343814127757181</v>
      </c>
    </row>
    <row r="437" spans="1:69">
      <c r="A437">
        <f t="shared" si="372"/>
        <v>1115000</v>
      </c>
      <c r="B437">
        <f t="shared" si="351"/>
        <v>1115</v>
      </c>
      <c r="C437">
        <f t="shared" si="320"/>
        <v>5.6931147531880635</v>
      </c>
      <c r="D437">
        <f t="shared" si="321"/>
        <v>1.3942295481855891</v>
      </c>
      <c r="F437">
        <f t="shared" si="322"/>
        <v>7.6946505833487813E-6</v>
      </c>
      <c r="G437">
        <f t="shared" si="323"/>
        <v>8.363386929179659E-4</v>
      </c>
      <c r="H437">
        <f t="shared" si="324"/>
        <v>-3.1407563113070824</v>
      </c>
      <c r="J437">
        <f t="shared" si="325"/>
        <v>15</v>
      </c>
      <c r="M437">
        <f t="shared" si="326"/>
        <v>1.350651854695933E-3</v>
      </c>
      <c r="N437">
        <f t="shared" si="327"/>
        <v>-1.5707963250000001</v>
      </c>
      <c r="O437">
        <f t="shared" si="328"/>
        <v>543.29695762451706</v>
      </c>
      <c r="P437">
        <f t="shared" si="329"/>
        <v>1.5689557117305006</v>
      </c>
      <c r="Q437">
        <f t="shared" si="330"/>
        <v>424.01168502651518</v>
      </c>
      <c r="R437">
        <f t="shared" si="331"/>
        <v>1.5684378990384344</v>
      </c>
      <c r="S437">
        <f t="shared" si="332"/>
        <v>0.16500616260480405</v>
      </c>
      <c r="T437">
        <f t="shared" si="333"/>
        <v>-1.4050320672361449</v>
      </c>
      <c r="U437">
        <f t="shared" si="334"/>
        <v>0.1067263285563865</v>
      </c>
      <c r="V437">
        <f t="shared" si="335"/>
        <v>-1.463866341407329</v>
      </c>
      <c r="X437">
        <f t="shared" si="352"/>
        <v>-48.8727929676038</v>
      </c>
      <c r="Y437">
        <f t="shared" si="336"/>
        <v>-174.68497052897223</v>
      </c>
      <c r="Z437">
        <f t="shared" si="353"/>
        <v>5.3150294710277706</v>
      </c>
      <c r="AC437">
        <v>1</v>
      </c>
      <c r="AD437">
        <f t="shared" si="337"/>
        <v>543.29603731672501</v>
      </c>
      <c r="AE437">
        <f t="shared" si="338"/>
        <v>-0.31210816120506274</v>
      </c>
      <c r="AF437">
        <f t="shared" si="339"/>
        <v>3.3501504196629006E-2</v>
      </c>
      <c r="AG437">
        <f t="shared" si="367"/>
        <v>181.5530946139701</v>
      </c>
      <c r="AH437">
        <f t="shared" si="368"/>
        <v>-1721.2421920702081</v>
      </c>
      <c r="AJ437">
        <f t="shared" si="340"/>
        <v>22100</v>
      </c>
      <c r="AK437">
        <f t="shared" si="341"/>
        <v>132098.49073828134</v>
      </c>
      <c r="AL437">
        <v>1</v>
      </c>
      <c r="AM437">
        <f t="shared" si="342"/>
        <v>424.0105058120904</v>
      </c>
      <c r="AN437">
        <f t="shared" si="369"/>
        <v>311.66651588245276</v>
      </c>
      <c r="AO437">
        <f t="shared" si="370"/>
        <v>-51.386305729352678</v>
      </c>
      <c r="AQ437">
        <f t="shared" si="343"/>
        <v>2.0108986686041006E-3</v>
      </c>
      <c r="AR437">
        <f t="shared" si="344"/>
        <v>-4.4843040309871443</v>
      </c>
      <c r="AT437">
        <f t="shared" si="365"/>
        <v>-7718.2082153293431</v>
      </c>
      <c r="AU437">
        <f t="shared" si="366"/>
        <v>-817.60051764799562</v>
      </c>
      <c r="AV437">
        <f t="shared" si="354"/>
        <v>-3.0360548528034061</v>
      </c>
      <c r="AW437">
        <f t="shared" si="355"/>
        <v>255.84495902748452</v>
      </c>
      <c r="AX437">
        <f t="shared" si="356"/>
        <v>-3299.9935527291132</v>
      </c>
      <c r="AY437">
        <f t="shared" si="364"/>
        <v>-1.4934221773144771</v>
      </c>
      <c r="BA437">
        <f t="shared" si="345"/>
        <v>2.3449048788435518</v>
      </c>
      <c r="BB437">
        <f t="shared" si="357"/>
        <v>7.4025046047215781</v>
      </c>
      <c r="BC437">
        <f t="shared" si="358"/>
        <v>-1.542632675488929</v>
      </c>
      <c r="BD437">
        <f t="shared" si="346"/>
        <v>-268.38634174548611</v>
      </c>
      <c r="BF437">
        <f t="shared" si="347"/>
        <v>-56.244893395998368</v>
      </c>
      <c r="BG437">
        <f t="shared" si="348"/>
        <v>-188.45495419333756</v>
      </c>
      <c r="BH437">
        <f t="shared" si="359"/>
        <v>-8.4549541933375565</v>
      </c>
      <c r="BI437">
        <f t="shared" si="360"/>
        <v>-8.4549541933375565</v>
      </c>
      <c r="BJ437">
        <f t="shared" si="349"/>
        <v>0</v>
      </c>
      <c r="BK437">
        <f t="shared" si="361"/>
        <v>0</v>
      </c>
      <c r="BM437">
        <f t="shared" si="362"/>
        <v>-63.647398000719946</v>
      </c>
      <c r="BN437">
        <f t="shared" si="350"/>
        <v>-100.06861244785149</v>
      </c>
      <c r="BQ437" s="47">
        <f t="shared" si="363"/>
        <v>24.304465405006717</v>
      </c>
    </row>
    <row r="438" spans="1:69">
      <c r="A438">
        <f t="shared" si="372"/>
        <v>1120000</v>
      </c>
      <c r="B438">
        <f t="shared" si="351"/>
        <v>1120</v>
      </c>
      <c r="C438">
        <f t="shared" si="320"/>
        <v>5.7178584483203752</v>
      </c>
      <c r="D438">
        <f t="shared" si="321"/>
        <v>1.3950016179851823</v>
      </c>
      <c r="F438">
        <f t="shared" si="322"/>
        <v>7.6261011907955749E-6</v>
      </c>
      <c r="G438">
        <f t="shared" si="323"/>
        <v>8.3260498166677676E-4</v>
      </c>
      <c r="H438">
        <f t="shared" si="324"/>
        <v>-3.1407600450183333</v>
      </c>
      <c r="J438">
        <f t="shared" si="325"/>
        <v>15</v>
      </c>
      <c r="M438">
        <f t="shared" si="326"/>
        <v>1.3446221589160402E-3</v>
      </c>
      <c r="N438">
        <f t="shared" si="327"/>
        <v>-1.5707963250000001</v>
      </c>
      <c r="O438">
        <f t="shared" si="328"/>
        <v>545.73325861608214</v>
      </c>
      <c r="P438">
        <f t="shared" si="329"/>
        <v>1.5689639287436035</v>
      </c>
      <c r="Q438">
        <f t="shared" si="330"/>
        <v>425.91307216492436</v>
      </c>
      <c r="R438">
        <f t="shared" si="331"/>
        <v>1.5684484276949953</v>
      </c>
      <c r="S438">
        <f t="shared" si="332"/>
        <v>0.16428945384557667</v>
      </c>
      <c r="T438">
        <f t="shared" si="333"/>
        <v>-1.4057586926904411</v>
      </c>
      <c r="U438">
        <f t="shared" si="334"/>
        <v>0.10625526294060537</v>
      </c>
      <c r="V438">
        <f t="shared" si="335"/>
        <v>-1.4643401009723007</v>
      </c>
      <c r="X438">
        <f t="shared" si="352"/>
        <v>-48.950219717679275</v>
      </c>
      <c r="Y438">
        <f t="shared" si="336"/>
        <v>-174.7086510615286</v>
      </c>
      <c r="Z438">
        <f t="shared" si="353"/>
        <v>5.2913489384714012</v>
      </c>
      <c r="AC438">
        <v>1</v>
      </c>
      <c r="AD438">
        <f t="shared" si="337"/>
        <v>545.73234241679995</v>
      </c>
      <c r="AE438">
        <f t="shared" si="338"/>
        <v>-0.31491361371886079</v>
      </c>
      <c r="AF438">
        <f t="shared" si="339"/>
        <v>3.3651735157152009E-2</v>
      </c>
      <c r="AG438">
        <f t="shared" si="367"/>
        <v>179.95396380805565</v>
      </c>
      <c r="AH438">
        <f t="shared" si="368"/>
        <v>-1713.7289585963979</v>
      </c>
      <c r="AJ438">
        <f t="shared" si="340"/>
        <v>22100</v>
      </c>
      <c r="AK438">
        <f t="shared" si="341"/>
        <v>132690.86065190594</v>
      </c>
      <c r="AL438">
        <v>1</v>
      </c>
      <c r="AM438">
        <f t="shared" si="342"/>
        <v>425.91189821483522</v>
      </c>
      <c r="AN438">
        <f t="shared" si="369"/>
        <v>311.66543624020312</v>
      </c>
      <c r="AO438">
        <f t="shared" si="370"/>
        <v>-51.156905113670945</v>
      </c>
      <c r="AQ438">
        <f t="shared" si="343"/>
        <v>1.992984296678831E-3</v>
      </c>
      <c r="AR438">
        <f t="shared" si="344"/>
        <v>-4.4642848245605817</v>
      </c>
      <c r="AT438">
        <f t="shared" si="365"/>
        <v>-7650.2155378479138</v>
      </c>
      <c r="AU438">
        <f t="shared" si="366"/>
        <v>-806.78118465107332</v>
      </c>
      <c r="AV438">
        <f t="shared" si="354"/>
        <v>-3.0365223972767192</v>
      </c>
      <c r="AW438">
        <f t="shared" si="355"/>
        <v>256.35864850876249</v>
      </c>
      <c r="AX438">
        <f t="shared" si="356"/>
        <v>-3285.4193696980055</v>
      </c>
      <c r="AY438">
        <f t="shared" si="364"/>
        <v>-1.4929249114650855</v>
      </c>
      <c r="BA438">
        <f t="shared" si="345"/>
        <v>2.3343524617171449</v>
      </c>
      <c r="BB438">
        <f t="shared" si="357"/>
        <v>7.3633286076415541</v>
      </c>
      <c r="BC438">
        <f t="shared" si="358"/>
        <v>-1.5435974858116337</v>
      </c>
      <c r="BD438">
        <f t="shared" si="346"/>
        <v>-268.44162130507084</v>
      </c>
      <c r="BF438">
        <f t="shared" si="347"/>
        <v>-56.32412694394435</v>
      </c>
      <c r="BG438">
        <f t="shared" si="348"/>
        <v>-188.46621133776245</v>
      </c>
      <c r="BH438">
        <f t="shared" si="359"/>
        <v>-8.4662113377624451</v>
      </c>
      <c r="BI438">
        <f t="shared" si="360"/>
        <v>-8.4662113377624451</v>
      </c>
      <c r="BJ438">
        <f t="shared" si="349"/>
        <v>0</v>
      </c>
      <c r="BK438">
        <f t="shared" si="361"/>
        <v>0</v>
      </c>
      <c r="BM438">
        <f t="shared" si="362"/>
        <v>-63.687455551585906</v>
      </c>
      <c r="BN438">
        <f t="shared" si="350"/>
        <v>-100.02459003269159</v>
      </c>
      <c r="BQ438" s="47">
        <f t="shared" si="363"/>
        <v>24.265289407926687</v>
      </c>
    </row>
    <row r="439" spans="1:69">
      <c r="A439">
        <f t="shared" si="372"/>
        <v>1125000</v>
      </c>
      <c r="B439">
        <f t="shared" si="351"/>
        <v>1125</v>
      </c>
      <c r="C439">
        <f t="shared" si="320"/>
        <v>5.7426055224479979</v>
      </c>
      <c r="D439">
        <f t="shared" si="321"/>
        <v>1.3957670339521815</v>
      </c>
      <c r="F439">
        <f t="shared" si="322"/>
        <v>7.558463766493748E-6</v>
      </c>
      <c r="G439">
        <f t="shared" si="323"/>
        <v>8.2890445970667333E-4</v>
      </c>
      <c r="H439">
        <f t="shared" si="324"/>
        <v>-3.1407637455402937</v>
      </c>
      <c r="J439">
        <f t="shared" si="325"/>
        <v>15</v>
      </c>
      <c r="M439">
        <f t="shared" si="326"/>
        <v>1.3386460604319691E-3</v>
      </c>
      <c r="N439">
        <f t="shared" si="327"/>
        <v>-1.5707963250000001</v>
      </c>
      <c r="O439">
        <f t="shared" si="328"/>
        <v>548.16955964416707</v>
      </c>
      <c r="P439">
        <f t="shared" si="329"/>
        <v>1.5689720727168339</v>
      </c>
      <c r="Q439">
        <f t="shared" si="330"/>
        <v>427.81445935012749</v>
      </c>
      <c r="R439">
        <f t="shared" si="331"/>
        <v>1.5684588627640113</v>
      </c>
      <c r="S439">
        <f t="shared" si="332"/>
        <v>0.16357885899836597</v>
      </c>
      <c r="T439">
        <f t="shared" si="333"/>
        <v>-1.4064790328321453</v>
      </c>
      <c r="U439">
        <f t="shared" si="334"/>
        <v>0.10578831397145898</v>
      </c>
      <c r="V439">
        <f t="shared" si="335"/>
        <v>-1.4648096966779836</v>
      </c>
      <c r="X439">
        <f t="shared" si="352"/>
        <v>-49.027304258705577</v>
      </c>
      <c r="Y439">
        <f t="shared" si="336"/>
        <v>-174.73212178260323</v>
      </c>
      <c r="Z439">
        <f t="shared" si="353"/>
        <v>5.2678782173967704</v>
      </c>
      <c r="AC439">
        <v>1</v>
      </c>
      <c r="AD439">
        <f t="shared" si="337"/>
        <v>548.16864751687513</v>
      </c>
      <c r="AE439">
        <f t="shared" si="338"/>
        <v>-0.31773161859289956</v>
      </c>
      <c r="AF439">
        <f t="shared" si="339"/>
        <v>3.3801966117675004E-2</v>
      </c>
      <c r="AG439">
        <f t="shared" si="367"/>
        <v>178.37578917246128</v>
      </c>
      <c r="AH439">
        <f t="shared" si="368"/>
        <v>-1706.2802799921576</v>
      </c>
      <c r="AJ439">
        <f t="shared" si="340"/>
        <v>22100</v>
      </c>
      <c r="AK439">
        <f t="shared" si="341"/>
        <v>133283.23056553048</v>
      </c>
      <c r="AL439">
        <v>1</v>
      </c>
      <c r="AM439">
        <f t="shared" si="342"/>
        <v>427.81329061758004</v>
      </c>
      <c r="AN439">
        <f t="shared" si="369"/>
        <v>311.66437096106523</v>
      </c>
      <c r="AO439">
        <f t="shared" si="370"/>
        <v>-50.929543580999699</v>
      </c>
      <c r="AQ439">
        <f t="shared" si="343"/>
        <v>1.9753082517909625E-3</v>
      </c>
      <c r="AR439">
        <f t="shared" si="344"/>
        <v>-4.4444435665296655</v>
      </c>
      <c r="AT439">
        <f t="shared" si="365"/>
        <v>-7583.1140659393095</v>
      </c>
      <c r="AU439">
        <f t="shared" si="366"/>
        <v>-796.15155812913429</v>
      </c>
      <c r="AV439">
        <f t="shared" si="354"/>
        <v>-3.0369858331357622</v>
      </c>
      <c r="AW439">
        <f t="shared" si="355"/>
        <v>256.86519956497682</v>
      </c>
      <c r="AX439">
        <f t="shared" si="356"/>
        <v>-3270.9726756501282</v>
      </c>
      <c r="AY439">
        <f t="shared" si="364"/>
        <v>-1.4924284644456591</v>
      </c>
      <c r="BA439">
        <f t="shared" si="345"/>
        <v>2.3238933300778788</v>
      </c>
      <c r="BB439">
        <f t="shared" si="357"/>
        <v>7.3243237891527526</v>
      </c>
      <c r="BC439">
        <f t="shared" si="358"/>
        <v>-1.5445573686901031</v>
      </c>
      <c r="BD439">
        <f t="shared" si="346"/>
        <v>-268.49661854289684</v>
      </c>
      <c r="BF439">
        <f t="shared" si="347"/>
        <v>-56.403000634363778</v>
      </c>
      <c r="BG439">
        <f t="shared" si="348"/>
        <v>-188.47756549534793</v>
      </c>
      <c r="BH439">
        <f t="shared" si="359"/>
        <v>-8.4775654953479318</v>
      </c>
      <c r="BI439">
        <f t="shared" si="360"/>
        <v>-8.4775654953479318</v>
      </c>
      <c r="BJ439">
        <f t="shared" si="349"/>
        <v>0</v>
      </c>
      <c r="BK439">
        <f t="shared" si="361"/>
        <v>0</v>
      </c>
      <c r="BM439">
        <f t="shared" si="362"/>
        <v>-63.727324423516535</v>
      </c>
      <c r="BN439">
        <f t="shared" si="350"/>
        <v>-99.980946952451077</v>
      </c>
      <c r="BQ439" s="47">
        <f t="shared" si="363"/>
        <v>24.226284589437888</v>
      </c>
    </row>
    <row r="440" spans="1:69">
      <c r="A440">
        <f t="shared" si="372"/>
        <v>1130000</v>
      </c>
      <c r="B440">
        <f t="shared" si="351"/>
        <v>1130</v>
      </c>
      <c r="C440">
        <f t="shared" si="320"/>
        <v>5.7673559320742669</v>
      </c>
      <c r="D440">
        <f t="shared" si="321"/>
        <v>1.396525880847991</v>
      </c>
      <c r="F440">
        <f t="shared" si="322"/>
        <v>7.4917222049792432E-6</v>
      </c>
      <c r="G440">
        <f t="shared" si="323"/>
        <v>8.2523668645871704E-4</v>
      </c>
      <c r="H440">
        <f t="shared" si="324"/>
        <v>-3.1407674133135415</v>
      </c>
      <c r="J440">
        <f t="shared" si="325"/>
        <v>15</v>
      </c>
      <c r="M440">
        <f t="shared" si="326"/>
        <v>1.3327228477751903E-3</v>
      </c>
      <c r="N440">
        <f t="shared" si="327"/>
        <v>-1.5707963250000001</v>
      </c>
      <c r="O440">
        <f t="shared" si="328"/>
        <v>550.60586070828731</v>
      </c>
      <c r="P440">
        <f t="shared" si="329"/>
        <v>1.5689801446197436</v>
      </c>
      <c r="Q440">
        <f t="shared" si="330"/>
        <v>429.7158465815034</v>
      </c>
      <c r="R440">
        <f t="shared" si="331"/>
        <v>1.5684692054877862</v>
      </c>
      <c r="S440">
        <f t="shared" si="332"/>
        <v>0.16287430127021801</v>
      </c>
      <c r="T440">
        <f t="shared" si="333"/>
        <v>-1.4071931681240744</v>
      </c>
      <c r="U440">
        <f t="shared" si="334"/>
        <v>0.10532542822723563</v>
      </c>
      <c r="V440">
        <f t="shared" si="335"/>
        <v>-1.4652751829738548</v>
      </c>
      <c r="X440">
        <f t="shared" si="352"/>
        <v>-49.104049589993735</v>
      </c>
      <c r="Y440">
        <f t="shared" si="336"/>
        <v>-174.75538546414376</v>
      </c>
      <c r="Z440">
        <f t="shared" si="353"/>
        <v>5.2446145358562433</v>
      </c>
      <c r="AC440">
        <v>1</v>
      </c>
      <c r="AD440">
        <f t="shared" si="337"/>
        <v>550.60495261695007</v>
      </c>
      <c r="AE440">
        <f t="shared" si="338"/>
        <v>-0.32056217582717905</v>
      </c>
      <c r="AF440">
        <f t="shared" si="339"/>
        <v>3.3952197078198007E-2</v>
      </c>
      <c r="AG440">
        <f t="shared" si="367"/>
        <v>176.81820750700248</v>
      </c>
      <c r="AH440">
        <f t="shared" si="368"/>
        <v>-1698.895337802621</v>
      </c>
      <c r="AJ440">
        <f t="shared" si="340"/>
        <v>22100</v>
      </c>
      <c r="AK440">
        <f t="shared" si="341"/>
        <v>133875.60047915508</v>
      </c>
      <c r="AL440">
        <v>1</v>
      </c>
      <c r="AM440">
        <f t="shared" si="342"/>
        <v>429.71468302032486</v>
      </c>
      <c r="AN440">
        <f t="shared" si="369"/>
        <v>311.66331979139062</v>
      </c>
      <c r="AO440">
        <f t="shared" si="370"/>
        <v>-50.704194064455677</v>
      </c>
      <c r="AQ440">
        <f t="shared" si="343"/>
        <v>1.95786632511036E-3</v>
      </c>
      <c r="AR440">
        <f t="shared" si="344"/>
        <v>-4.4247778947494139</v>
      </c>
      <c r="AT440">
        <f t="shared" si="365"/>
        <v>-7516.8883497877314</v>
      </c>
      <c r="AU440">
        <f t="shared" si="366"/>
        <v>-785.70750593797015</v>
      </c>
      <c r="AV440">
        <f t="shared" si="354"/>
        <v>-3.0374452140966754</v>
      </c>
      <c r="AW440">
        <f t="shared" si="355"/>
        <v>257.36474484733736</v>
      </c>
      <c r="AX440">
        <f t="shared" si="356"/>
        <v>-3256.6518137618937</v>
      </c>
      <c r="AY440">
        <f t="shared" si="364"/>
        <v>-1.4919328245587993</v>
      </c>
      <c r="BA440">
        <f t="shared" si="345"/>
        <v>2.3135262480128298</v>
      </c>
      <c r="BB440">
        <f t="shared" si="357"/>
        <v>7.2854886226657323</v>
      </c>
      <c r="BC440">
        <f t="shared" si="358"/>
        <v>-1.5455123895378762</v>
      </c>
      <c r="BD440">
        <f t="shared" si="346"/>
        <v>-268.55133720688377</v>
      </c>
      <c r="BF440">
        <f t="shared" si="347"/>
        <v>-56.481517797255954</v>
      </c>
      <c r="BG440">
        <f t="shared" si="348"/>
        <v>-188.48901558278624</v>
      </c>
      <c r="BH440">
        <f t="shared" si="359"/>
        <v>-8.4890155827862372</v>
      </c>
      <c r="BI440">
        <f t="shared" si="360"/>
        <v>-8.4890155827862372</v>
      </c>
      <c r="BJ440">
        <f t="shared" si="349"/>
        <v>0</v>
      </c>
      <c r="BK440">
        <f t="shared" si="361"/>
        <v>0</v>
      </c>
      <c r="BM440">
        <f t="shared" si="362"/>
        <v>-63.767006419921685</v>
      </c>
      <c r="BN440">
        <f t="shared" si="350"/>
        <v>-99.937678375902436</v>
      </c>
      <c r="BQ440" s="47">
        <f t="shared" si="363"/>
        <v>24.187449422950866</v>
      </c>
    </row>
    <row r="441" spans="1:69">
      <c r="A441">
        <f t="shared" si="372"/>
        <v>1135000</v>
      </c>
      <c r="B441">
        <f t="shared" si="351"/>
        <v>1135</v>
      </c>
      <c r="C441">
        <f t="shared" si="320"/>
        <v>5.792109634440175</v>
      </c>
      <c r="D441">
        <f t="shared" si="321"/>
        <v>1.3972782420155934</v>
      </c>
      <c r="F441">
        <f t="shared" si="322"/>
        <v>7.4258607547559295E-6</v>
      </c>
      <c r="G441">
        <f t="shared" si="323"/>
        <v>8.2160122910776296E-4</v>
      </c>
      <c r="H441">
        <f t="shared" si="324"/>
        <v>-3.1407710487708926</v>
      </c>
      <c r="J441">
        <f t="shared" si="325"/>
        <v>15</v>
      </c>
      <c r="M441">
        <f t="shared" si="326"/>
        <v>1.3268518220140662E-3</v>
      </c>
      <c r="N441">
        <f t="shared" si="327"/>
        <v>-1.5707963250000001</v>
      </c>
      <c r="O441">
        <f t="shared" si="328"/>
        <v>553.04216180796641</v>
      </c>
      <c r="P441">
        <f t="shared" si="329"/>
        <v>1.5689881454047996</v>
      </c>
      <c r="Q441">
        <f t="shared" si="330"/>
        <v>431.61723385844181</v>
      </c>
      <c r="R441">
        <f t="shared" si="331"/>
        <v>1.5684794570867329</v>
      </c>
      <c r="S441">
        <f t="shared" si="332"/>
        <v>0.16217570512964649</v>
      </c>
      <c r="T441">
        <f t="shared" si="333"/>
        <v>-1.4079011776741321</v>
      </c>
      <c r="U441">
        <f t="shared" si="334"/>
        <v>0.10486655320123726</v>
      </c>
      <c r="V441">
        <f t="shared" si="335"/>
        <v>-1.4657366133676981</v>
      </c>
      <c r="X441">
        <f t="shared" si="352"/>
        <v>-49.180458671765294</v>
      </c>
      <c r="Y441">
        <f t="shared" si="336"/>
        <v>-174.77844482956993</v>
      </c>
      <c r="Z441">
        <f t="shared" si="353"/>
        <v>5.2215551704300651</v>
      </c>
      <c r="AC441">
        <v>1</v>
      </c>
      <c r="AD441">
        <f t="shared" si="337"/>
        <v>553.04125771702502</v>
      </c>
      <c r="AE441">
        <f t="shared" si="338"/>
        <v>-0.32340528542169916</v>
      </c>
      <c r="AF441">
        <f t="shared" si="339"/>
        <v>3.4102428038721003E-2</v>
      </c>
      <c r="AG441">
        <f t="shared" si="367"/>
        <v>175.28086341628125</v>
      </c>
      <c r="AH441">
        <f t="shared" si="368"/>
        <v>-1691.5733271720383</v>
      </c>
      <c r="AJ441">
        <f t="shared" si="340"/>
        <v>22100</v>
      </c>
      <c r="AK441">
        <f t="shared" si="341"/>
        <v>134467.97039277968</v>
      </c>
      <c r="AL441">
        <v>1</v>
      </c>
      <c r="AM441">
        <f t="shared" si="342"/>
        <v>431.61607542306962</v>
      </c>
      <c r="AN441">
        <f t="shared" si="369"/>
        <v>311.66228248310478</v>
      </c>
      <c r="AO441">
        <f t="shared" si="370"/>
        <v>-50.480829974092117</v>
      </c>
      <c r="AQ441">
        <f t="shared" si="343"/>
        <v>1.9406544003077101E-3</v>
      </c>
      <c r="AR441">
        <f t="shared" si="344"/>
        <v>-4.4052854886985022</v>
      </c>
      <c r="AT441">
        <f t="shared" si="365"/>
        <v>-7451.5232716815453</v>
      </c>
      <c r="AU441">
        <f t="shared" si="366"/>
        <v>-775.44500327510752</v>
      </c>
      <c r="AV441">
        <f t="shared" si="354"/>
        <v>-3.0379005929468277</v>
      </c>
      <c r="AW441">
        <f t="shared" si="355"/>
        <v>257.85741392175953</v>
      </c>
      <c r="AX441">
        <f t="shared" si="356"/>
        <v>-3242.4551556458237</v>
      </c>
      <c r="AY441">
        <f t="shared" si="364"/>
        <v>-1.4914379803460946</v>
      </c>
      <c r="BA441">
        <f t="shared" si="345"/>
        <v>2.303250001332811</v>
      </c>
      <c r="BB441">
        <f t="shared" si="357"/>
        <v>7.2468216017216029</v>
      </c>
      <c r="BC441">
        <f t="shared" si="358"/>
        <v>-1.546462612600733</v>
      </c>
      <c r="BD441">
        <f t="shared" si="346"/>
        <v>-268.6057809780437</v>
      </c>
      <c r="BF441">
        <f t="shared" si="347"/>
        <v>-56.559681716437765</v>
      </c>
      <c r="BG441">
        <f t="shared" si="348"/>
        <v>-188.50056053068681</v>
      </c>
      <c r="BH441">
        <f t="shared" si="359"/>
        <v>-8.5005605306868119</v>
      </c>
      <c r="BI441">
        <f t="shared" si="360"/>
        <v>-8.5005605306868119</v>
      </c>
      <c r="BJ441">
        <f t="shared" si="349"/>
        <v>0</v>
      </c>
      <c r="BK441">
        <f t="shared" si="361"/>
        <v>0</v>
      </c>
      <c r="BM441">
        <f t="shared" si="362"/>
        <v>-63.806503318159358</v>
      </c>
      <c r="BN441">
        <f t="shared" si="350"/>
        <v>-99.894779552643087</v>
      </c>
      <c r="BQ441" s="47">
        <f t="shared" si="363"/>
        <v>24.148782402006738</v>
      </c>
    </row>
    <row r="442" spans="1:69">
      <c r="A442">
        <f t="shared" si="372"/>
        <v>1140000</v>
      </c>
      <c r="B442">
        <f t="shared" si="351"/>
        <v>1140</v>
      </c>
      <c r="C442">
        <f t="shared" si="320"/>
        <v>5.8168665875089154</v>
      </c>
      <c r="D442">
        <f t="shared" si="321"/>
        <v>1.3980241994087736</v>
      </c>
      <c r="F442">
        <f t="shared" si="322"/>
        <v>7.3608640090009998E-6</v>
      </c>
      <c r="G442">
        <f t="shared" si="323"/>
        <v>8.1799766243219199E-4</v>
      </c>
      <c r="H442">
        <f t="shared" si="324"/>
        <v>-3.1407746523375679</v>
      </c>
      <c r="J442">
        <f t="shared" si="325"/>
        <v>15</v>
      </c>
      <c r="M442">
        <f t="shared" si="326"/>
        <v>1.3210322964789167E-3</v>
      </c>
      <c r="N442">
        <f t="shared" si="327"/>
        <v>-1.5707963250000001</v>
      </c>
      <c r="O442">
        <f t="shared" si="328"/>
        <v>555.47846294273677</v>
      </c>
      <c r="P442">
        <f t="shared" si="329"/>
        <v>1.568996076007759</v>
      </c>
      <c r="Q442">
        <f t="shared" si="330"/>
        <v>433.51862118034325</v>
      </c>
      <c r="R442">
        <f t="shared" si="331"/>
        <v>1.5684896187598534</v>
      </c>
      <c r="S442">
        <f t="shared" si="332"/>
        <v>0.16148299628125537</v>
      </c>
      <c r="T442">
        <f t="shared" si="333"/>
        <v>-1.4086031392634373</v>
      </c>
      <c r="U442">
        <f t="shared" si="334"/>
        <v>0.10441163728238875</v>
      </c>
      <c r="V442">
        <f t="shared" si="335"/>
        <v>-1.4661940404457967</v>
      </c>
      <c r="X442">
        <f t="shared" si="352"/>
        <v>-49.256534425825407</v>
      </c>
      <c r="Y442">
        <f t="shared" si="336"/>
        <v>-174.80130255482831</v>
      </c>
      <c r="Z442">
        <f t="shared" si="353"/>
        <v>5.198697445171689</v>
      </c>
      <c r="AC442">
        <v>1</v>
      </c>
      <c r="AD442">
        <f t="shared" si="337"/>
        <v>555.47756281709997</v>
      </c>
      <c r="AE442">
        <f t="shared" si="338"/>
        <v>-0.32626094737646011</v>
      </c>
      <c r="AF442">
        <f t="shared" si="339"/>
        <v>3.4252658999243998E-2</v>
      </c>
      <c r="AG442">
        <f t="shared" si="367"/>
        <v>173.76340911005622</v>
      </c>
      <c r="AH442">
        <f t="shared" si="368"/>
        <v>-1684.3134565665018</v>
      </c>
      <c r="AJ442">
        <f t="shared" si="340"/>
        <v>22100</v>
      </c>
      <c r="AK442">
        <f t="shared" si="341"/>
        <v>135060.34030640425</v>
      </c>
      <c r="AL442">
        <v>1</v>
      </c>
      <c r="AM442">
        <f t="shared" si="342"/>
        <v>433.51746782581444</v>
      </c>
      <c r="AN442">
        <f t="shared" si="369"/>
        <v>311.66125879356161</v>
      </c>
      <c r="AO442">
        <f t="shared" si="370"/>
        <v>-50.259425186440019</v>
      </c>
      <c r="AQ442">
        <f t="shared" si="343"/>
        <v>1.9236684511256441E-3</v>
      </c>
      <c r="AR442">
        <f t="shared" si="344"/>
        <v>-4.3859640685664685</v>
      </c>
      <c r="AT442">
        <f t="shared" si="365"/>
        <v>-7387.0040375156013</v>
      </c>
      <c r="AU442">
        <f t="shared" si="366"/>
        <v>-765.36012944652521</v>
      </c>
      <c r="AV442">
        <f t="shared" si="354"/>
        <v>-3.0383520215647266</v>
      </c>
      <c r="AW442">
        <f t="shared" si="355"/>
        <v>258.34333335495722</v>
      </c>
      <c r="AX442">
        <f t="shared" si="356"/>
        <v>-3228.3811007462555</v>
      </c>
      <c r="AY442">
        <f t="shared" si="364"/>
        <v>-1.4909439205820934</v>
      </c>
      <c r="BA442">
        <f t="shared" si="345"/>
        <v>2.2930633970975851</v>
      </c>
      <c r="BB442">
        <f t="shared" si="357"/>
        <v>7.2083212396405489</v>
      </c>
      <c r="BC442">
        <f t="shared" si="358"/>
        <v>-1.5474081009826333</v>
      </c>
      <c r="BD442">
        <f t="shared" si="346"/>
        <v>-268.65995347196713</v>
      </c>
      <c r="BF442">
        <f t="shared" si="347"/>
        <v>-56.637495630397609</v>
      </c>
      <c r="BG442">
        <f t="shared" si="348"/>
        <v>-188.51219928339754</v>
      </c>
      <c r="BH442">
        <f t="shared" si="359"/>
        <v>-8.5121992833975355</v>
      </c>
      <c r="BI442">
        <f t="shared" si="360"/>
        <v>-8.5121992833975355</v>
      </c>
      <c r="BJ442">
        <f t="shared" si="349"/>
        <v>0</v>
      </c>
      <c r="BK442">
        <f t="shared" si="361"/>
        <v>0</v>
      </c>
      <c r="BM442">
        <f t="shared" si="362"/>
        <v>-63.845816870038156</v>
      </c>
      <c r="BN442">
        <f t="shared" si="350"/>
        <v>-99.852245811430379</v>
      </c>
      <c r="BQ442" s="47">
        <f t="shared" si="363"/>
        <v>24.110282039925686</v>
      </c>
    </row>
    <row r="443" spans="1:69">
      <c r="A443">
        <f t="shared" si="372"/>
        <v>1145000</v>
      </c>
      <c r="B443">
        <f t="shared" si="351"/>
        <v>1145</v>
      </c>
      <c r="C443">
        <f t="shared" si="320"/>
        <v>5.8416267499508203</v>
      </c>
      <c r="D443">
        <f t="shared" si="321"/>
        <v>1.3987638336206296</v>
      </c>
      <c r="F443">
        <f t="shared" si="322"/>
        <v>7.2967168965538488E-6</v>
      </c>
      <c r="G443">
        <f t="shared" si="323"/>
        <v>8.1442556863810754E-4</v>
      </c>
      <c r="H443">
        <f t="shared" si="324"/>
        <v>-3.140778224431362</v>
      </c>
      <c r="J443">
        <f t="shared" si="325"/>
        <v>15</v>
      </c>
      <c r="M443">
        <f t="shared" si="326"/>
        <v>1.3152635964942927E-3</v>
      </c>
      <c r="N443">
        <f t="shared" si="327"/>
        <v>-1.5707963250000001</v>
      </c>
      <c r="O443">
        <f t="shared" si="328"/>
        <v>557.91476411213841</v>
      </c>
      <c r="P443">
        <f t="shared" si="329"/>
        <v>1.5690039373480338</v>
      </c>
      <c r="Q443">
        <f t="shared" si="330"/>
        <v>435.4200085466187</v>
      </c>
      <c r="R443">
        <f t="shared" si="331"/>
        <v>1.5684996916852074</v>
      </c>
      <c r="S443">
        <f t="shared" si="332"/>
        <v>0.16079610164096075</v>
      </c>
      <c r="T443">
        <f t="shared" si="333"/>
        <v>-1.4092991293737605</v>
      </c>
      <c r="U443">
        <f t="shared" si="334"/>
        <v>0.10396062973633503</v>
      </c>
      <c r="V443">
        <f t="shared" si="335"/>
        <v>-1.4666475158926136</v>
      </c>
      <c r="X443">
        <f t="shared" si="352"/>
        <v>-49.332279736221842</v>
      </c>
      <c r="Y443">
        <f t="shared" si="336"/>
        <v>-174.82396126942035</v>
      </c>
      <c r="Z443">
        <f t="shared" si="353"/>
        <v>5.1760387305796485</v>
      </c>
      <c r="AC443">
        <v>1</v>
      </c>
      <c r="AD443">
        <f t="shared" si="337"/>
        <v>557.91386791717514</v>
      </c>
      <c r="AE443">
        <f t="shared" si="338"/>
        <v>-0.32912916169146161</v>
      </c>
      <c r="AF443">
        <f t="shared" si="339"/>
        <v>3.4402889959767001E-2</v>
      </c>
      <c r="AG443">
        <f t="shared" si="367"/>
        <v>172.26550420952381</v>
      </c>
      <c r="AH443">
        <f t="shared" si="368"/>
        <v>-1677.1149475033315</v>
      </c>
      <c r="AJ443">
        <f t="shared" si="340"/>
        <v>22100</v>
      </c>
      <c r="AK443">
        <f t="shared" si="341"/>
        <v>135652.71022002882</v>
      </c>
      <c r="AL443">
        <v>1</v>
      </c>
      <c r="AM443">
        <f t="shared" si="342"/>
        <v>435.41886022855925</v>
      </c>
      <c r="AN443">
        <f t="shared" si="369"/>
        <v>311.66024848540161</v>
      </c>
      <c r="AO443">
        <f t="shared" si="370"/>
        <v>-50.039954034323422</v>
      </c>
      <c r="AQ443">
        <f t="shared" si="343"/>
        <v>1.9069045390239434E-3</v>
      </c>
      <c r="AR443">
        <f t="shared" si="344"/>
        <v>-4.3668113943648299</v>
      </c>
      <c r="AT443">
        <f t="shared" si="365"/>
        <v>-7323.3161685452269</v>
      </c>
      <c r="AU443">
        <f t="shared" si="366"/>
        <v>-755.44906474401012</v>
      </c>
      <c r="AV443">
        <f t="shared" si="354"/>
        <v>-3.0387995509394226</v>
      </c>
      <c r="AW443">
        <f t="shared" si="355"/>
        <v>258.82262679773891</v>
      </c>
      <c r="AX443">
        <f t="shared" si="356"/>
        <v>-3214.4280757503284</v>
      </c>
      <c r="AY443">
        <f t="shared" si="364"/>
        <v>-1.490450634268458</v>
      </c>
      <c r="BA443">
        <f t="shared" si="345"/>
        <v>2.2829652631534674</v>
      </c>
      <c r="BB443">
        <f t="shared" si="357"/>
        <v>7.1699860691779929</v>
      </c>
      <c r="BC443">
        <f t="shared" si="358"/>
        <v>-1.5483489166709645</v>
      </c>
      <c r="BD443">
        <f t="shared" si="346"/>
        <v>-268.71385824026981</v>
      </c>
      <c r="BF443">
        <f t="shared" si="347"/>
        <v>-56.714962733129695</v>
      </c>
      <c r="BG443">
        <f t="shared" si="348"/>
        <v>-188.52393079882759</v>
      </c>
      <c r="BH443">
        <f t="shared" si="359"/>
        <v>-8.5239307988275925</v>
      </c>
      <c r="BI443">
        <f t="shared" si="360"/>
        <v>-8.5239307988275925</v>
      </c>
      <c r="BJ443">
        <f t="shared" si="349"/>
        <v>0</v>
      </c>
      <c r="BK443">
        <f t="shared" si="361"/>
        <v>0</v>
      </c>
      <c r="BM443">
        <f t="shared" si="362"/>
        <v>-63.88494880230769</v>
      </c>
      <c r="BN443">
        <f t="shared" si="350"/>
        <v>-99.810072558557778</v>
      </c>
      <c r="BQ443" s="47">
        <f t="shared" si="363"/>
        <v>24.071946869463126</v>
      </c>
    </row>
    <row r="444" spans="1:69">
      <c r="A444">
        <f t="shared" si="372"/>
        <v>1150000</v>
      </c>
      <c r="B444">
        <f t="shared" si="351"/>
        <v>1150</v>
      </c>
      <c r="C444">
        <f t="shared" si="320"/>
        <v>5.8663900811286647</v>
      </c>
      <c r="D444">
        <f t="shared" si="321"/>
        <v>1.3994972239113928</v>
      </c>
      <c r="F444">
        <f t="shared" si="322"/>
        <v>7.2334046731786125E-6</v>
      </c>
      <c r="G444">
        <f t="shared" si="323"/>
        <v>8.1088453719785532E-4</v>
      </c>
      <c r="H444">
        <f t="shared" si="324"/>
        <v>-3.1407817654628025</v>
      </c>
      <c r="J444">
        <f t="shared" si="325"/>
        <v>15</v>
      </c>
      <c r="M444">
        <f t="shared" si="326"/>
        <v>1.3095450591182306E-3</v>
      </c>
      <c r="N444">
        <f t="shared" si="327"/>
        <v>-1.5707963250000001</v>
      </c>
      <c r="O444">
        <f t="shared" si="328"/>
        <v>560.35106531571989</v>
      </c>
      <c r="P444">
        <f t="shared" si="329"/>
        <v>1.5690117303290467</v>
      </c>
      <c r="Q444">
        <f t="shared" si="330"/>
        <v>437.3213959566894</v>
      </c>
      <c r="R444">
        <f t="shared" si="331"/>
        <v>1.5685096770203661</v>
      </c>
      <c r="S444">
        <f t="shared" si="332"/>
        <v>0.16011494931179585</v>
      </c>
      <c r="T444">
        <f t="shared" si="333"/>
        <v>-1.409989223214291</v>
      </c>
      <c r="U444">
        <f t="shared" si="334"/>
        <v>0.10351348068701204</v>
      </c>
      <c r="V444">
        <f t="shared" si="335"/>
        <v>-1.4670970905099676</v>
      </c>
      <c r="X444">
        <f t="shared" si="352"/>
        <v>-49.407697449889689</v>
      </c>
      <c r="Y444">
        <f t="shared" si="336"/>
        <v>-174.8464235574036</v>
      </c>
      <c r="Z444">
        <f t="shared" si="353"/>
        <v>5.1535764425964032</v>
      </c>
      <c r="AC444">
        <v>1</v>
      </c>
      <c r="AD444">
        <f t="shared" si="337"/>
        <v>560.35017301725009</v>
      </c>
      <c r="AE444">
        <f t="shared" si="338"/>
        <v>-0.33200992836670395</v>
      </c>
      <c r="AF444">
        <f t="shared" si="339"/>
        <v>3.4553120920290004E-2</v>
      </c>
      <c r="AG444">
        <f t="shared" si="367"/>
        <v>170.78681555930677</v>
      </c>
      <c r="AH444">
        <f t="shared" si="368"/>
        <v>-1669.9770342869112</v>
      </c>
      <c r="AJ444">
        <f t="shared" si="340"/>
        <v>22100</v>
      </c>
      <c r="AK444">
        <f t="shared" si="341"/>
        <v>136245.08013365339</v>
      </c>
      <c r="AL444">
        <v>1</v>
      </c>
      <c r="AM444">
        <f t="shared" si="342"/>
        <v>437.32025263130402</v>
      </c>
      <c r="AN444">
        <f t="shared" si="369"/>
        <v>311.65925132641371</v>
      </c>
      <c r="AO444">
        <f t="shared" si="370"/>
        <v>-49.822391296940232</v>
      </c>
      <c r="AQ444">
        <f t="shared" si="343"/>
        <v>1.8903588108962551E-3</v>
      </c>
      <c r="AR444">
        <f t="shared" si="344"/>
        <v>-4.3478252650613864</v>
      </c>
      <c r="AT444">
        <f t="shared" si="365"/>
        <v>-7260.4454933833404</v>
      </c>
      <c r="AU444">
        <f t="shared" si="366"/>
        <v>-745.70808742889176</v>
      </c>
      <c r="AV444">
        <f t="shared" si="354"/>
        <v>-3.0392432311894146</v>
      </c>
      <c r="AW444">
        <f t="shared" si="355"/>
        <v>259.29541506560577</v>
      </c>
      <c r="AX444">
        <f t="shared" si="356"/>
        <v>-3200.5945340137614</v>
      </c>
      <c r="AY444">
        <f t="shared" si="364"/>
        <v>-1.489958110628296</v>
      </c>
      <c r="BA444">
        <f t="shared" si="345"/>
        <v>2.2729544476829426</v>
      </c>
      <c r="BB444">
        <f t="shared" si="357"/>
        <v>7.1318146421881847</v>
      </c>
      <c r="BC444">
        <f t="shared" si="358"/>
        <v>-1.5492851205611187</v>
      </c>
      <c r="BD444">
        <f t="shared" si="346"/>
        <v>-268.76749877200069</v>
      </c>
      <c r="BF444">
        <f t="shared" si="347"/>
        <v>-56.792086174949091</v>
      </c>
      <c r="BG444">
        <f t="shared" si="348"/>
        <v>-188.53575404827072</v>
      </c>
      <c r="BH444">
        <f t="shared" si="359"/>
        <v>-8.5357540482707179</v>
      </c>
      <c r="BI444">
        <f t="shared" si="360"/>
        <v>-8.5357540482707179</v>
      </c>
      <c r="BJ444">
        <f t="shared" si="349"/>
        <v>0</v>
      </c>
      <c r="BK444">
        <f t="shared" si="361"/>
        <v>0</v>
      </c>
      <c r="BM444">
        <f t="shared" si="362"/>
        <v>-63.92390081713728</v>
      </c>
      <c r="BN444">
        <f t="shared" si="350"/>
        <v>-99.768255276270054</v>
      </c>
      <c r="BQ444" s="47">
        <f t="shared" si="363"/>
        <v>24.033775442473321</v>
      </c>
    </row>
    <row r="445" spans="1:69">
      <c r="A445">
        <f t="shared" si="372"/>
        <v>1155000</v>
      </c>
      <c r="B445">
        <f t="shared" si="351"/>
        <v>1155</v>
      </c>
      <c r="C445">
        <f t="shared" si="320"/>
        <v>5.8911565410833431</v>
      </c>
      <c r="D445">
        <f t="shared" si="321"/>
        <v>1.4002244482355757</v>
      </c>
      <c r="F445">
        <f t="shared" si="322"/>
        <v>7.1709129130909103E-6</v>
      </c>
      <c r="G445">
        <f t="shared" si="323"/>
        <v>8.0737416469273896E-4</v>
      </c>
      <c r="H445">
        <f t="shared" si="324"/>
        <v>-3.1407852758353076</v>
      </c>
      <c r="J445">
        <f t="shared" si="325"/>
        <v>15</v>
      </c>
      <c r="M445">
        <f t="shared" si="326"/>
        <v>1.3038760328882815E-3</v>
      </c>
      <c r="N445">
        <f t="shared" si="327"/>
        <v>-1.5707963250000001</v>
      </c>
      <c r="O445">
        <f t="shared" si="328"/>
        <v>562.78736655303692</v>
      </c>
      <c r="P445">
        <f t="shared" si="329"/>
        <v>1.5690194558385766</v>
      </c>
      <c r="Q445">
        <f t="shared" si="330"/>
        <v>439.22278340998645</v>
      </c>
      <c r="R445">
        <f t="shared" si="331"/>
        <v>1.5685195759028567</v>
      </c>
      <c r="S445">
        <f t="shared" si="332"/>
        <v>0.15943946856028307</v>
      </c>
      <c r="T445">
        <f t="shared" si="333"/>
        <v>-1.4106734947477504</v>
      </c>
      <c r="U445">
        <f t="shared" si="334"/>
        <v>0.10307014109867794</v>
      </c>
      <c r="V445">
        <f t="shared" si="335"/>
        <v>-1.4675428142357276</v>
      </c>
      <c r="X445">
        <f t="shared" si="352"/>
        <v>-49.482790377282669</v>
      </c>
      <c r="Y445">
        <f t="shared" si="336"/>
        <v>-174.86869195836695</v>
      </c>
      <c r="Z445">
        <f t="shared" si="353"/>
        <v>5.1313080416330479</v>
      </c>
      <c r="AC445">
        <v>1</v>
      </c>
      <c r="AD445">
        <f t="shared" si="337"/>
        <v>562.78647811732503</v>
      </c>
      <c r="AE445">
        <f t="shared" si="338"/>
        <v>-0.33490324740218691</v>
      </c>
      <c r="AF445">
        <f t="shared" si="339"/>
        <v>3.4703351880813006E-2</v>
      </c>
      <c r="AG445">
        <f t="shared" si="367"/>
        <v>169.32701704496563</v>
      </c>
      <c r="AH445">
        <f t="shared" si="368"/>
        <v>-1662.8989637508323</v>
      </c>
      <c r="AJ445">
        <f t="shared" si="340"/>
        <v>22100</v>
      </c>
      <c r="AK445">
        <f t="shared" si="341"/>
        <v>136837.45004727799</v>
      </c>
      <c r="AL445">
        <v>1</v>
      </c>
      <c r="AM445">
        <f t="shared" si="342"/>
        <v>439.22164503404883</v>
      </c>
      <c r="AN445">
        <f t="shared" si="369"/>
        <v>311.65826708940216</v>
      </c>
      <c r="AO445">
        <f t="shared" si="370"/>
        <v>-49.606712190200803</v>
      </c>
      <c r="AQ445">
        <f t="shared" si="343"/>
        <v>1.8740274968558504E-3</v>
      </c>
      <c r="AR445">
        <f t="shared" si="344"/>
        <v>-4.3290035177370143</v>
      </c>
      <c r="AT445">
        <f t="shared" si="365"/>
        <v>-7198.3781402326858</v>
      </c>
      <c r="AU445">
        <f t="shared" si="366"/>
        <v>-736.13357081813376</v>
      </c>
      <c r="AV445">
        <f t="shared" si="354"/>
        <v>-3.0396831115810858</v>
      </c>
      <c r="AW445">
        <f t="shared" si="355"/>
        <v>259.76181621675869</v>
      </c>
      <c r="AX445">
        <f t="shared" si="356"/>
        <v>-3186.8789550010515</v>
      </c>
      <c r="AY445">
        <f t="shared" si="364"/>
        <v>-1.4894663391006562</v>
      </c>
      <c r="BA445">
        <f t="shared" si="345"/>
        <v>2.2630298187659221</v>
      </c>
      <c r="BB445">
        <f t="shared" si="357"/>
        <v>7.0938055292949977</v>
      </c>
      <c r="BC445">
        <f t="shared" si="358"/>
        <v>-1.5502167724804297</v>
      </c>
      <c r="BD445">
        <f t="shared" si="346"/>
        <v>-268.82087849501346</v>
      </c>
      <c r="BF445">
        <f t="shared" si="347"/>
        <v>-56.86886906328823</v>
      </c>
      <c r="BG445">
        <f t="shared" si="348"/>
        <v>-188.54766801623026</v>
      </c>
      <c r="BH445">
        <f t="shared" si="359"/>
        <v>-8.5476680162302614</v>
      </c>
      <c r="BI445">
        <f t="shared" si="360"/>
        <v>-8.5476680162302614</v>
      </c>
      <c r="BJ445">
        <f t="shared" si="349"/>
        <v>0</v>
      </c>
      <c r="BK445">
        <f t="shared" si="361"/>
        <v>0</v>
      </c>
      <c r="BM445">
        <f t="shared" si="362"/>
        <v>-63.962674592583227</v>
      </c>
      <c r="BN445">
        <f t="shared" si="350"/>
        <v>-99.726789521216801</v>
      </c>
      <c r="BQ445" s="47">
        <f t="shared" si="363"/>
        <v>23.995766329580132</v>
      </c>
    </row>
    <row r="446" spans="1:69">
      <c r="A446">
        <f t="shared" si="372"/>
        <v>1160000</v>
      </c>
      <c r="B446">
        <f t="shared" si="351"/>
        <v>1160</v>
      </c>
      <c r="C446">
        <f t="shared" si="320"/>
        <v>5.9159260905198758</v>
      </c>
      <c r="D446">
        <f t="shared" si="321"/>
        <v>1.4009455832684674</v>
      </c>
      <c r="F446">
        <f t="shared" si="322"/>
        <v>7.1092275007397086E-6</v>
      </c>
      <c r="G446">
        <f t="shared" si="323"/>
        <v>8.0389405465980369E-4</v>
      </c>
      <c r="H446">
        <f t="shared" si="324"/>
        <v>-3.1407887559453402</v>
      </c>
      <c r="J446">
        <f t="shared" si="325"/>
        <v>15</v>
      </c>
      <c r="M446">
        <f t="shared" si="326"/>
        <v>1.2982558775741079E-3</v>
      </c>
      <c r="N446">
        <f t="shared" si="327"/>
        <v>-1.5707963250000001</v>
      </c>
      <c r="O446">
        <f t="shared" si="328"/>
        <v>565.22366782365373</v>
      </c>
      <c r="P446">
        <f t="shared" si="329"/>
        <v>1.5690271147490957</v>
      </c>
      <c r="Q446">
        <f t="shared" si="330"/>
        <v>441.12417090595113</v>
      </c>
      <c r="R446">
        <f t="shared" si="331"/>
        <v>1.5685293894505938</v>
      </c>
      <c r="S446">
        <f t="shared" si="332"/>
        <v>0.15876958979335898</v>
      </c>
      <c r="T446">
        <f t="shared" si="333"/>
        <v>-1.4113520167158722</v>
      </c>
      <c r="U446">
        <f t="shared" si="334"/>
        <v>0.10263056275839093</v>
      </c>
      <c r="V446">
        <f t="shared" si="335"/>
        <v>-1.4679847361620333</v>
      </c>
      <c r="X446">
        <f t="shared" si="352"/>
        <v>-49.557561292990997</v>
      </c>
      <c r="Y446">
        <f t="shared" si="336"/>
        <v>-174.89076896838168</v>
      </c>
      <c r="Z446">
        <f t="shared" si="353"/>
        <v>5.1092310316183216</v>
      </c>
      <c r="AC446">
        <v>1</v>
      </c>
      <c r="AD446">
        <f t="shared" si="337"/>
        <v>565.22278321739998</v>
      </c>
      <c r="AE446">
        <f t="shared" si="338"/>
        <v>-0.33780911879791065</v>
      </c>
      <c r="AF446">
        <f t="shared" si="339"/>
        <v>3.4853582841336002E-2</v>
      </c>
      <c r="AG446">
        <f t="shared" si="367"/>
        <v>167.88578941584279</v>
      </c>
      <c r="AH446">
        <f t="shared" si="368"/>
        <v>-1655.8799950061371</v>
      </c>
      <c r="AJ446">
        <f t="shared" si="340"/>
        <v>22100</v>
      </c>
      <c r="AK446">
        <f t="shared" si="341"/>
        <v>137429.81996090256</v>
      </c>
      <c r="AL446">
        <v>1</v>
      </c>
      <c r="AM446">
        <f t="shared" si="342"/>
        <v>441.12303743679365</v>
      </c>
      <c r="AN446">
        <f t="shared" si="369"/>
        <v>311.65729555205695</v>
      </c>
      <c r="AO446">
        <f t="shared" si="370"/>
        <v>-49.392892357316263</v>
      </c>
      <c r="AQ446">
        <f t="shared" si="343"/>
        <v>1.8579069080880447E-3</v>
      </c>
      <c r="AR446">
        <f t="shared" si="344"/>
        <v>-4.3103440267642634</v>
      </c>
      <c r="AT446">
        <f t="shared" si="365"/>
        <v>-7137.1005293452163</v>
      </c>
      <c r="AU446">
        <f t="shared" si="366"/>
        <v>-726.72198046886763</v>
      </c>
      <c r="AV446">
        <f t="shared" si="354"/>
        <v>-3.0401192405466659</v>
      </c>
      <c r="AW446">
        <f t="shared" si="355"/>
        <v>260.22194562760166</v>
      </c>
      <c r="AX446">
        <f t="shared" si="356"/>
        <v>-3173.2798437396132</v>
      </c>
      <c r="AY446">
        <f t="shared" si="364"/>
        <v>-1.4889753093351918</v>
      </c>
      <c r="BA446">
        <f t="shared" si="345"/>
        <v>2.2531902639523089</v>
      </c>
      <c r="BB446">
        <f t="shared" si="357"/>
        <v>7.0559573195698047</v>
      </c>
      <c r="BC446">
        <f t="shared" si="358"/>
        <v>-1.5511439312114741</v>
      </c>
      <c r="BD446">
        <f t="shared" si="346"/>
        <v>-268.87400077730172</v>
      </c>
      <c r="BF446">
        <f t="shared" si="347"/>
        <v>-56.945314463475221</v>
      </c>
      <c r="BG446">
        <f t="shared" si="348"/>
        <v>-188.55967170024491</v>
      </c>
      <c r="BH446">
        <f t="shared" si="359"/>
        <v>-8.5596717002449054</v>
      </c>
      <c r="BI446">
        <f t="shared" si="360"/>
        <v>-8.5596717002449054</v>
      </c>
      <c r="BJ446">
        <f t="shared" si="349"/>
        <v>0</v>
      </c>
      <c r="BK446">
        <f t="shared" si="361"/>
        <v>0</v>
      </c>
      <c r="BM446">
        <f t="shared" si="362"/>
        <v>-64.001271783045027</v>
      </c>
      <c r="BN446">
        <f t="shared" si="350"/>
        <v>-99.685670922943203</v>
      </c>
      <c r="BQ446" s="47">
        <f t="shared" si="363"/>
        <v>23.957918119854938</v>
      </c>
    </row>
    <row r="447" spans="1:69">
      <c r="A447">
        <f t="shared" si="372"/>
        <v>1165000</v>
      </c>
      <c r="B447">
        <f t="shared" si="351"/>
        <v>1165</v>
      </c>
      <c r="C447">
        <f t="shared" si="320"/>
        <v>5.9406986907937815</v>
      </c>
      <c r="D447">
        <f t="shared" si="321"/>
        <v>1.4016607044319918</v>
      </c>
      <c r="F447">
        <f t="shared" si="322"/>
        <v>7.0483346228355264E-6</v>
      </c>
      <c r="G447">
        <f t="shared" si="323"/>
        <v>8.0044381744256369E-4</v>
      </c>
      <c r="H447">
        <f t="shared" si="324"/>
        <v>-3.1407922061825575</v>
      </c>
      <c r="J447">
        <f t="shared" si="325"/>
        <v>15</v>
      </c>
      <c r="M447">
        <f t="shared" si="326"/>
        <v>1.2926839639364506E-3</v>
      </c>
      <c r="N447">
        <f t="shared" si="327"/>
        <v>-1.5707963250000001</v>
      </c>
      <c r="O447">
        <f t="shared" si="328"/>
        <v>567.65996912714115</v>
      </c>
      <c r="P447">
        <f t="shared" si="329"/>
        <v>1.5690347079180984</v>
      </c>
      <c r="Q447">
        <f t="shared" si="330"/>
        <v>443.02555844403383</v>
      </c>
      <c r="R447">
        <f t="shared" si="331"/>
        <v>1.5685391187623006</v>
      </c>
      <c r="S447">
        <f t="shared" si="332"/>
        <v>0.15810524453583621</v>
      </c>
      <c r="T447">
        <f t="shared" si="333"/>
        <v>-1.4120248606642642</v>
      </c>
      <c r="U447">
        <f t="shared" si="334"/>
        <v>0.10219469825892134</v>
      </c>
      <c r="V447">
        <f t="shared" si="335"/>
        <v>-1.4684229045530581</v>
      </c>
      <c r="X447">
        <f t="shared" si="352"/>
        <v>-49.632012936346356</v>
      </c>
      <c r="Y447">
        <f t="shared" si="336"/>
        <v>-174.91265704092731</v>
      </c>
      <c r="Z447">
        <f t="shared" si="353"/>
        <v>5.0873429590726857</v>
      </c>
      <c r="AC447">
        <v>1</v>
      </c>
      <c r="AD447">
        <f t="shared" si="337"/>
        <v>567.65908831747504</v>
      </c>
      <c r="AE447">
        <f t="shared" si="338"/>
        <v>-0.34072754255387505</v>
      </c>
      <c r="AF447">
        <f t="shared" si="339"/>
        <v>3.5003813801859004E-2</v>
      </c>
      <c r="AG447">
        <f t="shared" si="367"/>
        <v>166.46282011306835</v>
      </c>
      <c r="AH447">
        <f t="shared" si="368"/>
        <v>-1648.9193991955296</v>
      </c>
      <c r="AJ447">
        <f t="shared" si="340"/>
        <v>22100</v>
      </c>
      <c r="AK447">
        <f t="shared" si="341"/>
        <v>138022.18987452713</v>
      </c>
      <c r="AL447">
        <v>1</v>
      </c>
      <c r="AM447">
        <f t="shared" si="342"/>
        <v>443.02442983953847</v>
      </c>
      <c r="AN447">
        <f t="shared" si="369"/>
        <v>311.65633649682843</v>
      </c>
      <c r="AO447">
        <f t="shared" si="370"/>
        <v>-49.18090785962935</v>
      </c>
      <c r="AQ447">
        <f t="shared" si="343"/>
        <v>1.8419934347669998E-3</v>
      </c>
      <c r="AR447">
        <f t="shared" si="344"/>
        <v>-4.2918447030071096</v>
      </c>
      <c r="AT447">
        <f t="shared" si="365"/>
        <v>-7076.5993657012186</v>
      </c>
      <c r="AU447">
        <f t="shared" si="366"/>
        <v>-717.46987145767582</v>
      </c>
      <c r="AV447">
        <f t="shared" si="354"/>
        <v>-3.0405516657017486</v>
      </c>
      <c r="AW447">
        <f t="shared" si="355"/>
        <v>260.67591606583852</v>
      </c>
      <c r="AX447">
        <f t="shared" si="356"/>
        <v>-3159.7957302875097</v>
      </c>
      <c r="AY447">
        <f t="shared" si="364"/>
        <v>-1.4884850111869796</v>
      </c>
      <c r="BA447">
        <f t="shared" si="345"/>
        <v>2.243434689845512</v>
      </c>
      <c r="BB447">
        <f t="shared" si="357"/>
        <v>7.0182686202161655</v>
      </c>
      <c r="BC447">
        <f t="shared" si="358"/>
        <v>-1.552066654514769</v>
      </c>
      <c r="BD447">
        <f t="shared" si="346"/>
        <v>-268.92686892829931</v>
      </c>
      <c r="BF447">
        <f t="shared" si="347"/>
        <v>-57.021425399494696</v>
      </c>
      <c r="BG447">
        <f t="shared" si="348"/>
        <v>-188.57176411071632</v>
      </c>
      <c r="BH447">
        <f t="shared" si="359"/>
        <v>-8.5717641107163161</v>
      </c>
      <c r="BI447">
        <f t="shared" si="360"/>
        <v>-8.5717641107163161</v>
      </c>
      <c r="BJ447">
        <f t="shared" si="349"/>
        <v>0</v>
      </c>
      <c r="BK447">
        <f t="shared" si="361"/>
        <v>0</v>
      </c>
      <c r="BM447">
        <f t="shared" si="362"/>
        <v>-64.039694019710851</v>
      </c>
      <c r="BN447">
        <f t="shared" si="350"/>
        <v>-99.644895182417059</v>
      </c>
      <c r="BQ447" s="47">
        <f t="shared" si="363"/>
        <v>23.9202294205013</v>
      </c>
    </row>
    <row r="448" spans="1:69">
      <c r="A448">
        <f t="shared" si="372"/>
        <v>1170000</v>
      </c>
      <c r="B448">
        <f t="shared" si="351"/>
        <v>1170</v>
      </c>
      <c r="C448">
        <f t="shared" si="320"/>
        <v>5.9654743038977696</v>
      </c>
      <c r="D448">
        <f t="shared" si="321"/>
        <v>1.4023698859199494</v>
      </c>
      <c r="F448">
        <f t="shared" si="322"/>
        <v>6.9882207606166385E-6</v>
      </c>
      <c r="G448">
        <f t="shared" si="323"/>
        <v>7.9702307004556039E-4</v>
      </c>
      <c r="H448">
        <f t="shared" si="324"/>
        <v>-3.1407956269299548</v>
      </c>
      <c r="J448">
        <f t="shared" si="325"/>
        <v>15</v>
      </c>
      <c r="M448">
        <f t="shared" si="326"/>
        <v>1.2871596734922777E-3</v>
      </c>
      <c r="N448">
        <f t="shared" si="327"/>
        <v>-1.5707963250000001</v>
      </c>
      <c r="O448">
        <f t="shared" si="328"/>
        <v>570.09627046307821</v>
      </c>
      <c r="P448">
        <f t="shared" si="329"/>
        <v>1.5690422361884215</v>
      </c>
      <c r="Q448">
        <f t="shared" si="330"/>
        <v>444.92694602369465</v>
      </c>
      <c r="R448">
        <f t="shared" si="331"/>
        <v>1.5685487649179191</v>
      </c>
      <c r="S448">
        <f t="shared" si="332"/>
        <v>0.15744636540838916</v>
      </c>
      <c r="T448">
        <f t="shared" si="333"/>
        <v>-1.412692096966673</v>
      </c>
      <c r="U448">
        <f t="shared" si="334"/>
        <v>0.10176250098208522</v>
      </c>
      <c r="V448">
        <f t="shared" si="335"/>
        <v>-1.4688573668623308</v>
      </c>
      <c r="X448">
        <f t="shared" si="352"/>
        <v>-49.706148012014168</v>
      </c>
      <c r="Y448">
        <f t="shared" si="336"/>
        <v>-174.93435858779472</v>
      </c>
      <c r="Z448">
        <f t="shared" si="353"/>
        <v>5.0656414122052809</v>
      </c>
      <c r="AC448">
        <v>1</v>
      </c>
      <c r="AD448">
        <f t="shared" si="337"/>
        <v>570.0953934175501</v>
      </c>
      <c r="AE448">
        <f t="shared" si="338"/>
        <v>-0.34365851867008018</v>
      </c>
      <c r="AF448">
        <f t="shared" si="339"/>
        <v>3.5154044762382007E-2</v>
      </c>
      <c r="AG448">
        <f t="shared" si="367"/>
        <v>165.05780310255238</v>
      </c>
      <c r="AH448">
        <f t="shared" si="368"/>
        <v>-1642.0164592533683</v>
      </c>
      <c r="AJ448">
        <f t="shared" si="340"/>
        <v>22100</v>
      </c>
      <c r="AK448">
        <f t="shared" si="341"/>
        <v>138614.55978815173</v>
      </c>
      <c r="AL448">
        <v>1</v>
      </c>
      <c r="AM448">
        <f t="shared" si="342"/>
        <v>444.92582224228318</v>
      </c>
      <c r="AN448">
        <f t="shared" si="369"/>
        <v>311.65538971080565</v>
      </c>
      <c r="AO448">
        <f t="shared" si="370"/>
        <v>-48.970735167680175</v>
      </c>
      <c r="AQ448">
        <f t="shared" si="343"/>
        <v>1.8262835440347096E-3</v>
      </c>
      <c r="AR448">
        <f t="shared" si="344"/>
        <v>-4.2735034930412201</v>
      </c>
      <c r="AT448">
        <f t="shared" si="365"/>
        <v>-7016.8616319008252</v>
      </c>
      <c r="AU448">
        <f t="shared" si="366"/>
        <v>-708.37388575103614</v>
      </c>
      <c r="AV448">
        <f t="shared" si="354"/>
        <v>-3.0409804338623676</v>
      </c>
      <c r="AW448">
        <f t="shared" si="355"/>
        <v>261.12383776124778</v>
      </c>
      <c r="AX448">
        <f t="shared" si="356"/>
        <v>-3146.4251692143471</v>
      </c>
      <c r="AY448">
        <f t="shared" si="364"/>
        <v>-1.4879954347114899</v>
      </c>
      <c r="BA448">
        <f t="shared" si="345"/>
        <v>2.2337620216966041</v>
      </c>
      <c r="BB448">
        <f t="shared" si="357"/>
        <v>6.9807380562612469</v>
      </c>
      <c r="BC448">
        <f t="shared" si="358"/>
        <v>-1.5529849991508777</v>
      </c>
      <c r="BD448">
        <f t="shared" si="346"/>
        <v>-268.97948620014694</v>
      </c>
      <c r="BF448">
        <f t="shared" si="347"/>
        <v>-57.097204854731331</v>
      </c>
      <c r="BG448">
        <f t="shared" si="348"/>
        <v>-188.58394427073762</v>
      </c>
      <c r="BH448">
        <f t="shared" si="359"/>
        <v>-8.5839442707376179</v>
      </c>
      <c r="BI448">
        <f t="shared" si="360"/>
        <v>-8.5839442707376179</v>
      </c>
      <c r="BJ448">
        <f t="shared" si="349"/>
        <v>0</v>
      </c>
      <c r="BK448">
        <f t="shared" si="361"/>
        <v>0</v>
      </c>
      <c r="BM448">
        <f t="shared" si="362"/>
        <v>-64.077942910992576</v>
      </c>
      <c r="BN448">
        <f t="shared" si="350"/>
        <v>-99.604458070590709</v>
      </c>
      <c r="BQ448" s="47">
        <f t="shared" si="363"/>
        <v>23.882698856546384</v>
      </c>
    </row>
    <row r="449" spans="1:69">
      <c r="A449">
        <f t="shared" si="372"/>
        <v>1175000</v>
      </c>
      <c r="B449">
        <f t="shared" si="351"/>
        <v>1175</v>
      </c>
      <c r="C449">
        <f t="shared" si="320"/>
        <v>5.990252892448753</v>
      </c>
      <c r="D449">
        <f t="shared" si="321"/>
        <v>1.4030732007226578</v>
      </c>
      <c r="F449">
        <f t="shared" si="322"/>
        <v>6.9288726823451444E-6</v>
      </c>
      <c r="G449">
        <f t="shared" si="323"/>
        <v>7.9363143599263202E-4</v>
      </c>
      <c r="H449">
        <f t="shared" si="324"/>
        <v>-3.1407990185640076</v>
      </c>
      <c r="J449">
        <f t="shared" si="325"/>
        <v>15</v>
      </c>
      <c r="M449">
        <f t="shared" si="326"/>
        <v>1.2816823982859276E-3</v>
      </c>
      <c r="N449">
        <f t="shared" si="327"/>
        <v>-1.5707963250000001</v>
      </c>
      <c r="O449">
        <f t="shared" si="328"/>
        <v>572.53257183105018</v>
      </c>
      <c r="P449">
        <f t="shared" si="329"/>
        <v>1.5690497003885551</v>
      </c>
      <c r="Q449">
        <f t="shared" si="330"/>
        <v>446.82833364440296</v>
      </c>
      <c r="R449">
        <f t="shared" si="331"/>
        <v>1.568558328979009</v>
      </c>
      <c r="S449">
        <f t="shared" si="332"/>
        <v>0.15679288610604883</v>
      </c>
      <c r="T449">
        <f t="shared" si="333"/>
        <v>-1.4133537948486643</v>
      </c>
      <c r="U449">
        <f t="shared" si="334"/>
        <v>0.10133392508248749</v>
      </c>
      <c r="V449">
        <f t="shared" si="335"/>
        <v>-1.4692881697496218</v>
      </c>
      <c r="X449">
        <f t="shared" si="352"/>
        <v>-49.779969190573595</v>
      </c>
      <c r="Y449">
        <f t="shared" si="336"/>
        <v>-174.95587597996604</v>
      </c>
      <c r="Z449">
        <f t="shared" si="353"/>
        <v>5.0441240200339621</v>
      </c>
      <c r="AC449">
        <v>1</v>
      </c>
      <c r="AD449">
        <f t="shared" si="337"/>
        <v>572.53169851762505</v>
      </c>
      <c r="AE449">
        <f t="shared" si="338"/>
        <v>-0.34660204714652593</v>
      </c>
      <c r="AF449">
        <f t="shared" si="339"/>
        <v>3.5304275722905003E-2</v>
      </c>
      <c r="AG449">
        <f t="shared" si="367"/>
        <v>163.6704387128035</v>
      </c>
      <c r="AH449">
        <f t="shared" si="368"/>
        <v>-1635.1704696713016</v>
      </c>
      <c r="AJ449">
        <f t="shared" si="340"/>
        <v>22100</v>
      </c>
      <c r="AK449">
        <f t="shared" si="341"/>
        <v>139206.9297017763</v>
      </c>
      <c r="AL449">
        <v>1</v>
      </c>
      <c r="AM449">
        <f t="shared" si="342"/>
        <v>446.82721464502799</v>
      </c>
      <c r="AN449">
        <f t="shared" si="369"/>
        <v>311.65445498559751</v>
      </c>
      <c r="AO449">
        <f t="shared" si="370"/>
        <v>-48.762351152500123</v>
      </c>
      <c r="AQ449">
        <f t="shared" si="343"/>
        <v>1.8107737780400583E-3</v>
      </c>
      <c r="AR449">
        <f t="shared" si="344"/>
        <v>-4.2553183783941373</v>
      </c>
      <c r="AT449">
        <f t="shared" si="365"/>
        <v>-6957.8745812610014</v>
      </c>
      <c r="AU449">
        <f t="shared" si="366"/>
        <v>-699.43074966353026</v>
      </c>
      <c r="AV449">
        <f t="shared" si="354"/>
        <v>-3.0414055910616513</v>
      </c>
      <c r="AW449">
        <f t="shared" si="355"/>
        <v>261.56581847422046</v>
      </c>
      <c r="AX449">
        <f t="shared" si="356"/>
        <v>-3133.1667390949779</v>
      </c>
      <c r="AY449">
        <f t="shared" si="364"/>
        <v>-1.4875065701597059</v>
      </c>
      <c r="BA449">
        <f t="shared" si="345"/>
        <v>2.2241712030087957</v>
      </c>
      <c r="BB449">
        <f t="shared" si="357"/>
        <v>6.9433642702537419</v>
      </c>
      <c r="BC449">
        <f t="shared" si="358"/>
        <v>-1.5538990209019454</v>
      </c>
      <c r="BD449">
        <f t="shared" si="346"/>
        <v>-269.03185578892607</v>
      </c>
      <c r="BF449">
        <f t="shared" si="347"/>
        <v>-57.172655772696793</v>
      </c>
      <c r="BG449">
        <f t="shared" si="348"/>
        <v>-188.59621121592355</v>
      </c>
      <c r="BH449">
        <f t="shared" si="359"/>
        <v>-8.596211215923546</v>
      </c>
      <c r="BI449">
        <f t="shared" si="360"/>
        <v>-8.596211215923546</v>
      </c>
      <c r="BJ449">
        <f t="shared" si="349"/>
        <v>0</v>
      </c>
      <c r="BK449">
        <f t="shared" si="361"/>
        <v>0</v>
      </c>
      <c r="BM449">
        <f t="shared" si="362"/>
        <v>-64.116020042950538</v>
      </c>
      <c r="BN449">
        <f t="shared" si="350"/>
        <v>-99.564355426997494</v>
      </c>
      <c r="BQ449" s="47">
        <f t="shared" si="363"/>
        <v>23.845325070538877</v>
      </c>
    </row>
    <row r="450" spans="1:69">
      <c r="A450">
        <f t="shared" si="372"/>
        <v>1180000</v>
      </c>
      <c r="B450">
        <f t="shared" si="351"/>
        <v>1180</v>
      </c>
      <c r="C450">
        <f t="shared" si="320"/>
        <v>6.0150344196751844</v>
      </c>
      <c r="D450">
        <f t="shared" si="321"/>
        <v>1.4037707206510075</v>
      </c>
      <c r="F450">
        <f t="shared" si="322"/>
        <v>6.8702774360251255E-6</v>
      </c>
      <c r="G450">
        <f t="shared" si="323"/>
        <v>7.9026854518878605E-4</v>
      </c>
      <c r="H450">
        <f t="shared" si="324"/>
        <v>-3.1408023814548116</v>
      </c>
      <c r="J450">
        <f t="shared" si="325"/>
        <v>15</v>
      </c>
      <c r="M450">
        <f t="shared" si="326"/>
        <v>1.276251540666072E-3</v>
      </c>
      <c r="N450">
        <f t="shared" si="327"/>
        <v>-1.5707963250000001</v>
      </c>
      <c r="O450">
        <f t="shared" si="328"/>
        <v>574.96887323065027</v>
      </c>
      <c r="P450">
        <f t="shared" si="329"/>
        <v>1.5690571013329473</v>
      </c>
      <c r="Q450">
        <f t="shared" si="330"/>
        <v>448.72972130563676</v>
      </c>
      <c r="R450">
        <f t="shared" si="331"/>
        <v>1.568567811989138</v>
      </c>
      <c r="S450">
        <f t="shared" si="332"/>
        <v>0.15614474137719389</v>
      </c>
      <c r="T450">
        <f t="shared" si="333"/>
        <v>-1.4140100224107375</v>
      </c>
      <c r="U450">
        <f t="shared" si="334"/>
        <v>0.10090892547166308</v>
      </c>
      <c r="V450">
        <f t="shared" si="335"/>
        <v>-1.4697153590974132</v>
      </c>
      <c r="X450">
        <f t="shared" si="352"/>
        <v>-49.853479109085505</v>
      </c>
      <c r="Y450">
        <f t="shared" si="336"/>
        <v>-174.97721154847255</v>
      </c>
      <c r="Z450">
        <f t="shared" si="353"/>
        <v>5.0227884515274468</v>
      </c>
      <c r="AC450">
        <v>1</v>
      </c>
      <c r="AD450">
        <f t="shared" si="337"/>
        <v>574.96800361769999</v>
      </c>
      <c r="AE450">
        <f t="shared" si="338"/>
        <v>-0.34955812798321245</v>
      </c>
      <c r="AF450">
        <f t="shared" si="339"/>
        <v>3.5454506683428005E-2</v>
      </c>
      <c r="AG450">
        <f t="shared" si="367"/>
        <v>162.30043347741295</v>
      </c>
      <c r="AH450">
        <f t="shared" si="368"/>
        <v>-1628.3807362693863</v>
      </c>
      <c r="AJ450">
        <f t="shared" si="340"/>
        <v>22100</v>
      </c>
      <c r="AK450">
        <f t="shared" si="341"/>
        <v>139799.29961540087</v>
      </c>
      <c r="AL450">
        <v>1</v>
      </c>
      <c r="AM450">
        <f t="shared" si="342"/>
        <v>448.72860704777275</v>
      </c>
      <c r="AN450">
        <f t="shared" si="369"/>
        <v>311.65353211721902</v>
      </c>
      <c r="AO450">
        <f t="shared" si="370"/>
        <v>-48.555733077127265</v>
      </c>
      <c r="AQ450">
        <f t="shared" si="343"/>
        <v>1.7954607520359179E-3</v>
      </c>
      <c r="AR450">
        <f t="shared" si="344"/>
        <v>-4.2372873748047661</v>
      </c>
      <c r="AT450">
        <f t="shared" si="365"/>
        <v>-6899.6257311112122</v>
      </c>
      <c r="AU450">
        <f t="shared" si="366"/>
        <v>-690.63727140052572</v>
      </c>
      <c r="AV450">
        <f t="shared" si="354"/>
        <v>-3.0418271825660592</v>
      </c>
      <c r="AW450">
        <f t="shared" si="355"/>
        <v>262.00196356214116</v>
      </c>
      <c r="AX450">
        <f t="shared" si="356"/>
        <v>-3120.01904201564</v>
      </c>
      <c r="AY450">
        <f t="shared" si="364"/>
        <v>-1.4870184079733835</v>
      </c>
      <c r="BA450">
        <f t="shared" si="345"/>
        <v>2.2146611951519213</v>
      </c>
      <c r="BB450">
        <f t="shared" si="357"/>
        <v>6.9061459219681485</v>
      </c>
      <c r="BC450">
        <f t="shared" si="358"/>
        <v>-1.5548087745926757</v>
      </c>
      <c r="BD450">
        <f t="shared" si="346"/>
        <v>-269.08398083586093</v>
      </c>
      <c r="BF450">
        <f t="shared" si="347"/>
        <v>-57.247781057740482</v>
      </c>
      <c r="BG450">
        <f t="shared" si="348"/>
        <v>-188.6085639942423</v>
      </c>
      <c r="BH450">
        <f t="shared" si="359"/>
        <v>-8.6085639942423029</v>
      </c>
      <c r="BI450">
        <f t="shared" si="360"/>
        <v>-8.6085639942423029</v>
      </c>
      <c r="BJ450">
        <f t="shared" si="349"/>
        <v>0</v>
      </c>
      <c r="BK450">
        <f t="shared" si="361"/>
        <v>0</v>
      </c>
      <c r="BM450">
        <f t="shared" si="362"/>
        <v>-64.153926979708629</v>
      </c>
      <c r="BN450">
        <f t="shared" si="350"/>
        <v>-99.524583158381375</v>
      </c>
      <c r="BQ450" s="47">
        <f t="shared" si="363"/>
        <v>23.808106722253285</v>
      </c>
    </row>
    <row r="451" spans="1:69">
      <c r="A451">
        <f t="shared" si="372"/>
        <v>1185000</v>
      </c>
      <c r="B451">
        <f t="shared" si="351"/>
        <v>1185</v>
      </c>
      <c r="C451">
        <f t="shared" si="320"/>
        <v>6.0398188494046883</v>
      </c>
      <c r="D451">
        <f t="shared" si="321"/>
        <v>1.4044625163599485</v>
      </c>
      <c r="F451">
        <f t="shared" si="322"/>
        <v>6.8124223423354658E-6</v>
      </c>
      <c r="G451">
        <f t="shared" si="323"/>
        <v>7.869340337855722E-4</v>
      </c>
      <c r="H451">
        <f t="shared" si="324"/>
        <v>-3.1408057159662146</v>
      </c>
      <c r="J451">
        <f t="shared" si="325"/>
        <v>15</v>
      </c>
      <c r="M451">
        <f t="shared" si="326"/>
        <v>1.2708665130683251E-3</v>
      </c>
      <c r="N451">
        <f t="shared" si="327"/>
        <v>-1.5707963250000001</v>
      </c>
      <c r="O451">
        <f t="shared" si="328"/>
        <v>577.40517466147776</v>
      </c>
      <c r="P451">
        <f t="shared" si="329"/>
        <v>1.5690644398223008</v>
      </c>
      <c r="Q451">
        <f t="shared" si="330"/>
        <v>450.63110900688315</v>
      </c>
      <c r="R451">
        <f t="shared" si="331"/>
        <v>1.5685772149742609</v>
      </c>
      <c r="S451">
        <f t="shared" si="332"/>
        <v>0.15550186700302474</v>
      </c>
      <c r="T451">
        <f t="shared" si="333"/>
        <v>-1.4146608466508885</v>
      </c>
      <c r="U451">
        <f t="shared" si="334"/>
        <v>0.10048745780260485</v>
      </c>
      <c r="V451">
        <f t="shared" si="335"/>
        <v>-1.4701389800269611</v>
      </c>
      <c r="X451">
        <f t="shared" si="352"/>
        <v>-49.926680371648658</v>
      </c>
      <c r="Y451">
        <f t="shared" si="336"/>
        <v>-174.99836758523091</v>
      </c>
      <c r="Z451">
        <f t="shared" si="353"/>
        <v>5.0016324147690909</v>
      </c>
      <c r="AC451">
        <v>1</v>
      </c>
      <c r="AD451">
        <f t="shared" si="337"/>
        <v>577.40430871777505</v>
      </c>
      <c r="AE451">
        <f t="shared" si="338"/>
        <v>-0.3525267611801397</v>
      </c>
      <c r="AF451">
        <f t="shared" si="339"/>
        <v>3.5604737643951008E-2</v>
      </c>
      <c r="AG451">
        <f t="shared" si="367"/>
        <v>160.94749998205342</v>
      </c>
      <c r="AH451">
        <f t="shared" si="368"/>
        <v>-1621.6465759725436</v>
      </c>
      <c r="AJ451">
        <f t="shared" si="340"/>
        <v>22100</v>
      </c>
      <c r="AK451">
        <f t="shared" si="341"/>
        <v>140391.66952902547</v>
      </c>
      <c r="AL451">
        <v>1</v>
      </c>
      <c r="AM451">
        <f t="shared" si="342"/>
        <v>450.62999945051757</v>
      </c>
      <c r="AN451">
        <f t="shared" si="369"/>
        <v>311.65262090597929</v>
      </c>
      <c r="AO451">
        <f t="shared" si="370"/>
        <v>-48.350858588336258</v>
      </c>
      <c r="AQ451">
        <f t="shared" si="343"/>
        <v>1.7803411525323305E-3</v>
      </c>
      <c r="AR451">
        <f t="shared" si="344"/>
        <v>-4.2194085315016236</v>
      </c>
      <c r="AT451">
        <f t="shared" si="365"/>
        <v>-6842.1028562813308</v>
      </c>
      <c r="AU451">
        <f t="shared" si="366"/>
        <v>-681.99033868220067</v>
      </c>
      <c r="AV451">
        <f t="shared" si="354"/>
        <v>-3.0422452528912234</v>
      </c>
      <c r="AW451">
        <f t="shared" si="355"/>
        <v>262.43237604369062</v>
      </c>
      <c r="AX451">
        <f t="shared" si="356"/>
        <v>-3106.9807030921747</v>
      </c>
      <c r="AY451">
        <f t="shared" si="364"/>
        <v>-1.4865309387804482</v>
      </c>
      <c r="BA451">
        <f t="shared" si="345"/>
        <v>2.205230976986654</v>
      </c>
      <c r="BB451">
        <f t="shared" si="357"/>
        <v>6.8690816881152532</v>
      </c>
      <c r="BC451">
        <f t="shared" si="358"/>
        <v>-1.5557143141107752</v>
      </c>
      <c r="BD451">
        <f t="shared" si="346"/>
        <v>-269.13586442848964</v>
      </c>
      <c r="BF451">
        <f t="shared" si="347"/>
        <v>-57.322583575744311</v>
      </c>
      <c r="BG451">
        <f t="shared" si="348"/>
        <v>-188.62100166584847</v>
      </c>
      <c r="BH451">
        <f t="shared" si="359"/>
        <v>-8.6210016658484676</v>
      </c>
      <c r="BI451">
        <f t="shared" si="360"/>
        <v>-8.6210016658484676</v>
      </c>
      <c r="BJ451">
        <f t="shared" si="349"/>
        <v>0</v>
      </c>
      <c r="BK451">
        <f t="shared" si="361"/>
        <v>0</v>
      </c>
      <c r="BM451">
        <f t="shared" si="362"/>
        <v>-64.191665263859562</v>
      </c>
      <c r="BN451">
        <f t="shared" si="350"/>
        <v>-99.485137237358842</v>
      </c>
      <c r="BQ451" s="47">
        <f t="shared" si="363"/>
        <v>23.77104248840039</v>
      </c>
    </row>
    <row r="452" spans="1:69">
      <c r="A452">
        <f t="shared" si="372"/>
        <v>1190000</v>
      </c>
      <c r="B452">
        <f t="shared" si="351"/>
        <v>1190</v>
      </c>
      <c r="C452">
        <f t="shared" si="320"/>
        <v>6.0646061460519922</v>
      </c>
      <c r="D452">
        <f t="shared" si="321"/>
        <v>1.4051486573714249</v>
      </c>
      <c r="F452">
        <f t="shared" si="322"/>
        <v>6.7552949877700572E-6</v>
      </c>
      <c r="G452">
        <f t="shared" si="323"/>
        <v>7.8362754404984463E-4</v>
      </c>
      <c r="H452">
        <f t="shared" si="324"/>
        <v>-3.1408090224559504</v>
      </c>
      <c r="J452">
        <f t="shared" si="325"/>
        <v>15</v>
      </c>
      <c r="M452">
        <f t="shared" si="326"/>
        <v>1.265526737803332E-3</v>
      </c>
      <c r="N452">
        <f t="shared" si="327"/>
        <v>-1.5707963250000001</v>
      </c>
      <c r="O452">
        <f t="shared" si="328"/>
        <v>579.84147612313939</v>
      </c>
      <c r="P452">
        <f t="shared" si="329"/>
        <v>1.5690717166438608</v>
      </c>
      <c r="Q452">
        <f t="shared" si="330"/>
        <v>452.53249674763782</v>
      </c>
      <c r="R452">
        <f t="shared" si="331"/>
        <v>1.5685865389430895</v>
      </c>
      <c r="S452">
        <f t="shared" si="332"/>
        <v>0.15486419977750768</v>
      </c>
      <c r="T452">
        <f t="shared" si="333"/>
        <v>-1.4153063334866389</v>
      </c>
      <c r="U452">
        <f t="shared" si="334"/>
        <v>0.10006947845466725</v>
      </c>
      <c r="V452">
        <f t="shared" si="335"/>
        <v>-1.4705590769139629</v>
      </c>
      <c r="X452">
        <f t="shared" si="352"/>
        <v>-49.999575549944538</v>
      </c>
      <c r="Y452">
        <f t="shared" si="336"/>
        <v>-175.01934634385898</v>
      </c>
      <c r="Z452">
        <f t="shared" si="353"/>
        <v>4.9806536561410155</v>
      </c>
      <c r="AC452">
        <v>1</v>
      </c>
      <c r="AD452">
        <f t="shared" si="337"/>
        <v>579.84061381785011</v>
      </c>
      <c r="AE452">
        <f t="shared" si="338"/>
        <v>-0.35550794673730768</v>
      </c>
      <c r="AF452">
        <f t="shared" si="339"/>
        <v>3.5754968604474004E-2</v>
      </c>
      <c r="AG452">
        <f t="shared" si="367"/>
        <v>159.61135671584557</v>
      </c>
      <c r="AH452">
        <f t="shared" si="368"/>
        <v>-1614.9673165922143</v>
      </c>
      <c r="AJ452">
        <f t="shared" si="340"/>
        <v>22100</v>
      </c>
      <c r="AK452">
        <f t="shared" si="341"/>
        <v>140984.03944265004</v>
      </c>
      <c r="AL452">
        <v>1</v>
      </c>
      <c r="AM452">
        <f t="shared" si="342"/>
        <v>452.53139185326239</v>
      </c>
      <c r="AN452">
        <f t="shared" si="369"/>
        <v>311.65172115637375</v>
      </c>
      <c r="AO452">
        <f t="shared" si="370"/>
        <v>-48.147705708577028</v>
      </c>
      <c r="AQ452">
        <f t="shared" si="343"/>
        <v>1.7654117355038954E-3</v>
      </c>
      <c r="AR452">
        <f t="shared" si="344"/>
        <v>-4.2016799304992709</v>
      </c>
      <c r="AT452">
        <f t="shared" si="365"/>
        <v>-6785.2939827755035</v>
      </c>
      <c r="AU452">
        <f t="shared" si="366"/>
        <v>-673.48691644589542</v>
      </c>
      <c r="AV452">
        <f t="shared" si="354"/>
        <v>-3.0426598458173939</v>
      </c>
      <c r="AW452">
        <f t="shared" si="355"/>
        <v>262.85715666114271</v>
      </c>
      <c r="AX452">
        <f t="shared" si="356"/>
        <v>-3094.0503699999908</v>
      </c>
      <c r="AY452">
        <f t="shared" si="364"/>
        <v>-1.4860441533905262</v>
      </c>
      <c r="BA452">
        <f t="shared" si="345"/>
        <v>2.1958795444981494</v>
      </c>
      <c r="BB452">
        <f t="shared" si="357"/>
        <v>6.8321702620586464</v>
      </c>
      <c r="BC452">
        <f t="shared" si="358"/>
        <v>-1.5566156924268677</v>
      </c>
      <c r="BD452">
        <f t="shared" si="346"/>
        <v>-269.18750960180535</v>
      </c>
      <c r="BF452">
        <f t="shared" si="347"/>
        <v>-57.397066154802317</v>
      </c>
      <c r="BG452">
        <f t="shared" si="348"/>
        <v>-188.63352330291792</v>
      </c>
      <c r="BH452">
        <f t="shared" si="359"/>
        <v>-8.6335233029179221</v>
      </c>
      <c r="BI452">
        <f t="shared" si="360"/>
        <v>-8.6335233029179221</v>
      </c>
      <c r="BJ452">
        <f t="shared" si="349"/>
        <v>0</v>
      </c>
      <c r="BK452">
        <f t="shared" si="361"/>
        <v>0</v>
      </c>
      <c r="BM452">
        <f t="shared" si="362"/>
        <v>-64.229236416860971</v>
      </c>
      <c r="BN452">
        <f t="shared" si="350"/>
        <v>-99.446013701112562</v>
      </c>
      <c r="BQ452" s="47">
        <f t="shared" si="363"/>
        <v>23.734131062343785</v>
      </c>
    </row>
    <row r="453" spans="1:69">
      <c r="A453">
        <f t="shared" si="372"/>
        <v>1195000</v>
      </c>
      <c r="B453">
        <f t="shared" si="351"/>
        <v>1195</v>
      </c>
      <c r="C453">
        <f t="shared" si="320"/>
        <v>6.0893962746071537</v>
      </c>
      <c r="D453">
        <f t="shared" si="321"/>
        <v>1.4058292120967717</v>
      </c>
      <c r="F453">
        <f t="shared" si="322"/>
        <v>6.6988832179785263E-6</v>
      </c>
      <c r="G453">
        <f t="shared" si="323"/>
        <v>7.8034872423582381E-4</v>
      </c>
      <c r="H453">
        <f t="shared" si="324"/>
        <v>-3.1408123012757643</v>
      </c>
      <c r="J453">
        <f t="shared" si="325"/>
        <v>15</v>
      </c>
      <c r="M453">
        <f t="shared" si="326"/>
        <v>1.2602316468501801E-3</v>
      </c>
      <c r="N453">
        <f t="shared" si="327"/>
        <v>-1.5707963250000001</v>
      </c>
      <c r="O453">
        <f t="shared" si="328"/>
        <v>582.27777761524771</v>
      </c>
      <c r="P453">
        <f t="shared" si="329"/>
        <v>1.5690789325716969</v>
      </c>
      <c r="Q453">
        <f t="shared" si="330"/>
        <v>454.43388452740487</v>
      </c>
      <c r="R453">
        <f t="shared" si="331"/>
        <v>1.5685957848874539</v>
      </c>
      <c r="S453">
        <f t="shared" si="332"/>
        <v>0.15423167748777714</v>
      </c>
      <c r="T453">
        <f t="shared" si="333"/>
        <v>-1.4159465477765394</v>
      </c>
      <c r="U453">
        <f t="shared" si="334"/>
        <v>9.9654944518835442E-2</v>
      </c>
      <c r="V453">
        <f t="shared" si="335"/>
        <v>-1.4709756934038398</v>
      </c>
      <c r="X453">
        <f t="shared" si="352"/>
        <v>-50.072167183770951</v>
      </c>
      <c r="Y453">
        <f t="shared" si="336"/>
        <v>-175.04015004047065</v>
      </c>
      <c r="Z453">
        <f t="shared" si="353"/>
        <v>4.9598499595293504</v>
      </c>
      <c r="AC453">
        <v>1</v>
      </c>
      <c r="AD453">
        <f t="shared" si="337"/>
        <v>582.27691891792506</v>
      </c>
      <c r="AE453">
        <f t="shared" si="338"/>
        <v>-0.35850168465471632</v>
      </c>
      <c r="AF453">
        <f t="shared" si="339"/>
        <v>3.5905199564996999E-2</v>
      </c>
      <c r="AG453">
        <f t="shared" si="367"/>
        <v>158.29172792695044</v>
      </c>
      <c r="AH453">
        <f t="shared" si="368"/>
        <v>-1608.3422966130663</v>
      </c>
      <c r="AJ453">
        <f t="shared" si="340"/>
        <v>22100</v>
      </c>
      <c r="AK453">
        <f t="shared" si="341"/>
        <v>141576.40935627464</v>
      </c>
      <c r="AL453">
        <v>1</v>
      </c>
      <c r="AM453">
        <f t="shared" si="342"/>
        <v>454.43278425600715</v>
      </c>
      <c r="AN453">
        <f t="shared" si="369"/>
        <v>311.65083267697941</v>
      </c>
      <c r="AO453">
        <f t="shared" si="370"/>
        <v>-47.946252828115583</v>
      </c>
      <c r="AQ453">
        <f t="shared" si="343"/>
        <v>1.7506693246495467E-3</v>
      </c>
      <c r="AR453">
        <f t="shared" si="344"/>
        <v>-4.1840996859124164</v>
      </c>
      <c r="AT453">
        <f t="shared" si="365"/>
        <v>-6729.1873816259576</v>
      </c>
      <c r="AU453">
        <f t="shared" si="366"/>
        <v>-665.12404462390396</v>
      </c>
      <c r="AV453">
        <f t="shared" si="354"/>
        <v>-3.0430710044045117</v>
      </c>
      <c r="AW453">
        <f t="shared" si="355"/>
        <v>263.27640394072841</v>
      </c>
      <c r="AX453">
        <f t="shared" si="356"/>
        <v>-3081.2267125154358</v>
      </c>
      <c r="AY453">
        <f t="shared" si="364"/>
        <v>-1.485558042790601</v>
      </c>
      <c r="BA453">
        <f t="shared" si="345"/>
        <v>2.1866059104388476</v>
      </c>
      <c r="BB453">
        <f t="shared" si="357"/>
        <v>6.7954103535371191</v>
      </c>
      <c r="BC453">
        <f t="shared" si="358"/>
        <v>-1.5575129616139107</v>
      </c>
      <c r="BD453">
        <f t="shared" si="346"/>
        <v>-269.23891933936881</v>
      </c>
      <c r="BF453">
        <f t="shared" si="347"/>
        <v>-57.471231585885143</v>
      </c>
      <c r="BG453">
        <f t="shared" si="348"/>
        <v>-188.64612798948409</v>
      </c>
      <c r="BH453">
        <f t="shared" si="359"/>
        <v>-8.6461279894840857</v>
      </c>
      <c r="BI453">
        <f t="shared" si="360"/>
        <v>-8.6461279894840857</v>
      </c>
      <c r="BJ453">
        <f t="shared" si="349"/>
        <v>0</v>
      </c>
      <c r="BK453">
        <f t="shared" si="361"/>
        <v>0</v>
      </c>
      <c r="BM453">
        <f t="shared" si="362"/>
        <v>-64.266641939422271</v>
      </c>
      <c r="BN453">
        <f t="shared" si="350"/>
        <v>-99.407208650115294</v>
      </c>
      <c r="BQ453" s="47">
        <f t="shared" si="363"/>
        <v>23.697371153822257</v>
      </c>
    </row>
    <row r="454" spans="1:69">
      <c r="A454">
        <f t="shared" si="372"/>
        <v>1200000</v>
      </c>
      <c r="B454">
        <f t="shared" si="351"/>
        <v>1200</v>
      </c>
      <c r="C454">
        <f t="shared" si="320"/>
        <v>6.1141892006240557</v>
      </c>
      <c r="D454">
        <f t="shared" si="321"/>
        <v>1.4065042478585854</v>
      </c>
      <c r="F454">
        <f t="shared" si="322"/>
        <v>6.6431751313007703E-6</v>
      </c>
      <c r="G454">
        <f t="shared" si="323"/>
        <v>7.7709722846035353E-4</v>
      </c>
      <c r="H454">
        <f t="shared" si="324"/>
        <v>-3.14081555277154</v>
      </c>
      <c r="J454">
        <f t="shared" si="325"/>
        <v>15</v>
      </c>
      <c r="M454">
        <f t="shared" si="326"/>
        <v>1.2549806816549709E-3</v>
      </c>
      <c r="N454">
        <f t="shared" si="327"/>
        <v>-1.5707963250000001</v>
      </c>
      <c r="O454">
        <f t="shared" si="328"/>
        <v>584.71407913742246</v>
      </c>
      <c r="P454">
        <f t="shared" si="329"/>
        <v>1.5690860883669777</v>
      </c>
      <c r="Q454">
        <f t="shared" si="330"/>
        <v>456.33527234569652</v>
      </c>
      <c r="R454">
        <f t="shared" si="331"/>
        <v>1.5686049537826534</v>
      </c>
      <c r="S454">
        <f t="shared" si="332"/>
        <v>0.15360423889498442</v>
      </c>
      <c r="T454">
        <f t="shared" si="333"/>
        <v>-1.4165815533411714</v>
      </c>
      <c r="U454">
        <f t="shared" si="334"/>
        <v>9.9243813783349136E-2</v>
      </c>
      <c r="V454">
        <f t="shared" si="335"/>
        <v>-1.4713888724266475</v>
      </c>
      <c r="X454">
        <f t="shared" si="352"/>
        <v>-50.144457781564789</v>
      </c>
      <c r="Y454">
        <f t="shared" si="336"/>
        <v>-175.06078085445151</v>
      </c>
      <c r="Z454">
        <f t="shared" si="353"/>
        <v>4.939219145548492</v>
      </c>
      <c r="AC454">
        <v>1</v>
      </c>
      <c r="AD454">
        <f t="shared" si="337"/>
        <v>584.71322401800001</v>
      </c>
      <c r="AE454">
        <f t="shared" si="338"/>
        <v>-0.36150797493236569</v>
      </c>
      <c r="AF454">
        <f t="shared" si="339"/>
        <v>3.6055430525520002E-2</v>
      </c>
      <c r="AG454">
        <f t="shared" si="367"/>
        <v>156.98834348225208</v>
      </c>
      <c r="AH454">
        <f t="shared" si="368"/>
        <v>-1601.7708649846352</v>
      </c>
      <c r="AJ454">
        <f t="shared" si="340"/>
        <v>22100</v>
      </c>
      <c r="AK454">
        <f t="shared" si="341"/>
        <v>142168.77926989918</v>
      </c>
      <c r="AL454">
        <v>1</v>
      </c>
      <c r="AM454">
        <f t="shared" si="342"/>
        <v>456.33417665875197</v>
      </c>
      <c r="AN454">
        <f t="shared" si="369"/>
        <v>311.64995528035257</v>
      </c>
      <c r="AO454">
        <f t="shared" si="370"/>
        <v>-47.746478697371465</v>
      </c>
      <c r="AQ454">
        <f t="shared" si="343"/>
        <v>1.7361108097029845E-3</v>
      </c>
      <c r="AR454">
        <f t="shared" si="344"/>
        <v>-4.1666659432871622</v>
      </c>
      <c r="AT454">
        <f t="shared" si="365"/>
        <v>-6673.7715629209815</v>
      </c>
      <c r="AU454">
        <f t="shared" si="366"/>
        <v>-656.89883599393409</v>
      </c>
      <c r="AV454">
        <f t="shared" si="354"/>
        <v>-3.0434787710069089</v>
      </c>
      <c r="AW454">
        <f t="shared" si="355"/>
        <v>263.69021425113357</v>
      </c>
      <c r="AX454">
        <f t="shared" si="356"/>
        <v>-3068.5084220682584</v>
      </c>
      <c r="AY454">
        <f t="shared" si="364"/>
        <v>-1.4850725981407973</v>
      </c>
      <c r="BA454">
        <f t="shared" si="345"/>
        <v>2.1774091039801888</v>
      </c>
      <c r="BB454">
        <f t="shared" si="357"/>
        <v>6.7588006883928644</v>
      </c>
      <c r="BC454">
        <f t="shared" si="358"/>
        <v>-1.5584061728661116</v>
      </c>
      <c r="BD454">
        <f t="shared" si="346"/>
        <v>-269.29009657439201</v>
      </c>
      <c r="BF454">
        <f t="shared" si="347"/>
        <v>-57.545082623489954</v>
      </c>
      <c r="BG454">
        <f t="shared" si="348"/>
        <v>-188.65881482127602</v>
      </c>
      <c r="BH454">
        <f t="shared" si="359"/>
        <v>-8.6588148212760245</v>
      </c>
      <c r="BI454">
        <f t="shared" si="360"/>
        <v>-8.6588148212760245</v>
      </c>
      <c r="BJ454">
        <f t="shared" si="349"/>
        <v>0</v>
      </c>
      <c r="BK454">
        <f t="shared" si="361"/>
        <v>0</v>
      </c>
      <c r="BM454">
        <f t="shared" si="362"/>
        <v>-64.303883311882814</v>
      </c>
      <c r="BN454">
        <f t="shared" si="350"/>
        <v>-99.368718246884058</v>
      </c>
      <c r="BQ454" s="47">
        <f t="shared" si="363"/>
        <v>23.660761488677998</v>
      </c>
    </row>
    <row r="455" spans="1:69">
      <c r="A455">
        <f t="shared" si="372"/>
        <v>1205000</v>
      </c>
      <c r="B455">
        <f t="shared" si="351"/>
        <v>1205</v>
      </c>
      <c r="C455">
        <f t="shared" si="320"/>
        <v>6.1389848902091799</v>
      </c>
      <c r="D455">
        <f t="shared" si="321"/>
        <v>1.4071738309120878</v>
      </c>
      <c r="F455">
        <f t="shared" si="322"/>
        <v>6.5881590724889164E-6</v>
      </c>
      <c r="G455">
        <f t="shared" si="323"/>
        <v>7.738727165812648E-4</v>
      </c>
      <c r="H455">
        <f t="shared" si="324"/>
        <v>-3.1408187772834189</v>
      </c>
      <c r="J455">
        <f t="shared" si="325"/>
        <v>15</v>
      </c>
      <c r="M455">
        <f t="shared" si="326"/>
        <v>1.2497732929344107E-3</v>
      </c>
      <c r="N455">
        <f t="shared" si="327"/>
        <v>-1.5707963250000001</v>
      </c>
      <c r="O455">
        <f t="shared" si="328"/>
        <v>587.15038068928925</v>
      </c>
      <c r="P455">
        <f t="shared" si="329"/>
        <v>1.5690931847782381</v>
      </c>
      <c r="Q455">
        <f t="shared" si="330"/>
        <v>458.23666020203331</v>
      </c>
      <c r="R455">
        <f t="shared" si="331"/>
        <v>1.5686140465878</v>
      </c>
      <c r="S455">
        <f t="shared" si="332"/>
        <v>0.15298182371558017</v>
      </c>
      <c r="T455">
        <f t="shared" si="333"/>
        <v>-1.4172114129836517</v>
      </c>
      <c r="U455">
        <f t="shared" si="334"/>
        <v>9.8836044719672042E-2</v>
      </c>
      <c r="V455">
        <f t="shared" si="335"/>
        <v>-1.4717986562116225</v>
      </c>
      <c r="X455">
        <f t="shared" si="352"/>
        <v>-50.216449820914121</v>
      </c>
      <c r="Y455">
        <f t="shared" si="336"/>
        <v>-175.08124092921534</v>
      </c>
      <c r="Z455">
        <f t="shared" si="353"/>
        <v>4.9187590707846596</v>
      </c>
      <c r="AC455">
        <v>1</v>
      </c>
      <c r="AD455">
        <f t="shared" si="337"/>
        <v>587.14952911807507</v>
      </c>
      <c r="AE455">
        <f t="shared" si="338"/>
        <v>-0.36452681757025579</v>
      </c>
      <c r="AF455">
        <f t="shared" si="339"/>
        <v>3.6205661486043005E-2</v>
      </c>
      <c r="AG455">
        <f t="shared" si="367"/>
        <v>155.70093873099844</v>
      </c>
      <c r="AH455">
        <f t="shared" si="368"/>
        <v>-1595.2523809177517</v>
      </c>
      <c r="AJ455">
        <f t="shared" si="340"/>
        <v>22100</v>
      </c>
      <c r="AK455">
        <f t="shared" si="341"/>
        <v>142761.14918352378</v>
      </c>
      <c r="AL455">
        <v>1</v>
      </c>
      <c r="AM455">
        <f t="shared" si="342"/>
        <v>458.23556906149679</v>
      </c>
      <c r="AN455">
        <f t="shared" si="369"/>
        <v>311.64908878293079</v>
      </c>
      <c r="AO455">
        <f t="shared" si="370"/>
        <v>-47.548362419445873</v>
      </c>
      <c r="AQ455">
        <f t="shared" si="343"/>
        <v>1.7217331447920757E-3</v>
      </c>
      <c r="AR455">
        <f t="shared" si="344"/>
        <v>-4.1493768789489023</v>
      </c>
      <c r="AT455">
        <f t="shared" si="365"/>
        <v>-6619.0352700014173</v>
      </c>
      <c r="AU455">
        <f t="shared" si="366"/>
        <v>-648.80847409957914</v>
      </c>
      <c r="AV455">
        <f t="shared" si="354"/>
        <v>-3.0438831872876553</v>
      </c>
      <c r="AW455">
        <f t="shared" si="355"/>
        <v>264.09868186019889</v>
      </c>
      <c r="AX455">
        <f t="shared" si="356"/>
        <v>-3055.8942113048547</v>
      </c>
      <c r="AY455">
        <f t="shared" si="364"/>
        <v>-1.484587810770281</v>
      </c>
      <c r="BA455">
        <f t="shared" si="345"/>
        <v>2.1682881703729411</v>
      </c>
      <c r="BB455">
        <f t="shared" si="357"/>
        <v>6.7223400083051814</v>
      </c>
      <c r="BC455">
        <f t="shared" si="358"/>
        <v>-1.5592953765173743</v>
      </c>
      <c r="BD455">
        <f t="shared" si="346"/>
        <v>-269.34104419079517</v>
      </c>
      <c r="BF455">
        <f t="shared" si="347"/>
        <v>-57.618621986276267</v>
      </c>
      <c r="BG455">
        <f t="shared" si="348"/>
        <v>-188.67158290555807</v>
      </c>
      <c r="BH455">
        <f t="shared" si="359"/>
        <v>-8.6715829055580684</v>
      </c>
      <c r="BI455">
        <f t="shared" si="360"/>
        <v>-8.6715829055580684</v>
      </c>
      <c r="BJ455">
        <f t="shared" si="349"/>
        <v>0</v>
      </c>
      <c r="BK455">
        <f t="shared" si="361"/>
        <v>0</v>
      </c>
      <c r="BM455">
        <f t="shared" si="362"/>
        <v>-64.340961994581448</v>
      </c>
      <c r="BN455">
        <f t="shared" si="350"/>
        <v>-99.330538714762895</v>
      </c>
      <c r="BQ455" s="47">
        <f t="shared" si="363"/>
        <v>23.624300808590316</v>
      </c>
    </row>
    <row r="456" spans="1:69">
      <c r="A456">
        <f t="shared" si="372"/>
        <v>1210000</v>
      </c>
      <c r="B456">
        <f t="shared" si="351"/>
        <v>1210</v>
      </c>
      <c r="C456">
        <f t="shared" si="320"/>
        <v>6.1637833100106514</v>
      </c>
      <c r="D456">
        <f t="shared" si="321"/>
        <v>1.4078380264659929</v>
      </c>
      <c r="F456">
        <f t="shared" si="322"/>
        <v>6.5338236266104863E-6</v>
      </c>
      <c r="G456">
        <f t="shared" si="323"/>
        <v>7.706748540787571E-4</v>
      </c>
      <c r="H456">
        <f t="shared" si="324"/>
        <v>-3.1408219751459217</v>
      </c>
      <c r="J456">
        <f t="shared" si="325"/>
        <v>15</v>
      </c>
      <c r="M456">
        <f t="shared" si="326"/>
        <v>1.2446089404842685E-3</v>
      </c>
      <c r="N456">
        <f t="shared" si="327"/>
        <v>-1.5707963250000001</v>
      </c>
      <c r="O456">
        <f t="shared" si="328"/>
        <v>589.58668227048008</v>
      </c>
      <c r="P456">
        <f t="shared" si="329"/>
        <v>1.5691002225416411</v>
      </c>
      <c r="Q456">
        <f t="shared" si="330"/>
        <v>460.13804809594359</v>
      </c>
      <c r="R456">
        <f t="shared" si="331"/>
        <v>1.5686230642461532</v>
      </c>
      <c r="S456">
        <f t="shared" si="332"/>
        <v>0.15236437260302088</v>
      </c>
      <c r="T456">
        <f t="shared" si="333"/>
        <v>-1.417836188509658</v>
      </c>
      <c r="U456">
        <f t="shared" si="334"/>
        <v>9.8431596468796595E-2</v>
      </c>
      <c r="V456">
        <f t="shared" si="335"/>
        <v>-1.4722050863013791</v>
      </c>
      <c r="X456">
        <f t="shared" si="352"/>
        <v>-50.288145749059971</v>
      </c>
      <c r="Y456">
        <f t="shared" si="336"/>
        <v>-175.10153237294176</v>
      </c>
      <c r="Z456">
        <f t="shared" si="353"/>
        <v>4.8984676270582383</v>
      </c>
      <c r="AC456">
        <v>1</v>
      </c>
      <c r="AD456">
        <f t="shared" si="337"/>
        <v>589.58583421815001</v>
      </c>
      <c r="AE456">
        <f t="shared" si="338"/>
        <v>-0.36755821256838656</v>
      </c>
      <c r="AF456">
        <f t="shared" si="339"/>
        <v>3.6355892446566E-2</v>
      </c>
      <c r="AG456">
        <f t="shared" si="367"/>
        <v>154.4292543722745</v>
      </c>
      <c r="AH456">
        <f t="shared" si="368"/>
        <v>-1588.7862136856393</v>
      </c>
      <c r="AJ456">
        <f t="shared" si="340"/>
        <v>22100</v>
      </c>
      <c r="AK456">
        <f t="shared" si="341"/>
        <v>143353.51909714838</v>
      </c>
      <c r="AL456">
        <v>1</v>
      </c>
      <c r="AM456">
        <f t="shared" si="342"/>
        <v>460.13696146424161</v>
      </c>
      <c r="AN456">
        <f t="shared" si="369"/>
        <v>311.64823300493595</v>
      </c>
      <c r="AO456">
        <f t="shared" si="370"/>
        <v>-47.351883442835074</v>
      </c>
      <c r="AQ456">
        <f t="shared" si="343"/>
        <v>1.7075333468456139E-3</v>
      </c>
      <c r="AR456">
        <f t="shared" si="344"/>
        <v>-4.132230699366386</v>
      </c>
      <c r="AT456">
        <f t="shared" si="365"/>
        <v>-6564.9674738203121</v>
      </c>
      <c r="AU456">
        <f t="shared" si="366"/>
        <v>-640.85021123825027</v>
      </c>
      <c r="AV456">
        <f t="shared" si="354"/>
        <v>-3.044284294232555</v>
      </c>
      <c r="AW456">
        <f t="shared" si="355"/>
        <v>264.50189898988151</v>
      </c>
      <c r="AX456">
        <f t="shared" si="356"/>
        <v>-3043.3828136619863</v>
      </c>
      <c r="AY456">
        <f t="shared" si="364"/>
        <v>-1.4841036721732792</v>
      </c>
      <c r="BA456">
        <f t="shared" si="345"/>
        <v>2.1592421706159386</v>
      </c>
      <c r="BB456">
        <f t="shared" si="357"/>
        <v>6.6860270705297467</v>
      </c>
      <c r="BC456">
        <f t="shared" si="358"/>
        <v>-1.5601806220592758</v>
      </c>
      <c r="BD456">
        <f t="shared" si="346"/>
        <v>-269.39176502423686</v>
      </c>
      <c r="BF456">
        <f t="shared" si="347"/>
        <v>-57.691852357687843</v>
      </c>
      <c r="BG456">
        <f t="shared" si="348"/>
        <v>-188.68443136097122</v>
      </c>
      <c r="BH456">
        <f t="shared" si="359"/>
        <v>-8.6844313609712174</v>
      </c>
      <c r="BI456">
        <f t="shared" si="360"/>
        <v>-8.6844313609712174</v>
      </c>
      <c r="BJ456">
        <f t="shared" si="349"/>
        <v>0</v>
      </c>
      <c r="BK456">
        <f t="shared" si="361"/>
        <v>0</v>
      </c>
      <c r="BM456">
        <f t="shared" si="362"/>
        <v>-64.377879428217582</v>
      </c>
      <c r="BN456">
        <f t="shared" si="350"/>
        <v>-99.292666336734385</v>
      </c>
      <c r="BQ456" s="47">
        <f t="shared" si="363"/>
        <v>23.587987870814882</v>
      </c>
    </row>
    <row r="457" spans="1:69">
      <c r="A457">
        <f t="shared" si="372"/>
        <v>1215000</v>
      </c>
      <c r="B457">
        <f t="shared" si="351"/>
        <v>1215</v>
      </c>
      <c r="C457">
        <f t="shared" ref="C457:C520" si="373">SQRT((A457/Fesr)^2+1)</f>
        <v>6.1885844272075303</v>
      </c>
      <c r="D457">
        <f t="shared" ref="D457:D520" si="374">ATAN(A457/Fesr)</f>
        <v>1.4084968987028899</v>
      </c>
      <c r="F457">
        <f t="shared" ref="F457:F520" si="375">(Ro/(Ro+Rdcr))/SQRT((A457/(Q*Fo))^2+(1-(A457^2/Fo^2))^2)</f>
        <v>6.4801576131268446E-6</v>
      </c>
      <c r="G457">
        <f t="shared" ref="G457:G520" si="376">-ATAN(A457*Fo/(Q*(Fo^2-A457^2)))</f>
        <v>7.675033119397054E-4</v>
      </c>
      <c r="H457">
        <f t="shared" ref="H457:H520" si="377">IF(G457&gt;0,G457-Pi,G457)</f>
        <v>-3.1408251466880603</v>
      </c>
      <c r="J457">
        <f t="shared" ref="J457:J520" si="378">Vin/Vramp</f>
        <v>15</v>
      </c>
      <c r="M457">
        <f t="shared" ref="M457:M520" si="379">1/(2*Pi*_Rfb1*(Cc1ea_u+Cc2ea_u)*A457)</f>
        <v>1.239487092992564E-3</v>
      </c>
      <c r="N457">
        <f t="shared" ref="N457:N520" si="380">-Pi/2</f>
        <v>-1.5707963250000001</v>
      </c>
      <c r="O457">
        <f t="shared" ref="O457:O520" si="381">SQRT(1+(A457/Fz1_u)^2)</f>
        <v>592.02298388063275</v>
      </c>
      <c r="P457">
        <f t="shared" ref="P457:P520" si="382">ATAN2(Fz1_u,A457)</f>
        <v>1.5691072023812314</v>
      </c>
      <c r="Q457">
        <f t="shared" ref="Q457:Q520" si="383">SQRT(1+(A457/Fz2_u)^2)</f>
        <v>462.03943602696347</v>
      </c>
      <c r="R457">
        <f t="shared" ref="R457:R520" si="384">ATAN2(Fz2_u,A457)</f>
        <v>1.5686320076854452</v>
      </c>
      <c r="S457">
        <f t="shared" ref="S457:S520" si="385">1/SQRT(1+(A457/Fp1_u)^2)</f>
        <v>0.15175182712988705</v>
      </c>
      <c r="T457">
        <f t="shared" ref="T457:T520" si="386">-ATAN2(Fp1_u,A457)</f>
        <v>-1.4184559407469892</v>
      </c>
      <c r="U457">
        <f t="shared" ref="U457:U520" si="387">1/SQRT(1+(A457/Fp2_u)^2)</f>
        <v>9.8030428827875188E-2</v>
      </c>
      <c r="V457">
        <f t="shared" ref="V457:V520" si="388">-ATAN2(Fp2_u,A457)</f>
        <v>-1.4726082035657593</v>
      </c>
      <c r="X457">
        <f t="shared" si="352"/>
        <v>-50.359547983387969</v>
      </c>
      <c r="Y457">
        <f t="shared" ref="Y457:Y520" si="389">(180/Pi)*(D457+H457+N457+P457+R457+T457+V457)</f>
        <v>-175.12165725929603</v>
      </c>
      <c r="Z457">
        <f t="shared" si="353"/>
        <v>4.878342740703971</v>
      </c>
      <c r="AC457">
        <v>1</v>
      </c>
      <c r="AD457">
        <f t="shared" ref="AD457:AD520" si="390">Rcea1_u*Cc1ea_u*A457*2*Pi</f>
        <v>592.02213931822507</v>
      </c>
      <c r="AE457">
        <f t="shared" ref="AE457:AE520" si="391">-Rcea1_u*Cc1ea_u*Cc2ea_u*(A457*2*Pi)^2</f>
        <v>-0.37060215992675805</v>
      </c>
      <c r="AF457">
        <f t="shared" ref="AF457:AF520" si="392">(Cc2ea_u+Cc1ea_u)*A457*2*Pi</f>
        <v>3.6506123407089003E-2</v>
      </c>
      <c r="AG457">
        <f t="shared" si="367"/>
        <v>153.17303632618516</v>
      </c>
      <c r="AH457">
        <f t="shared" si="368"/>
        <v>-1582.3717424295605</v>
      </c>
      <c r="AJ457">
        <f t="shared" ref="AJ457:AJ520" si="393">_Rfb1</f>
        <v>22100</v>
      </c>
      <c r="AK457">
        <f t="shared" ref="AK457:AK520" si="394">_Rfb1*Rcea2_u*Cc3ea_u*A457*2*Pi</f>
        <v>143945.88901077295</v>
      </c>
      <c r="AL457">
        <v>1</v>
      </c>
      <c r="AM457">
        <f t="shared" ref="AM457:AM520" si="395">(_Rfb1+Rcea2_u)*Cc3ea_u*A457*2*Pi</f>
        <v>462.03835386698637</v>
      </c>
      <c r="AN457">
        <f t="shared" si="369"/>
        <v>311.64738777028157</v>
      </c>
      <c r="AO457">
        <f t="shared" si="370"/>
        <v>-47.157021554323698</v>
      </c>
      <c r="AQ457">
        <f t="shared" ref="AQ457:AQ520" si="396">Eadcg/(1+(Eadcg*A457/GBP)^2)</f>
        <v>1.6935084940458782E-3</v>
      </c>
      <c r="AR457">
        <f t="shared" ref="AR457:AR520" si="397">-(A457*Eadcg*Eadcg/GBP)/(1+(Eadcg*A457/GBP)^2)</f>
        <v>-4.1152256405314835</v>
      </c>
      <c r="AT457">
        <f t="shared" si="365"/>
        <v>-6511.5573674605312</v>
      </c>
      <c r="AU457">
        <f t="shared" si="366"/>
        <v>-633.02136651412013</v>
      </c>
      <c r="AV457">
        <f t="shared" si="354"/>
        <v>-3.0446821321638069</v>
      </c>
      <c r="AW457">
        <f t="shared" si="355"/>
        <v>264.89995586954296</v>
      </c>
      <c r="AX457">
        <f t="shared" si="356"/>
        <v>-3030.9729829506914</v>
      </c>
      <c r="AY457">
        <f t="shared" si="364"/>
        <v>-1.4836201740052077</v>
      </c>
      <c r="BA457">
        <f t="shared" ref="BA457:BA520" si="398">SQRT(AT457^2+AU457^2)/SQRT(AW457^2+AX457^2)</f>
        <v>2.1502701811329592</v>
      </c>
      <c r="BB457">
        <f t="shared" si="357"/>
        <v>6.6498606476431537</v>
      </c>
      <c r="BC457">
        <f t="shared" si="358"/>
        <v>-1.5610619581585992</v>
      </c>
      <c r="BD457">
        <f t="shared" ref="BD457:BD520" si="399">BC457*180/Pi-180</f>
        <v>-269.44226186311835</v>
      </c>
      <c r="BF457">
        <f t="shared" ref="BF457:BF520" si="400">20*LOG(BA457*J457*F457*C457)</f>
        <v>-57.764776386561103</v>
      </c>
      <c r="BG457">
        <f t="shared" ref="BG457:BG520" si="401">(180/Pi)*(D457+H457+BC457)</f>
        <v>-188.69735931737631</v>
      </c>
      <c r="BH457">
        <f t="shared" si="359"/>
        <v>-8.6973593173763106</v>
      </c>
      <c r="BI457">
        <f t="shared" si="360"/>
        <v>-8.6973593173763106</v>
      </c>
      <c r="BJ457">
        <f t="shared" ref="BJ457:BJ520" si="402">SUM((BF458&lt;0)*(BF457&gt;0))*A457</f>
        <v>0</v>
      </c>
      <c r="BK457">
        <f t="shared" si="361"/>
        <v>0</v>
      </c>
      <c r="BM457">
        <f t="shared" si="362"/>
        <v>-64.414637034204262</v>
      </c>
      <c r="BN457">
        <f t="shared" ref="BN457:BN520" si="403">(H457+D457)*180/Pi</f>
        <v>-99.255097454257992</v>
      </c>
      <c r="BQ457" s="47">
        <f t="shared" si="363"/>
        <v>23.55182144792829</v>
      </c>
    </row>
    <row r="458" spans="1:69">
      <c r="A458">
        <f t="shared" si="372"/>
        <v>1220000</v>
      </c>
      <c r="B458">
        <f t="shared" ref="B458:B521" si="404">A458/1000</f>
        <v>1220</v>
      </c>
      <c r="C458">
        <f t="shared" si="373"/>
        <v>6.2133882094993629</v>
      </c>
      <c r="D458">
        <f t="shared" si="374"/>
        <v>1.4091505107991584</v>
      </c>
      <c r="F458">
        <f t="shared" si="375"/>
        <v>6.4271500801411693E-6</v>
      </c>
      <c r="G458">
        <f t="shared" si="376"/>
        <v>7.6435776654481538E-4</v>
      </c>
      <c r="H458">
        <f t="shared" si="377"/>
        <v>-3.1408282922334556</v>
      </c>
      <c r="J458">
        <f t="shared" si="378"/>
        <v>15</v>
      </c>
      <c r="M458">
        <f t="shared" si="379"/>
        <v>1.2344072278573485E-3</v>
      </c>
      <c r="N458">
        <f t="shared" si="380"/>
        <v>-1.5707963250000001</v>
      </c>
      <c r="O458">
        <f t="shared" si="381"/>
        <v>594.4592855193913</v>
      </c>
      <c r="P458">
        <f t="shared" si="382"/>
        <v>1.5691141250091842</v>
      </c>
      <c r="Q458">
        <f t="shared" si="383"/>
        <v>463.94082399463673</v>
      </c>
      <c r="R458">
        <f t="shared" si="384"/>
        <v>1.5686408778181997</v>
      </c>
      <c r="S458">
        <f t="shared" si="385"/>
        <v>0.15114412977040365</v>
      </c>
      <c r="T458">
        <f t="shared" si="386"/>
        <v>-1.4190707295646681</v>
      </c>
      <c r="U458">
        <f t="shared" si="387"/>
        <v>9.7632502237168753E-2</v>
      </c>
      <c r="V458">
        <f t="shared" si="388"/>
        <v>-1.4730080482153549</v>
      </c>
      <c r="X458">
        <f t="shared" ref="X458:X521" si="405">20*LOG(C458*J458*O458*Q458*F458*M458*S458*U458)</f>
        <v>-50.430658911910065</v>
      </c>
      <c r="Y458">
        <f t="shared" si="389"/>
        <v>-175.14161762813154</v>
      </c>
      <c r="Z458">
        <f t="shared" ref="Z458:Z521" si="406">Y458+180</f>
        <v>4.8583823718684584</v>
      </c>
      <c r="AC458">
        <v>1</v>
      </c>
      <c r="AD458">
        <f t="shared" si="390"/>
        <v>594.45844441830002</v>
      </c>
      <c r="AE458">
        <f t="shared" si="391"/>
        <v>-0.37365865964537021</v>
      </c>
      <c r="AF458">
        <f t="shared" si="392"/>
        <v>3.6656354367612005E-2</v>
      </c>
      <c r="AG458">
        <f t="shared" si="367"/>
        <v>151.93203560862932</v>
      </c>
      <c r="AH458">
        <f t="shared" si="368"/>
        <v>-1576.008355968886</v>
      </c>
      <c r="AJ458">
        <f t="shared" si="393"/>
        <v>22100</v>
      </c>
      <c r="AK458">
        <f t="shared" si="394"/>
        <v>144538.25892439752</v>
      </c>
      <c r="AL458">
        <v>1</v>
      </c>
      <c r="AM458">
        <f t="shared" si="395"/>
        <v>463.93974626973119</v>
      </c>
      <c r="AN458">
        <f t="shared" si="369"/>
        <v>311.64655290648187</v>
      </c>
      <c r="AO458">
        <f t="shared" si="370"/>
        <v>-46.963756872052798</v>
      </c>
      <c r="AQ458">
        <f t="shared" si="396"/>
        <v>1.6796557243254965E-3</v>
      </c>
      <c r="AR458">
        <f t="shared" si="397"/>
        <v>-4.0983599673542113</v>
      </c>
      <c r="AT458">
        <f t="shared" si="365"/>
        <v>-6458.7943608052892</v>
      </c>
      <c r="AU458">
        <f t="shared" si="366"/>
        <v>-625.31932395372894</v>
      </c>
      <c r="AV458">
        <f t="shared" ref="AV458:AV521" si="407">ATAN2(AT458,AU458)</f>
        <v>-3.0450767407533363</v>
      </c>
      <c r="AW458">
        <f t="shared" ref="AW458:AW521" si="408">AG458-AH458*AO458/_Rfb2+AG458*AN458/_Rfb2+AN458-AO458*AR458+AQ458*AN458</f>
        <v>265.29294078761711</v>
      </c>
      <c r="AX458">
        <f t="shared" ref="AX458:AX521" si="409">AH458+AH458*AN458/_Rfb2+AG458*AO458/_Rfb2+AO458+AO458*AQ458+AN458*AR458</f>
        <v>-3018.663492950106</v>
      </c>
      <c r="AY458">
        <f t="shared" si="364"/>
        <v>-1.4831373080789112</v>
      </c>
      <c r="BA458">
        <f t="shared" si="398"/>
        <v>2.1413712934575249</v>
      </c>
      <c r="BB458">
        <f t="shared" ref="BB458:BB521" si="410">20*LOG(BA458)</f>
        <v>6.6138395272927033</v>
      </c>
      <c r="BC458">
        <f t="shared" ref="BC458:BC521" si="411">AV458-AY458</f>
        <v>-1.5619394326744251</v>
      </c>
      <c r="BD458">
        <f t="shared" si="399"/>
        <v>-269.49253744956286</v>
      </c>
      <c r="BF458">
        <f t="shared" si="400"/>
        <v>-57.837396687720499</v>
      </c>
      <c r="BG458">
        <f t="shared" si="401"/>
        <v>-188.71036591569882</v>
      </c>
      <c r="BH458">
        <f t="shared" ref="BH458:BH521" si="412">IF(BG458&gt;180,BG458-180,BG458+180)</f>
        <v>-8.7103659156988158</v>
      </c>
      <c r="BI458">
        <f t="shared" ref="BI458:BI521" si="413">IF(BH458&gt;180,BH458-360,BH458)</f>
        <v>-8.7103659156988158</v>
      </c>
      <c r="BJ458">
        <f t="shared" si="402"/>
        <v>0</v>
      </c>
      <c r="BK458">
        <f t="shared" ref="BK458:BK521" si="414">IF(BJ458&gt;0,BI458,0)</f>
        <v>0</v>
      </c>
      <c r="BM458">
        <f t="shared" ref="BM458:BM521" si="415">20*LOG(J458*F458*C458)</f>
        <v>-64.451236215013211</v>
      </c>
      <c r="BN458">
        <f t="shared" si="403"/>
        <v>-99.217828466135956</v>
      </c>
      <c r="BQ458" s="47">
        <f t="shared" ref="BQ458:BQ521" si="416">20*LOG(BA458*7)</f>
        <v>23.515800327577839</v>
      </c>
    </row>
    <row r="459" spans="1:69">
      <c r="A459">
        <f t="shared" si="372"/>
        <v>1225000</v>
      </c>
      <c r="B459">
        <f t="shared" si="404"/>
        <v>1225</v>
      </c>
      <c r="C459">
        <f t="shared" si="373"/>
        <v>6.2381946250959741</v>
      </c>
      <c r="D459">
        <f t="shared" si="374"/>
        <v>1.4097989249444254</v>
      </c>
      <c r="F459">
        <f t="shared" si="375"/>
        <v>6.3747902988104408E-6</v>
      </c>
      <c r="G459">
        <f t="shared" si="376"/>
        <v>7.6123789955854127E-4</v>
      </c>
      <c r="H459">
        <f t="shared" si="377"/>
        <v>-3.1408314121004417</v>
      </c>
      <c r="J459">
        <f t="shared" si="378"/>
        <v>15</v>
      </c>
      <c r="M459">
        <f t="shared" si="379"/>
        <v>1.2293688310089511E-3</v>
      </c>
      <c r="N459">
        <f t="shared" si="380"/>
        <v>-1.5707963250000001</v>
      </c>
      <c r="O459">
        <f t="shared" si="381"/>
        <v>596.89558718640546</v>
      </c>
      <c r="P459">
        <f t="shared" si="382"/>
        <v>1.569120991126048</v>
      </c>
      <c r="Q459">
        <f t="shared" si="383"/>
        <v>465.84221199851453</v>
      </c>
      <c r="R459">
        <f t="shared" si="384"/>
        <v>1.5686496755420423</v>
      </c>
      <c r="S459">
        <f t="shared" si="385"/>
        <v>0.15054122388335142</v>
      </c>
      <c r="T459">
        <f t="shared" si="386"/>
        <v>-1.4196806138916049</v>
      </c>
      <c r="U459">
        <f t="shared" si="387"/>
        <v>9.7237777767303815E-2</v>
      </c>
      <c r="V459">
        <f t="shared" si="388"/>
        <v>-1.4734046598147026</v>
      </c>
      <c r="X459">
        <f t="shared" si="405"/>
        <v>-50.501480893736705</v>
      </c>
      <c r="Y459">
        <f t="shared" si="389"/>
        <v>-175.16141548617452</v>
      </c>
      <c r="Z459">
        <f t="shared" si="406"/>
        <v>4.8385845138254808</v>
      </c>
      <c r="AC459">
        <v>1</v>
      </c>
      <c r="AD459">
        <f t="shared" si="390"/>
        <v>596.89474951837508</v>
      </c>
      <c r="AE459">
        <f t="shared" si="391"/>
        <v>-0.37672771172422309</v>
      </c>
      <c r="AF459">
        <f t="shared" si="392"/>
        <v>3.6806585328135008E-2</v>
      </c>
      <c r="AG459">
        <f t="shared" si="367"/>
        <v>150.70600820955354</v>
      </c>
      <c r="AH459">
        <f t="shared" si="368"/>
        <v>-1569.6954526154777</v>
      </c>
      <c r="AJ459">
        <f t="shared" si="393"/>
        <v>22100</v>
      </c>
      <c r="AK459">
        <f t="shared" si="394"/>
        <v>145130.62883802209</v>
      </c>
      <c r="AL459">
        <v>1</v>
      </c>
      <c r="AM459">
        <f t="shared" si="395"/>
        <v>465.84113867247601</v>
      </c>
      <c r="AN459">
        <f t="shared" si="369"/>
        <v>311.64572824456428</v>
      </c>
      <c r="AO459">
        <f t="shared" si="370"/>
        <v>-46.772069838757652</v>
      </c>
      <c r="AQ459">
        <f t="shared" si="396"/>
        <v>1.6659722339071664E-3</v>
      </c>
      <c r="AR459">
        <f t="shared" si="397"/>
        <v>-4.0816319730725574</v>
      </c>
      <c r="AT459">
        <f t="shared" si="365"/>
        <v>-6406.6680753567734</v>
      </c>
      <c r="AU459">
        <f t="shared" si="366"/>
        <v>-617.74153068199678</v>
      </c>
      <c r="AV459">
        <f t="shared" si="407"/>
        <v>-3.0454681590358077</v>
      </c>
      <c r="AW459">
        <f t="shared" si="408"/>
        <v>265.68094014171993</v>
      </c>
      <c r="AX459">
        <f t="shared" si="409"/>
        <v>-3006.453137010918</v>
      </c>
      <c r="AY459">
        <f t="shared" ref="AY459:AY522" si="417">ATAN2(AW459,AX459)</f>
        <v>-1.4826550663610054</v>
      </c>
      <c r="BA459">
        <f t="shared" si="398"/>
        <v>2.132544613925381</v>
      </c>
      <c r="BB459">
        <f t="shared" si="410"/>
        <v>6.5779625119512044</v>
      </c>
      <c r="BC459">
        <f t="shared" si="411"/>
        <v>-1.5628130926748023</v>
      </c>
      <c r="BD459">
        <f t="shared" si="399"/>
        <v>-269.54259448037112</v>
      </c>
      <c r="BF459">
        <f t="shared" si="400"/>
        <v>-57.90971584256112</v>
      </c>
      <c r="BG459">
        <f t="shared" si="401"/>
        <v>-188.72345030777535</v>
      </c>
      <c r="BH459">
        <f t="shared" si="412"/>
        <v>-8.7234503077753516</v>
      </c>
      <c r="BI459">
        <f t="shared" si="413"/>
        <v>-8.7234503077753516</v>
      </c>
      <c r="BJ459">
        <f t="shared" si="402"/>
        <v>0</v>
      </c>
      <c r="BK459">
        <f t="shared" si="414"/>
        <v>0</v>
      </c>
      <c r="BM459">
        <f t="shared" si="415"/>
        <v>-64.487678354512326</v>
      </c>
      <c r="BN459">
        <f t="shared" si="403"/>
        <v>-99.180855827404272</v>
      </c>
      <c r="BQ459" s="47">
        <f t="shared" si="416"/>
        <v>23.479923312236338</v>
      </c>
    </row>
    <row r="460" spans="1:69">
      <c r="A460">
        <f t="shared" si="372"/>
        <v>1230000</v>
      </c>
      <c r="B460">
        <f t="shared" si="404"/>
        <v>1230</v>
      </c>
      <c r="C460">
        <f t="shared" si="373"/>
        <v>6.2630036427074955</v>
      </c>
      <c r="D460">
        <f t="shared" si="374"/>
        <v>1.4104422023605756</v>
      </c>
      <c r="F460">
        <f t="shared" si="375"/>
        <v>6.323067757916113E-6</v>
      </c>
      <c r="G460">
        <f t="shared" si="376"/>
        <v>7.5814339782168691E-4</v>
      </c>
      <c r="H460">
        <f t="shared" si="377"/>
        <v>-3.1408345066021783</v>
      </c>
      <c r="J460">
        <f t="shared" si="378"/>
        <v>15</v>
      </c>
      <c r="M460">
        <f t="shared" si="379"/>
        <v>1.2243713967365569E-3</v>
      </c>
      <c r="N460">
        <f t="shared" si="380"/>
        <v>-1.5707963250000001</v>
      </c>
      <c r="O460">
        <f t="shared" si="381"/>
        <v>599.33188888133054</v>
      </c>
      <c r="P460">
        <f t="shared" si="382"/>
        <v>1.5691278014209793</v>
      </c>
      <c r="Q460">
        <f t="shared" si="383"/>
        <v>467.74360003815531</v>
      </c>
      <c r="R460">
        <f t="shared" si="384"/>
        <v>1.5686584017400031</v>
      </c>
      <c r="S460">
        <f t="shared" si="385"/>
        <v>0.14994305369535993</v>
      </c>
      <c r="T460">
        <f t="shared" si="386"/>
        <v>-1.4202856517348279</v>
      </c>
      <c r="U460">
        <f t="shared" si="387"/>
        <v>9.6846217106829974E-2</v>
      </c>
      <c r="V460">
        <f t="shared" si="388"/>
        <v>-1.4737980772951644</v>
      </c>
      <c r="X460">
        <f t="shared" si="405"/>
        <v>-50.572016259539517</v>
      </c>
      <c r="Y460">
        <f t="shared" si="389"/>
        <v>-175.18105280769299</v>
      </c>
      <c r="Z460">
        <f t="shared" si="406"/>
        <v>4.8189471923070073</v>
      </c>
      <c r="AC460">
        <v>1</v>
      </c>
      <c r="AD460">
        <f t="shared" si="390"/>
        <v>599.33105461845003</v>
      </c>
      <c r="AE460">
        <f t="shared" si="391"/>
        <v>-0.37980931616331676</v>
      </c>
      <c r="AF460">
        <f t="shared" si="392"/>
        <v>3.6956816288658004E-2</v>
      </c>
      <c r="AG460">
        <f t="shared" si="367"/>
        <v>149.49471497457324</v>
      </c>
      <c r="AH460">
        <f t="shared" si="368"/>
        <v>-1563.4324399922687</v>
      </c>
      <c r="AJ460">
        <f t="shared" si="393"/>
        <v>22100</v>
      </c>
      <c r="AK460">
        <f t="shared" si="394"/>
        <v>145722.99875164669</v>
      </c>
      <c r="AL460">
        <v>1</v>
      </c>
      <c r="AM460">
        <f t="shared" si="395"/>
        <v>467.74253107522082</v>
      </c>
      <c r="AN460">
        <f t="shared" si="369"/>
        <v>311.64491361898342</v>
      </c>
      <c r="AO460">
        <f t="shared" si="370"/>
        <v>-46.581941215170538</v>
      </c>
      <c r="AQ460">
        <f t="shared" si="396"/>
        <v>1.6524552758848444E-3</v>
      </c>
      <c r="AR460">
        <f t="shared" si="397"/>
        <v>-4.0650399786767171</v>
      </c>
      <c r="AT460">
        <f t="shared" si="365"/>
        <v>-6355.1683391981833</v>
      </c>
      <c r="AU460">
        <f t="shared" si="366"/>
        <v>-610.2854951564758</v>
      </c>
      <c r="AV460">
        <f t="shared" si="407"/>
        <v>-3.0458564254213285</v>
      </c>
      <c r="AW460">
        <f t="shared" si="408"/>
        <v>266.06403848724835</v>
      </c>
      <c r="AX460">
        <f t="shared" si="409"/>
        <v>-2994.3407276681824</v>
      </c>
      <c r="AY460">
        <f t="shared" si="417"/>
        <v>-1.4821734409683223</v>
      </c>
      <c r="BA460">
        <f t="shared" si="398"/>
        <v>2.1237892633744662</v>
      </c>
      <c r="BB460">
        <f t="shared" si="410"/>
        <v>6.5422284186768076</v>
      </c>
      <c r="BC460">
        <f t="shared" si="411"/>
        <v>-1.5636829844530062</v>
      </c>
      <c r="BD460">
        <f t="shared" si="399"/>
        <v>-269.59243560795227</v>
      </c>
      <c r="BF460">
        <f t="shared" si="400"/>
        <v>-57.981736399618704</v>
      </c>
      <c r="BG460">
        <f t="shared" si="401"/>
        <v>-188.73661165620231</v>
      </c>
      <c r="BH460">
        <f t="shared" si="412"/>
        <v>-8.7366116562023137</v>
      </c>
      <c r="BI460">
        <f t="shared" si="413"/>
        <v>-8.7366116562023137</v>
      </c>
      <c r="BJ460">
        <f t="shared" si="402"/>
        <v>0</v>
      </c>
      <c r="BK460">
        <f t="shared" si="414"/>
        <v>0</v>
      </c>
      <c r="BM460">
        <f t="shared" si="415"/>
        <v>-64.523964818295511</v>
      </c>
      <c r="BN460">
        <f t="shared" si="403"/>
        <v>-99.14417604825006</v>
      </c>
      <c r="BQ460" s="47">
        <f t="shared" si="416"/>
        <v>23.444189218961945</v>
      </c>
    </row>
    <row r="461" spans="1:69">
      <c r="A461">
        <f t="shared" si="372"/>
        <v>1235000</v>
      </c>
      <c r="B461">
        <f t="shared" si="404"/>
        <v>1235</v>
      </c>
      <c r="C461">
        <f t="shared" si="373"/>
        <v>6.2878152315346281</v>
      </c>
      <c r="D461">
        <f t="shared" si="374"/>
        <v>1.4110804033203297</v>
      </c>
      <c r="F461">
        <f t="shared" si="375"/>
        <v>6.2719721585883477E-6</v>
      </c>
      <c r="G461">
        <f t="shared" si="376"/>
        <v>7.5507395324661965E-4</v>
      </c>
      <c r="H461">
        <f t="shared" si="377"/>
        <v>-3.1408375760467537</v>
      </c>
      <c r="J461">
        <f t="shared" si="378"/>
        <v>15</v>
      </c>
      <c r="M461">
        <f t="shared" si="379"/>
        <v>1.2194144275190001E-3</v>
      </c>
      <c r="N461">
        <f t="shared" si="380"/>
        <v>-1.5707963250000001</v>
      </c>
      <c r="O461">
        <f t="shared" si="381"/>
        <v>601.76819060382775</v>
      </c>
      <c r="P461">
        <f t="shared" si="382"/>
        <v>1.569134556571975</v>
      </c>
      <c r="Q461">
        <f t="shared" si="383"/>
        <v>469.64498811312478</v>
      </c>
      <c r="R461">
        <f t="shared" si="384"/>
        <v>1.5686670572808121</v>
      </c>
      <c r="S461">
        <f t="shared" si="385"/>
        <v>0.14934956428457208</v>
      </c>
      <c r="T461">
        <f t="shared" si="386"/>
        <v>-1.4208859001972962</v>
      </c>
      <c r="U461">
        <f t="shared" si="387"/>
        <v>9.6457782550069274E-2</v>
      </c>
      <c r="V461">
        <f t="shared" si="388"/>
        <v>-1.4741883389675052</v>
      </c>
      <c r="X461">
        <f t="shared" si="405"/>
        <v>-50.642267312004854</v>
      </c>
      <c r="Y461">
        <f t="shared" si="389"/>
        <v>-175.20053153514948</v>
      </c>
      <c r="Z461">
        <f t="shared" si="406"/>
        <v>4.7994684648505199</v>
      </c>
      <c r="AC461">
        <v>1</v>
      </c>
      <c r="AD461">
        <f t="shared" si="390"/>
        <v>601.76735971852497</v>
      </c>
      <c r="AE461">
        <f t="shared" si="391"/>
        <v>-0.38290347296265104</v>
      </c>
      <c r="AF461">
        <f t="shared" si="392"/>
        <v>3.7107047249181006E-2</v>
      </c>
      <c r="AG461">
        <f t="shared" si="367"/>
        <v>148.29792148985825</v>
      </c>
      <c r="AH461">
        <f t="shared" si="368"/>
        <v>-1557.218734855941</v>
      </c>
      <c r="AJ461">
        <f t="shared" si="393"/>
        <v>22100</v>
      </c>
      <c r="AK461">
        <f t="shared" si="394"/>
        <v>146315.36866527126</v>
      </c>
      <c r="AL461">
        <v>1</v>
      </c>
      <c r="AM461">
        <f t="shared" si="395"/>
        <v>469.64392347796559</v>
      </c>
      <c r="AN461">
        <f t="shared" si="369"/>
        <v>311.64410886753808</v>
      </c>
      <c r="AO461">
        <f t="shared" si="370"/>
        <v>-46.393352073583699</v>
      </c>
      <c r="AQ461">
        <f t="shared" si="396"/>
        <v>1.6391021588450625E-3</v>
      </c>
      <c r="AR461">
        <f t="shared" si="397"/>
        <v>-4.048582332347304</v>
      </c>
      <c r="AT461">
        <f t="shared" si="365"/>
        <v>-6304.2851820947171</v>
      </c>
      <c r="AU461">
        <f t="shared" si="366"/>
        <v>-602.94878545776407</v>
      </c>
      <c r="AV461">
        <f t="shared" si="407"/>
        <v>-3.0462415777078484</v>
      </c>
      <c r="AW461">
        <f t="shared" si="408"/>
        <v>266.4423185845252</v>
      </c>
      <c r="AX461">
        <f t="shared" si="409"/>
        <v>-2982.3250962632692</v>
      </c>
      <c r="AY461">
        <f t="shared" si="417"/>
        <v>-1.4816924241644529</v>
      </c>
      <c r="BA461">
        <f t="shared" si="398"/>
        <v>2.1151043768521318</v>
      </c>
      <c r="BB461">
        <f t="shared" si="410"/>
        <v>6.5066360788776203</v>
      </c>
      <c r="BC461">
        <f t="shared" si="411"/>
        <v>-1.5645491535433955</v>
      </c>
      <c r="BD461">
        <f t="shared" si="399"/>
        <v>-269.64206344123295</v>
      </c>
      <c r="BF461">
        <f t="shared" si="400"/>
        <v>-58.053460875127655</v>
      </c>
      <c r="BG461">
        <f t="shared" si="401"/>
        <v>-188.74984913418595</v>
      </c>
      <c r="BH461">
        <f t="shared" si="412"/>
        <v>-8.7498491341859506</v>
      </c>
      <c r="BI461">
        <f t="shared" si="413"/>
        <v>-8.7498491341859506</v>
      </c>
      <c r="BJ461">
        <f t="shared" si="402"/>
        <v>0</v>
      </c>
      <c r="BK461">
        <f t="shared" si="414"/>
        <v>0</v>
      </c>
      <c r="BM461">
        <f t="shared" si="415"/>
        <v>-64.560096954005274</v>
      </c>
      <c r="BN461">
        <f t="shared" si="403"/>
        <v>-99.107785692953001</v>
      </c>
      <c r="BQ461" s="47">
        <f t="shared" si="416"/>
        <v>23.408596879162754</v>
      </c>
    </row>
    <row r="462" spans="1:69">
      <c r="A462">
        <f t="shared" si="372"/>
        <v>1240000</v>
      </c>
      <c r="B462">
        <f t="shared" si="404"/>
        <v>1240</v>
      </c>
      <c r="C462">
        <f t="shared" si="373"/>
        <v>6.3126293612591278</v>
      </c>
      <c r="D462">
        <f t="shared" si="374"/>
        <v>1.4117135871654005</v>
      </c>
      <c r="F462">
        <f t="shared" si="375"/>
        <v>6.2214934091788525E-6</v>
      </c>
      <c r="G462">
        <f t="shared" si="376"/>
        <v>7.520292627150153E-4</v>
      </c>
      <c r="H462">
        <f t="shared" si="377"/>
        <v>-3.140840620737285</v>
      </c>
      <c r="J462">
        <f t="shared" si="378"/>
        <v>15</v>
      </c>
      <c r="M462">
        <f t="shared" si="379"/>
        <v>1.2144974338596491E-3</v>
      </c>
      <c r="N462">
        <f t="shared" si="380"/>
        <v>-1.5707963250000001</v>
      </c>
      <c r="O462">
        <f t="shared" si="381"/>
        <v>604.2044923535633</v>
      </c>
      <c r="P462">
        <f t="shared" si="382"/>
        <v>1.5691412572460963</v>
      </c>
      <c r="Q462">
        <f t="shared" si="383"/>
        <v>471.5463762229956</v>
      </c>
      <c r="R462">
        <f t="shared" si="384"/>
        <v>1.5686756430191879</v>
      </c>
      <c r="S462">
        <f t="shared" si="385"/>
        <v>0.14876070156467103</v>
      </c>
      <c r="T462">
        <f t="shared" si="386"/>
        <v>-1.4214814154953046</v>
      </c>
      <c r="U462">
        <f t="shared" si="387"/>
        <v>9.6072436985249837E-2</v>
      </c>
      <c r="V462">
        <f t="shared" si="388"/>
        <v>-1.4745754825341681</v>
      </c>
      <c r="X462">
        <f t="shared" si="405"/>
        <v>-50.712236326278351</v>
      </c>
      <c r="Y462">
        <f t="shared" si="389"/>
        <v>-175.21985357983732</v>
      </c>
      <c r="Z462">
        <f t="shared" si="406"/>
        <v>4.78014642016268</v>
      </c>
      <c r="AC462">
        <v>1</v>
      </c>
      <c r="AD462">
        <f t="shared" si="390"/>
        <v>604.20366481860003</v>
      </c>
      <c r="AE462">
        <f t="shared" si="391"/>
        <v>-0.3860101821222261</v>
      </c>
      <c r="AF462">
        <f t="shared" si="392"/>
        <v>3.7257278209704009E-2</v>
      </c>
      <c r="AG462">
        <f t="shared" si="367"/>
        <v>147.11539797017747</v>
      </c>
      <c r="AH462">
        <f t="shared" si="368"/>
        <v>-1551.0537629235762</v>
      </c>
      <c r="AJ462">
        <f t="shared" si="393"/>
        <v>22100</v>
      </c>
      <c r="AK462">
        <f t="shared" si="394"/>
        <v>146907.73857889583</v>
      </c>
      <c r="AL462">
        <v>1</v>
      </c>
      <c r="AM462">
        <f t="shared" si="395"/>
        <v>471.5453158807104</v>
      </c>
      <c r="AN462">
        <f t="shared" si="369"/>
        <v>311.64331383129081</v>
      </c>
      <c r="AO462">
        <f t="shared" si="370"/>
        <v>-46.206283791568055</v>
      </c>
      <c r="AQ462">
        <f t="shared" si="396"/>
        <v>1.6259102455270802E-3</v>
      </c>
      <c r="AR462">
        <f t="shared" si="397"/>
        <v>-4.0322574089071592</v>
      </c>
      <c r="AT462">
        <f t="shared" si="365"/>
        <v>-6254.0088307290844</v>
      </c>
      <c r="AU462">
        <f t="shared" si="366"/>
        <v>-595.72902763407421</v>
      </c>
      <c r="AV462">
        <f t="shared" si="407"/>
        <v>-3.0466236530932669</v>
      </c>
      <c r="AW462">
        <f t="shared" si="408"/>
        <v>266.81586144453769</v>
      </c>
      <c r="AX462">
        <f t="shared" si="409"/>
        <v>-2970.405092574656</v>
      </c>
      <c r="AY462">
        <f t="shared" si="417"/>
        <v>-1.4812120083563853</v>
      </c>
      <c r="BA462">
        <f t="shared" si="398"/>
        <v>2.1064891033294257</v>
      </c>
      <c r="BB462">
        <f t="shared" si="410"/>
        <v>6.471184338081053</v>
      </c>
      <c r="BC462">
        <f t="shared" si="411"/>
        <v>-1.5654116447368815</v>
      </c>
      <c r="BD462">
        <f t="shared" si="399"/>
        <v>-269.6914805465434</v>
      </c>
      <c r="BF462">
        <f t="shared" si="400"/>
        <v>-58.124891753567184</v>
      </c>
      <c r="BG462">
        <f t="shared" si="401"/>
        <v>-188.76316192539403</v>
      </c>
      <c r="BH462">
        <f t="shared" si="412"/>
        <v>-8.76316192539403</v>
      </c>
      <c r="BI462">
        <f t="shared" si="413"/>
        <v>-8.76316192539403</v>
      </c>
      <c r="BJ462">
        <f t="shared" si="402"/>
        <v>0</v>
      </c>
      <c r="BK462">
        <f t="shared" si="414"/>
        <v>0</v>
      </c>
      <c r="BM462">
        <f t="shared" si="415"/>
        <v>-64.596076091648229</v>
      </c>
      <c r="BN462">
        <f t="shared" si="403"/>
        <v>-99.071681378850698</v>
      </c>
      <c r="BQ462" s="47">
        <f t="shared" si="416"/>
        <v>23.373145138366191</v>
      </c>
    </row>
    <row r="463" spans="1:69">
      <c r="A463">
        <f t="shared" si="372"/>
        <v>1245000</v>
      </c>
      <c r="B463">
        <f t="shared" si="404"/>
        <v>1245</v>
      </c>
      <c r="C463">
        <f t="shared" si="373"/>
        <v>6.3374460020345129</v>
      </c>
      <c r="D463">
        <f t="shared" si="374"/>
        <v>1.4123418123242375</v>
      </c>
      <c r="F463">
        <f t="shared" si="375"/>
        <v>6.1716216202775799E-6</v>
      </c>
      <c r="G463">
        <f t="shared" si="376"/>
        <v>7.4900902797807051E-4</v>
      </c>
      <c r="H463">
        <f t="shared" si="377"/>
        <v>-3.140843640972022</v>
      </c>
      <c r="J463">
        <f t="shared" si="378"/>
        <v>15</v>
      </c>
      <c r="M463">
        <f t="shared" si="379"/>
        <v>1.2096199341252731E-3</v>
      </c>
      <c r="N463">
        <f t="shared" si="380"/>
        <v>-1.5707963250000001</v>
      </c>
      <c r="O463">
        <f t="shared" si="381"/>
        <v>606.64079413020931</v>
      </c>
      <c r="P463">
        <f t="shared" si="382"/>
        <v>1.569147904099689</v>
      </c>
      <c r="Q463">
        <f t="shared" si="383"/>
        <v>473.44776436734713</v>
      </c>
      <c r="R463">
        <f t="shared" si="384"/>
        <v>1.5686841597961185</v>
      </c>
      <c r="S463">
        <f t="shared" si="385"/>
        <v>0.14817641226925982</v>
      </c>
      <c r="T463">
        <f t="shared" si="386"/>
        <v>-1.4220722529754903</v>
      </c>
      <c r="U463">
        <f t="shared" si="387"/>
        <v>9.5690143882915593E-2</v>
      </c>
      <c r="V463">
        <f t="shared" si="388"/>
        <v>-1.4749595451012649</v>
      </c>
      <c r="X463">
        <f t="shared" si="405"/>
        <v>-50.781925550400757</v>
      </c>
      <c r="Y463">
        <f t="shared" si="389"/>
        <v>-175.23902082250279</v>
      </c>
      <c r="Z463">
        <f t="shared" si="406"/>
        <v>4.7609791774972052</v>
      </c>
      <c r="AC463">
        <v>1</v>
      </c>
      <c r="AD463">
        <f t="shared" si="390"/>
        <v>606.63996991867509</v>
      </c>
      <c r="AE463">
        <f t="shared" si="391"/>
        <v>-0.38912944364204183</v>
      </c>
      <c r="AF463">
        <f t="shared" si="392"/>
        <v>3.7407509170227005E-2</v>
      </c>
      <c r="AG463">
        <f t="shared" si="367"/>
        <v>145.94691915000783</v>
      </c>
      <c r="AH463">
        <f t="shared" si="368"/>
        <v>-1544.9369587032011</v>
      </c>
      <c r="AJ463">
        <f t="shared" si="393"/>
        <v>22100</v>
      </c>
      <c r="AK463">
        <f t="shared" si="394"/>
        <v>147500.10849252043</v>
      </c>
      <c r="AL463">
        <v>1</v>
      </c>
      <c r="AM463">
        <f t="shared" si="395"/>
        <v>473.44670828345522</v>
      </c>
      <c r="AN463">
        <f t="shared" si="369"/>
        <v>311.64252835448917</v>
      </c>
      <c r="AO463">
        <f t="shared" si="370"/>
        <v>-46.020718045843289</v>
      </c>
      <c r="AQ463">
        <f t="shared" si="396"/>
        <v>1.6128769515206284E-3</v>
      </c>
      <c r="AR463">
        <f t="shared" si="397"/>
        <v>-4.0160636092863644</v>
      </c>
      <c r="AT463">
        <f t="shared" si="365"/>
        <v>-6204.3297040674342</v>
      </c>
      <c r="AU463">
        <f t="shared" si="366"/>
        <v>-588.62390409805039</v>
      </c>
      <c r="AV463">
        <f t="shared" si="407"/>
        <v>-3.0470026881872578</v>
      </c>
      <c r="AW463">
        <f t="shared" si="408"/>
        <v>267.18474637331667</v>
      </c>
      <c r="AX463">
        <f t="shared" si="409"/>
        <v>-2958.5795844573618</v>
      </c>
      <c r="AY463">
        <f t="shared" si="417"/>
        <v>-1.4807321860912348</v>
      </c>
      <c r="BA463">
        <f t="shared" si="398"/>
        <v>2.097942605422233</v>
      </c>
      <c r="BB463">
        <f t="shared" si="410"/>
        <v>6.4358720557077733</v>
      </c>
      <c r="BC463">
        <f t="shared" si="411"/>
        <v>-1.566270502096023</v>
      </c>
      <c r="BD463">
        <f t="shared" si="399"/>
        <v>-269.74068944848216</v>
      </c>
      <c r="BF463">
        <f t="shared" si="400"/>
        <v>-58.196031488195949</v>
      </c>
      <c r="BG463">
        <f t="shared" si="401"/>
        <v>-188.77654922381018</v>
      </c>
      <c r="BH463">
        <f t="shared" si="412"/>
        <v>-8.7765492238101785</v>
      </c>
      <c r="BI463">
        <f t="shared" si="413"/>
        <v>-8.7765492238101785</v>
      </c>
      <c r="BJ463">
        <f t="shared" si="402"/>
        <v>0</v>
      </c>
      <c r="BK463">
        <f t="shared" si="414"/>
        <v>0</v>
      </c>
      <c r="BM463">
        <f t="shared" si="415"/>
        <v>-64.631903543903718</v>
      </c>
      <c r="BN463">
        <f t="shared" si="403"/>
        <v>-99.035859775328021</v>
      </c>
      <c r="BQ463" s="47">
        <f t="shared" si="416"/>
        <v>23.337832855992907</v>
      </c>
    </row>
    <row r="464" spans="1:69">
      <c r="A464">
        <f t="shared" si="372"/>
        <v>1250000</v>
      </c>
      <c r="B464">
        <f t="shared" si="404"/>
        <v>1250</v>
      </c>
      <c r="C464">
        <f t="shared" si="373"/>
        <v>6.3622651244769814</v>
      </c>
      <c r="D464">
        <f t="shared" si="374"/>
        <v>1.4129651363293696</v>
      </c>
      <c r="F464">
        <f t="shared" si="375"/>
        <v>6.1223470998686726E-6</v>
      </c>
      <c r="G464">
        <f t="shared" si="376"/>
        <v>7.4601295555910764E-4</v>
      </c>
      <c r="H464">
        <f t="shared" si="377"/>
        <v>-3.140846637044441</v>
      </c>
      <c r="J464">
        <f t="shared" si="378"/>
        <v>15</v>
      </c>
      <c r="M464">
        <f t="shared" si="379"/>
        <v>1.2047814543887721E-3</v>
      </c>
      <c r="N464">
        <f t="shared" si="380"/>
        <v>-1.5707963250000001</v>
      </c>
      <c r="O464">
        <f t="shared" si="381"/>
        <v>609.07709593344259</v>
      </c>
      <c r="P464">
        <f t="shared" si="382"/>
        <v>1.5691544977785967</v>
      </c>
      <c r="Q464">
        <f t="shared" si="383"/>
        <v>475.34915254576572</v>
      </c>
      <c r="R464">
        <f t="shared" si="384"/>
        <v>1.5686926084391366</v>
      </c>
      <c r="S464">
        <f t="shared" si="385"/>
        <v>0.14759664393658545</v>
      </c>
      <c r="T464">
        <f t="shared" si="386"/>
        <v>-1.4226584671314537</v>
      </c>
      <c r="U464">
        <f t="shared" si="387"/>
        <v>9.5310867284605458E-2</v>
      </c>
      <c r="V464">
        <f t="shared" si="388"/>
        <v>-1.4753405631902823</v>
      </c>
      <c r="X464">
        <f t="shared" si="405"/>
        <v>-50.851337205735135</v>
      </c>
      <c r="Y464">
        <f t="shared" si="389"/>
        <v>-175.25803511395193</v>
      </c>
      <c r="Z464">
        <f t="shared" si="406"/>
        <v>4.7419648860480663</v>
      </c>
      <c r="AC464">
        <v>1</v>
      </c>
      <c r="AD464">
        <f t="shared" si="390"/>
        <v>609.07627501875004</v>
      </c>
      <c r="AE464">
        <f t="shared" si="391"/>
        <v>-0.39226125752209828</v>
      </c>
      <c r="AF464">
        <f t="shared" si="392"/>
        <v>3.755774013075E-2</v>
      </c>
      <c r="AG464">
        <f t="shared" si="367"/>
        <v>144.79226417760964</v>
      </c>
      <c r="AH464">
        <f t="shared" si="368"/>
        <v>-1538.867765328107</v>
      </c>
      <c r="AJ464">
        <f t="shared" si="393"/>
        <v>22100</v>
      </c>
      <c r="AK464">
        <f t="shared" si="394"/>
        <v>148092.478406145</v>
      </c>
      <c r="AL464">
        <v>1</v>
      </c>
      <c r="AM464">
        <f t="shared" si="395"/>
        <v>475.34810068619998</v>
      </c>
      <c r="AN464">
        <f t="shared" si="369"/>
        <v>311.64175228448954</v>
      </c>
      <c r="AO464">
        <f t="shared" si="370"/>
        <v>-45.836636806295026</v>
      </c>
      <c r="AQ464">
        <f t="shared" si="396"/>
        <v>1.599999744000041E-3</v>
      </c>
      <c r="AR464">
        <f t="shared" si="397"/>
        <v>-3.9999993600001025</v>
      </c>
      <c r="AT464">
        <f t="shared" si="365"/>
        <v>-6155.2384088515983</v>
      </c>
      <c r="AU464">
        <f t="shared" si="366"/>
        <v>-581.63115207397925</v>
      </c>
      <c r="AV464">
        <f t="shared" si="407"/>
        <v>-3.0473787190228121</v>
      </c>
      <c r="AW464">
        <f t="shared" si="408"/>
        <v>267.54905101500475</v>
      </c>
      <c r="AX464">
        <f t="shared" si="409"/>
        <v>-2946.8474574907632</v>
      </c>
      <c r="AY464">
        <f t="shared" si="417"/>
        <v>-1.4802529500530632</v>
      </c>
      <c r="BA464">
        <f t="shared" si="398"/>
        <v>2.0894640591190945</v>
      </c>
      <c r="BB464">
        <f t="shared" si="410"/>
        <v>6.4006981048501732</v>
      </c>
      <c r="BC464">
        <f t="shared" si="411"/>
        <v>-1.5671257689697489</v>
      </c>
      <c r="BD464">
        <f t="shared" si="399"/>
        <v>-269.78969263075999</v>
      </c>
      <c r="BF464">
        <f t="shared" si="400"/>
        <v>-58.266882501575353</v>
      </c>
      <c r="BG464">
        <f t="shared" si="401"/>
        <v>-188.79001023358887</v>
      </c>
      <c r="BH464">
        <f t="shared" si="412"/>
        <v>-8.7900102335888732</v>
      </c>
      <c r="BI464">
        <f t="shared" si="413"/>
        <v>-8.7900102335888732</v>
      </c>
      <c r="BJ464">
        <f t="shared" si="402"/>
        <v>0</v>
      </c>
      <c r="BK464">
        <f t="shared" si="414"/>
        <v>0</v>
      </c>
      <c r="BM464">
        <f t="shared" si="415"/>
        <v>-64.667580606425531</v>
      </c>
      <c r="BN464">
        <f t="shared" si="403"/>
        <v>-99.000317602828886</v>
      </c>
      <c r="BQ464" s="47">
        <f t="shared" si="416"/>
        <v>23.302658905135306</v>
      </c>
    </row>
    <row r="465" spans="1:69">
      <c r="A465">
        <f t="shared" si="372"/>
        <v>1255000</v>
      </c>
      <c r="B465">
        <f t="shared" si="404"/>
        <v>1255</v>
      </c>
      <c r="C465">
        <f t="shared" si="373"/>
        <v>6.3870866996565354</v>
      </c>
      <c r="D465">
        <f t="shared" si="374"/>
        <v>1.4135836158343602</v>
      </c>
      <c r="F465">
        <f t="shared" si="375"/>
        <v>6.0736603486212323E-6</v>
      </c>
      <c r="G465">
        <f t="shared" si="376"/>
        <v>7.4304075665851041E-4</v>
      </c>
      <c r="H465">
        <f t="shared" si="377"/>
        <v>-3.1408496092433418</v>
      </c>
      <c r="J465">
        <f t="shared" si="378"/>
        <v>15</v>
      </c>
      <c r="M465">
        <f t="shared" si="379"/>
        <v>1.1999815282756694E-3</v>
      </c>
      <c r="N465">
        <f t="shared" si="380"/>
        <v>-1.5707963250000001</v>
      </c>
      <c r="O465">
        <f t="shared" si="381"/>
        <v>611.5133977629456</v>
      </c>
      <c r="P465">
        <f t="shared" si="382"/>
        <v>1.5691610389183712</v>
      </c>
      <c r="Q465">
        <f t="shared" si="383"/>
        <v>477.25054075784419</v>
      </c>
      <c r="R465">
        <f t="shared" si="384"/>
        <v>1.5687009897625865</v>
      </c>
      <c r="S465">
        <f t="shared" si="385"/>
        <v>0.14702134489459809</v>
      </c>
      <c r="T465">
        <f t="shared" si="386"/>
        <v>-1.4232401116200024</v>
      </c>
      <c r="U465">
        <f t="shared" si="387"/>
        <v>9.4934571791793917E-2</v>
      </c>
      <c r="V465">
        <f t="shared" si="388"/>
        <v>-1.4757185727495141</v>
      </c>
      <c r="X465">
        <f t="shared" si="405"/>
        <v>-50.920473487385827</v>
      </c>
      <c r="Y465">
        <f t="shared" si="389"/>
        <v>-175.27689827564285</v>
      </c>
      <c r="Z465">
        <f t="shared" si="406"/>
        <v>4.72310172435715</v>
      </c>
      <c r="AC465">
        <v>1</v>
      </c>
      <c r="AD465">
        <f t="shared" si="390"/>
        <v>611.51258011882499</v>
      </c>
      <c r="AE465">
        <f t="shared" si="391"/>
        <v>-0.3954056237623953</v>
      </c>
      <c r="AF465">
        <f t="shared" si="392"/>
        <v>3.7707971091273003E-2</v>
      </c>
      <c r="AG465">
        <f t="shared" si="367"/>
        <v>143.65121651197785</v>
      </c>
      <c r="AH465">
        <f t="shared" si="368"/>
        <v>-1532.8456343948624</v>
      </c>
      <c r="AJ465">
        <f t="shared" si="393"/>
        <v>22100</v>
      </c>
      <c r="AK465">
        <f t="shared" si="394"/>
        <v>148684.84831976958</v>
      </c>
      <c r="AL465">
        <v>1</v>
      </c>
      <c r="AM465">
        <f t="shared" si="395"/>
        <v>477.2494930889448</v>
      </c>
      <c r="AN465">
        <f t="shared" si="369"/>
        <v>311.6409854716826</v>
      </c>
      <c r="AO465">
        <f t="shared" si="370"/>
        <v>-45.654022330135049</v>
      </c>
      <c r="AQ465">
        <f t="shared" si="396"/>
        <v>1.5872761404936207E-3</v>
      </c>
      <c r="AR465">
        <f t="shared" si="397"/>
        <v>-3.9840631126389878</v>
      </c>
      <c r="AT465">
        <f t="shared" si="365"/>
        <v>-6106.7257352137567</v>
      </c>
      <c r="AU465">
        <f t="shared" si="366"/>
        <v>-574.74856209362235</v>
      </c>
      <c r="AV465">
        <f t="shared" si="407"/>
        <v>-3.0477517810675132</v>
      </c>
      <c r="AW465">
        <f t="shared" si="408"/>
        <v>267.90885139365531</v>
      </c>
      <c r="AX465">
        <f t="shared" si="409"/>
        <v>-2935.2076146345821</v>
      </c>
      <c r="AY465">
        <f t="shared" si="417"/>
        <v>-1.4797742930597846</v>
      </c>
      <c r="BA465">
        <f t="shared" si="398"/>
        <v>2.0810526535155005</v>
      </c>
      <c r="BB465">
        <f t="shared" si="410"/>
        <v>6.3656613720551931</v>
      </c>
      <c r="BC465">
        <f t="shared" si="411"/>
        <v>-1.5679774880077286</v>
      </c>
      <c r="BD465">
        <f t="shared" si="399"/>
        <v>-269.83849253702294</v>
      </c>
      <c r="BF465">
        <f t="shared" si="400"/>
        <v>-58.337447186082088</v>
      </c>
      <c r="BG465">
        <f t="shared" si="401"/>
        <v>-188.80354416891311</v>
      </c>
      <c r="BH465">
        <f t="shared" si="412"/>
        <v>-8.8035441689131062</v>
      </c>
      <c r="BI465">
        <f t="shared" si="413"/>
        <v>-8.8035441689131062</v>
      </c>
      <c r="BJ465">
        <f t="shared" si="402"/>
        <v>0</v>
      </c>
      <c r="BK465">
        <f t="shared" si="414"/>
        <v>0</v>
      </c>
      <c r="BM465">
        <f t="shared" si="415"/>
        <v>-64.703108558137288</v>
      </c>
      <c r="BN465">
        <f t="shared" si="403"/>
        <v>-98.965051631890162</v>
      </c>
      <c r="BQ465" s="47">
        <f t="shared" si="416"/>
        <v>23.267622172340332</v>
      </c>
    </row>
    <row r="466" spans="1:69">
      <c r="A466">
        <f t="shared" si="372"/>
        <v>1260000</v>
      </c>
      <c r="B466">
        <f t="shared" si="404"/>
        <v>1260</v>
      </c>
      <c r="C466">
        <f t="shared" si="373"/>
        <v>6.4119106990883132</v>
      </c>
      <c r="D466">
        <f t="shared" si="374"/>
        <v>1.4141973066303806</v>
      </c>
      <c r="F466">
        <f t="shared" si="375"/>
        <v>6.0255520553106567E-6</v>
      </c>
      <c r="G466">
        <f t="shared" si="376"/>
        <v>7.4009214706092022E-4</v>
      </c>
      <c r="H466">
        <f t="shared" si="377"/>
        <v>-3.1408525578529392</v>
      </c>
      <c r="J466">
        <f t="shared" si="378"/>
        <v>15</v>
      </c>
      <c r="M466">
        <f t="shared" si="379"/>
        <v>1.195219696814258E-3</v>
      </c>
      <c r="N466">
        <f t="shared" si="380"/>
        <v>-1.5707963250000001</v>
      </c>
      <c r="O466">
        <f t="shared" si="381"/>
        <v>613.94969961840525</v>
      </c>
      <c r="P466">
        <f t="shared" si="382"/>
        <v>1.5691675281444766</v>
      </c>
      <c r="Q466">
        <f t="shared" si="383"/>
        <v>479.15192900318181</v>
      </c>
      <c r="R466">
        <f t="shared" si="384"/>
        <v>1.5687093045678873</v>
      </c>
      <c r="S466">
        <f t="shared" si="385"/>
        <v>0.14645046424633751</v>
      </c>
      <c r="T466">
        <f t="shared" si="386"/>
        <v>-1.4238172392770281</v>
      </c>
      <c r="U466">
        <f t="shared" si="387"/>
        <v>9.4561222555086616E-2</v>
      </c>
      <c r="V466">
        <f t="shared" si="388"/>
        <v>-1.4760936091652292</v>
      </c>
      <c r="X466">
        <f t="shared" si="405"/>
        <v>-50.989336564609161</v>
      </c>
      <c r="Y466">
        <f t="shared" si="389"/>
        <v>-175.29561210026426</v>
      </c>
      <c r="Z466">
        <f t="shared" si="406"/>
        <v>4.7043878997357353</v>
      </c>
      <c r="AC466">
        <v>1</v>
      </c>
      <c r="AD466">
        <f t="shared" si="390"/>
        <v>613.94888521890005</v>
      </c>
      <c r="AE466">
        <f t="shared" si="391"/>
        <v>-0.39856254236293315</v>
      </c>
      <c r="AF466">
        <f t="shared" si="392"/>
        <v>3.7858202051796006E-2</v>
      </c>
      <c r="AG466">
        <f t="shared" si="367"/>
        <v>142.52356382258014</v>
      </c>
      <c r="AH466">
        <f t="shared" si="368"/>
        <v>-1526.8700258049112</v>
      </c>
      <c r="AJ466">
        <f t="shared" si="393"/>
        <v>22100</v>
      </c>
      <c r="AK466">
        <f t="shared" si="394"/>
        <v>149277.21823339417</v>
      </c>
      <c r="AL466">
        <v>1</v>
      </c>
      <c r="AM466">
        <f t="shared" si="395"/>
        <v>479.15088549168962</v>
      </c>
      <c r="AN466">
        <f t="shared" si="369"/>
        <v>311.64022776942193</v>
      </c>
      <c r="AO466">
        <f t="shared" si="370"/>
        <v>-45.472857156200483</v>
      </c>
      <c r="AQ466">
        <f t="shared" si="396"/>
        <v>1.5747037076871209E-3</v>
      </c>
      <c r="AR466">
        <f t="shared" si="397"/>
        <v>-3.9682533433715448</v>
      </c>
      <c r="AT466">
        <f t="shared" si="365"/>
        <v>-6058.7826524097509</v>
      </c>
      <c r="AU466">
        <f t="shared" si="366"/>
        <v>-567.97397653897281</v>
      </c>
      <c r="AV466">
        <f t="shared" si="407"/>
        <v>-3.04812190923455</v>
      </c>
      <c r="AW466">
        <f t="shared" si="408"/>
        <v>268.26422195380678</v>
      </c>
      <c r="AX466">
        <f t="shared" si="409"/>
        <v>-2923.6589758928185</v>
      </c>
      <c r="AY466">
        <f t="shared" si="417"/>
        <v>-1.4792962080601544</v>
      </c>
      <c r="BA466">
        <f t="shared" si="398"/>
        <v>2.0727075905544927</v>
      </c>
      <c r="BB466">
        <f t="shared" si="410"/>
        <v>6.3307607571114497</v>
      </c>
      <c r="BC466">
        <f t="shared" si="411"/>
        <v>-1.5688257011743956</v>
      </c>
      <c r="BD466">
        <f t="shared" si="399"/>
        <v>-269.8870915716559</v>
      </c>
      <c r="BF466">
        <f t="shared" si="400"/>
        <v>-58.407727904409796</v>
      </c>
      <c r="BG466">
        <f t="shared" si="401"/>
        <v>-188.81715025385347</v>
      </c>
      <c r="BH466">
        <f t="shared" si="412"/>
        <v>-8.8171502538534696</v>
      </c>
      <c r="BI466">
        <f t="shared" si="413"/>
        <v>-8.8171502538534696</v>
      </c>
      <c r="BJ466">
        <f t="shared" si="402"/>
        <v>0</v>
      </c>
      <c r="BK466">
        <f t="shared" si="414"/>
        <v>0</v>
      </c>
      <c r="BM466">
        <f t="shared" si="415"/>
        <v>-64.738488661521245</v>
      </c>
      <c r="BN466">
        <f t="shared" si="403"/>
        <v>-98.930058682197568</v>
      </c>
      <c r="BQ466" s="47">
        <f t="shared" si="416"/>
        <v>23.232721557396587</v>
      </c>
    </row>
    <row r="467" spans="1:69">
      <c r="A467">
        <f t="shared" si="372"/>
        <v>1265000</v>
      </c>
      <c r="B467">
        <f t="shared" si="404"/>
        <v>1265</v>
      </c>
      <c r="C467">
        <f t="shared" si="373"/>
        <v>6.4367370947241112</v>
      </c>
      <c r="D467">
        <f t="shared" si="374"/>
        <v>1.4148062636624141</v>
      </c>
      <c r="F467">
        <f t="shared" si="375"/>
        <v>5.9780130923663932E-6</v>
      </c>
      <c r="G467">
        <f t="shared" si="376"/>
        <v>7.3716684704463564E-4</v>
      </c>
      <c r="H467">
        <f t="shared" si="377"/>
        <v>-3.1408554831529556</v>
      </c>
      <c r="J467">
        <f t="shared" si="378"/>
        <v>15</v>
      </c>
      <c r="M467">
        <f t="shared" si="379"/>
        <v>1.1904955082893004E-3</v>
      </c>
      <c r="N467">
        <f t="shared" si="380"/>
        <v>-1.5707963250000001</v>
      </c>
      <c r="O467">
        <f t="shared" si="381"/>
        <v>616.38600149951424</v>
      </c>
      <c r="P467">
        <f t="shared" si="382"/>
        <v>1.569173966072487</v>
      </c>
      <c r="Q467">
        <f t="shared" si="383"/>
        <v>481.05331728138418</v>
      </c>
      <c r="R467">
        <f t="shared" si="384"/>
        <v>1.5687175536437872</v>
      </c>
      <c r="S467">
        <f t="shared" si="385"/>
        <v>0.14588395185563816</v>
      </c>
      <c r="T467">
        <f t="shared" si="386"/>
        <v>-1.4243899021330266</v>
      </c>
      <c r="U467">
        <f t="shared" si="387"/>
        <v>9.4190785263663687E-2</v>
      </c>
      <c r="V467">
        <f t="shared" si="388"/>
        <v>-1.4764657072725789</v>
      </c>
      <c r="X467">
        <f t="shared" si="405"/>
        <v>-51.057928581216217</v>
      </c>
      <c r="Y467">
        <f t="shared" si="389"/>
        <v>-175.31417835230073</v>
      </c>
      <c r="Z467">
        <f t="shared" si="406"/>
        <v>4.6858216476992709</v>
      </c>
      <c r="AC467">
        <v>1</v>
      </c>
      <c r="AD467">
        <f t="shared" si="390"/>
        <v>616.38519031897511</v>
      </c>
      <c r="AE467">
        <f t="shared" si="391"/>
        <v>-0.40173201332371172</v>
      </c>
      <c r="AF467">
        <f t="shared" si="392"/>
        <v>3.8008433012319001E-2</v>
      </c>
      <c r="AG467">
        <f t="shared" si="367"/>
        <v>141.40909789179727</v>
      </c>
      <c r="AH467">
        <f t="shared" si="368"/>
        <v>-1520.9404076096769</v>
      </c>
      <c r="AJ467">
        <f t="shared" si="393"/>
        <v>22100</v>
      </c>
      <c r="AK467">
        <f t="shared" si="394"/>
        <v>149869.58814701875</v>
      </c>
      <c r="AL467">
        <v>1</v>
      </c>
      <c r="AM467">
        <f t="shared" si="395"/>
        <v>481.05227789443444</v>
      </c>
      <c r="AN467">
        <f t="shared" si="369"/>
        <v>311.63947903395342</v>
      </c>
      <c r="AO467">
        <f t="shared" si="370"/>
        <v>-45.293124099388301</v>
      </c>
      <c r="AQ467">
        <f t="shared" si="396"/>
        <v>1.5622800602602665E-3</v>
      </c>
      <c r="AR467">
        <f t="shared" si="397"/>
        <v>-3.9525685524584744</v>
      </c>
      <c r="AT467">
        <f t="shared" si="365"/>
        <v>-6011.4003046674061</v>
      </c>
      <c r="AU467">
        <f t="shared" si="366"/>
        <v>-561.3052882302926</v>
      </c>
      <c r="AV467">
        <f t="shared" si="407"/>
        <v>-3.0484891378934722</v>
      </c>
      <c r="AW467">
        <f t="shared" si="408"/>
        <v>268.61523559987251</v>
      </c>
      <c r="AX467">
        <f t="shared" si="409"/>
        <v>-2912.200477985416</v>
      </c>
      <c r="AY467">
        <f t="shared" si="417"/>
        <v>-1.4788186881308389</v>
      </c>
      <c r="BA467">
        <f t="shared" si="398"/>
        <v>2.0644280847734024</v>
      </c>
      <c r="BB467">
        <f t="shared" si="410"/>
        <v>6.295995172840561</v>
      </c>
      <c r="BC467">
        <f t="shared" si="411"/>
        <v>-1.5696704497626333</v>
      </c>
      <c r="BD467">
        <f t="shared" si="399"/>
        <v>-269.93549210056688</v>
      </c>
      <c r="BF467">
        <f t="shared" si="400"/>
        <v>-58.477726990060432</v>
      </c>
      <c r="BG467">
        <f t="shared" si="401"/>
        <v>-188.83082772222917</v>
      </c>
      <c r="BH467">
        <f t="shared" si="412"/>
        <v>-8.8308277222291736</v>
      </c>
      <c r="BI467">
        <f t="shared" si="413"/>
        <v>-8.8308277222291736</v>
      </c>
      <c r="BJ467">
        <f t="shared" si="402"/>
        <v>0</v>
      </c>
      <c r="BK467">
        <f t="shared" si="414"/>
        <v>0</v>
      </c>
      <c r="BM467">
        <f t="shared" si="415"/>
        <v>-64.773722162900995</v>
      </c>
      <c r="BN467">
        <f t="shared" si="403"/>
        <v>-98.895335621662298</v>
      </c>
      <c r="BQ467" s="47">
        <f t="shared" si="416"/>
        <v>23.197955973125698</v>
      </c>
    </row>
    <row r="468" spans="1:69">
      <c r="A468">
        <f t="shared" si="372"/>
        <v>1270000</v>
      </c>
      <c r="B468">
        <f t="shared" si="404"/>
        <v>1270</v>
      </c>
      <c r="C468">
        <f t="shared" si="373"/>
        <v>6.4615658589441045</v>
      </c>
      <c r="D468">
        <f t="shared" si="374"/>
        <v>1.4154105410450986</v>
      </c>
      <c r="F468">
        <f t="shared" si="375"/>
        <v>5.9310345115421553E-6</v>
      </c>
      <c r="G468">
        <f t="shared" si="376"/>
        <v>7.3426458129315227E-4</v>
      </c>
      <c r="H468">
        <f t="shared" si="377"/>
        <v>-3.1408583854187069</v>
      </c>
      <c r="J468">
        <f t="shared" si="378"/>
        <v>15</v>
      </c>
      <c r="M468">
        <f t="shared" si="379"/>
        <v>1.1858085180991851E-3</v>
      </c>
      <c r="N468">
        <f t="shared" si="380"/>
        <v>-1.5707963250000001</v>
      </c>
      <c r="O468">
        <f t="shared" si="381"/>
        <v>618.82230340596925</v>
      </c>
      <c r="P468">
        <f t="shared" si="382"/>
        <v>1.5691803533082842</v>
      </c>
      <c r="Q468">
        <f t="shared" si="383"/>
        <v>482.95470559206319</v>
      </c>
      <c r="R468">
        <f t="shared" si="384"/>
        <v>1.5687257377666131</v>
      </c>
      <c r="S468">
        <f t="shared" si="385"/>
        <v>0.14532175833314509</v>
      </c>
      <c r="T468">
        <f t="shared" si="386"/>
        <v>-1.424958151428269</v>
      </c>
      <c r="U468">
        <f t="shared" si="387"/>
        <v>9.3823226134964799E-2</v>
      </c>
      <c r="V468">
        <f t="shared" si="388"/>
        <v>-1.4768349013662507</v>
      </c>
      <c r="X468">
        <f t="shared" si="405"/>
        <v>-51.126251655967856</v>
      </c>
      <c r="Y468">
        <f t="shared" si="389"/>
        <v>-175.33259876858367</v>
      </c>
      <c r="Z468">
        <f t="shared" si="406"/>
        <v>4.6674012314163349</v>
      </c>
      <c r="AC468">
        <v>1</v>
      </c>
      <c r="AD468">
        <f t="shared" si="390"/>
        <v>618.82149541905005</v>
      </c>
      <c r="AE468">
        <f t="shared" si="391"/>
        <v>-0.40491403664473097</v>
      </c>
      <c r="AF468">
        <f t="shared" si="392"/>
        <v>3.8158663972842004E-2</v>
      </c>
      <c r="AG468">
        <f t="shared" si="367"/>
        <v>140.30761451998168</v>
      </c>
      <c r="AH468">
        <f t="shared" si="368"/>
        <v>-1515.0562558590766</v>
      </c>
      <c r="AJ468">
        <f t="shared" si="393"/>
        <v>22100</v>
      </c>
      <c r="AK468">
        <f t="shared" si="394"/>
        <v>150461.95806064334</v>
      </c>
      <c r="AL468">
        <v>1</v>
      </c>
      <c r="AM468">
        <f t="shared" si="395"/>
        <v>482.9536702971792</v>
      </c>
      <c r="AN468">
        <f t="shared" si="369"/>
        <v>311.63873912434707</v>
      </c>
      <c r="AO468">
        <f t="shared" si="370"/>
        <v>-45.114806245221139</v>
      </c>
      <c r="AQ468">
        <f t="shared" si="396"/>
        <v>1.5500028597552763E-3</v>
      </c>
      <c r="AR468">
        <f t="shared" si="397"/>
        <v>-3.9370072637784017</v>
      </c>
      <c r="AT468">
        <f t="shared" si="365"/>
        <v>-5964.5700071463416</v>
      </c>
      <c r="AU468">
        <f t="shared" si="366"/>
        <v>-554.74043905785948</v>
      </c>
      <c r="AV468">
        <f t="shared" si="407"/>
        <v>-3.0488535008806994</v>
      </c>
      <c r="AW468">
        <f t="shared" si="408"/>
        <v>268.96196373438454</v>
      </c>
      <c r="AX468">
        <f t="shared" si="409"/>
        <v>-2900.8310740274601</v>
      </c>
      <c r="AY468">
        <f t="shared" si="417"/>
        <v>-1.478341726473565</v>
      </c>
      <c r="BA468">
        <f t="shared" si="398"/>
        <v>2.0562133630565453</v>
      </c>
      <c r="BB468">
        <f t="shared" si="410"/>
        <v>6.2613635448925322</v>
      </c>
      <c r="BC468">
        <f t="shared" si="411"/>
        <v>-1.5705117744071344</v>
      </c>
      <c r="BD468">
        <f t="shared" si="399"/>
        <v>-269.98369645195226</v>
      </c>
      <c r="BF468">
        <f t="shared" si="400"/>
        <v>-58.547446747825461</v>
      </c>
      <c r="BG468">
        <f t="shared" si="401"/>
        <v>-188.84457581747068</v>
      </c>
      <c r="BH468">
        <f t="shared" si="412"/>
        <v>-8.8445758174706839</v>
      </c>
      <c r="BI468">
        <f t="shared" si="413"/>
        <v>-8.8445758174706839</v>
      </c>
      <c r="BJ468">
        <f t="shared" si="402"/>
        <v>0</v>
      </c>
      <c r="BK468">
        <f t="shared" si="414"/>
        <v>0</v>
      </c>
      <c r="BM468">
        <f t="shared" si="415"/>
        <v>-64.808810292717993</v>
      </c>
      <c r="BN468">
        <f t="shared" si="403"/>
        <v>-98.860879365518457</v>
      </c>
      <c r="BQ468" s="47">
        <f t="shared" si="416"/>
        <v>23.163324345177667</v>
      </c>
    </row>
    <row r="469" spans="1:69">
      <c r="A469">
        <f t="shared" si="372"/>
        <v>1275000</v>
      </c>
      <c r="B469">
        <f t="shared" si="404"/>
        <v>1275</v>
      </c>
      <c r="C469">
        <f t="shared" si="373"/>
        <v>6.4863969645487467</v>
      </c>
      <c r="D469">
        <f t="shared" si="374"/>
        <v>1.4160101920782184</v>
      </c>
      <c r="F469">
        <f t="shared" si="375"/>
        <v>5.8846075397047711E-6</v>
      </c>
      <c r="G469">
        <f t="shared" si="376"/>
        <v>7.3138507880878174E-4</v>
      </c>
      <c r="H469">
        <f t="shared" si="377"/>
        <v>-3.1408612649211913</v>
      </c>
      <c r="J469">
        <f t="shared" si="378"/>
        <v>15</v>
      </c>
      <c r="M469">
        <f t="shared" si="379"/>
        <v>1.1811582886164431E-3</v>
      </c>
      <c r="N469">
        <f t="shared" si="380"/>
        <v>-1.5707963250000001</v>
      </c>
      <c r="O469">
        <f t="shared" si="381"/>
        <v>621.2586053374722</v>
      </c>
      <c r="P469">
        <f t="shared" si="382"/>
        <v>1.5691866904482443</v>
      </c>
      <c r="Q469">
        <f t="shared" si="383"/>
        <v>484.85609393483662</v>
      </c>
      <c r="R469">
        <f t="shared" si="384"/>
        <v>1.5687338577005143</v>
      </c>
      <c r="S469">
        <f t="shared" si="385"/>
        <v>0.14476383502263332</v>
      </c>
      <c r="T469">
        <f t="shared" si="386"/>
        <v>-1.4255220376276359</v>
      </c>
      <c r="U469">
        <f t="shared" si="387"/>
        <v>9.3458511904608951E-2</v>
      </c>
      <c r="V469">
        <f t="shared" si="388"/>
        <v>-1.4772012252108795</v>
      </c>
      <c r="X469">
        <f t="shared" si="405"/>
        <v>-51.194307882962072</v>
      </c>
      <c r="Y469">
        <f t="shared" si="389"/>
        <v>-175.35087505883084</v>
      </c>
      <c r="Z469">
        <f t="shared" si="406"/>
        <v>4.6491249411691626</v>
      </c>
      <c r="AC469">
        <v>1</v>
      </c>
      <c r="AD469">
        <f t="shared" si="390"/>
        <v>621.257800519125</v>
      </c>
      <c r="AE469">
        <f t="shared" si="391"/>
        <v>-0.40810861232599094</v>
      </c>
      <c r="AF469">
        <f t="shared" si="392"/>
        <v>3.8308894933365006E-2</v>
      </c>
      <c r="AG469">
        <f t="shared" si="367"/>
        <v>139.21891343305523</v>
      </c>
      <c r="AH469">
        <f t="shared" si="368"/>
        <v>-1509.2170544533617</v>
      </c>
      <c r="AJ469">
        <f t="shared" si="393"/>
        <v>22100</v>
      </c>
      <c r="AK469">
        <f t="shared" si="394"/>
        <v>151054.32797426789</v>
      </c>
      <c r="AL469">
        <v>1</v>
      </c>
      <c r="AM469">
        <f t="shared" si="395"/>
        <v>484.85506269992402</v>
      </c>
      <c r="AN469">
        <f t="shared" si="369"/>
        <v>311.63800790243067</v>
      </c>
      <c r="AO469">
        <f t="shared" si="370"/>
        <v>-44.937886944541098</v>
      </c>
      <c r="AQ469">
        <f t="shared" si="396"/>
        <v>1.537869813476384E-3</v>
      </c>
      <c r="AR469">
        <f t="shared" si="397"/>
        <v>-3.9215680243647792</v>
      </c>
      <c r="AT469">
        <f t="shared" si="365"/>
        <v>-5918.2832420058676</v>
      </c>
      <c r="AU469">
        <f t="shared" si="366"/>
        <v>-548.27741865590519</v>
      </c>
      <c r="AV469">
        <f t="shared" si="407"/>
        <v>-3.0492150315097861</v>
      </c>
      <c r="AW469">
        <f t="shared" si="408"/>
        <v>269.30447629513122</v>
      </c>
      <c r="AX469">
        <f t="shared" si="409"/>
        <v>-2889.5497332157011</v>
      </c>
      <c r="AY469">
        <f t="shared" si="417"/>
        <v>-1.4778653164123445</v>
      </c>
      <c r="BA469">
        <f t="shared" si="398"/>
        <v>2.0480626643937216</v>
      </c>
      <c r="BB469">
        <f t="shared" si="410"/>
        <v>6.2268648115451644</v>
      </c>
      <c r="BC469">
        <f t="shared" si="411"/>
        <v>-1.5713497150974416</v>
      </c>
      <c r="BD469">
        <f t="shared" si="399"/>
        <v>-270.03170691704395</v>
      </c>
      <c r="BF469">
        <f t="shared" si="400"/>
        <v>-58.616889454257127</v>
      </c>
      <c r="BG469">
        <f t="shared" si="401"/>
        <v>-188.85839379248438</v>
      </c>
      <c r="BH469">
        <f t="shared" si="412"/>
        <v>-8.8583937924843781</v>
      </c>
      <c r="BI469">
        <f t="shared" si="413"/>
        <v>-8.8583937924843781</v>
      </c>
      <c r="BJ469">
        <f t="shared" si="402"/>
        <v>0</v>
      </c>
      <c r="BK469">
        <f t="shared" si="414"/>
        <v>0</v>
      </c>
      <c r="BM469">
        <f t="shared" si="415"/>
        <v>-64.843754265802289</v>
      </c>
      <c r="BN469">
        <f t="shared" si="403"/>
        <v>-98.826686875440416</v>
      </c>
      <c r="BQ469" s="47">
        <f t="shared" si="416"/>
        <v>23.128825611830301</v>
      </c>
    </row>
    <row r="470" spans="1:69">
      <c r="A470">
        <f t="shared" si="372"/>
        <v>1280000</v>
      </c>
      <c r="B470">
        <f t="shared" si="404"/>
        <v>1280</v>
      </c>
      <c r="C470">
        <f t="shared" si="373"/>
        <v>6.5112303847508555</v>
      </c>
      <c r="D470">
        <f t="shared" si="374"/>
        <v>1.4166052692618538</v>
      </c>
      <c r="F470">
        <f t="shared" si="375"/>
        <v>5.8387235747379553E-6</v>
      </c>
      <c r="G470">
        <f t="shared" si="376"/>
        <v>7.2852807282829774E-4</v>
      </c>
      <c r="H470">
        <f t="shared" si="377"/>
        <v>-3.140864121927172</v>
      </c>
      <c r="J470">
        <f t="shared" si="378"/>
        <v>15</v>
      </c>
      <c r="M470">
        <f t="shared" si="379"/>
        <v>1.1765443890515352E-3</v>
      </c>
      <c r="N470">
        <f t="shared" si="380"/>
        <v>-1.5707963250000001</v>
      </c>
      <c r="O470">
        <f t="shared" si="381"/>
        <v>623.69490729372956</v>
      </c>
      <c r="P470">
        <f t="shared" si="382"/>
        <v>1.5691929780794265</v>
      </c>
      <c r="Q470">
        <f t="shared" si="383"/>
        <v>486.75748230932862</v>
      </c>
      <c r="R470">
        <f t="shared" si="384"/>
        <v>1.568741914197701</v>
      </c>
      <c r="S470">
        <f t="shared" si="385"/>
        <v>0.14421013398762234</v>
      </c>
      <c r="T470">
        <f t="shared" si="386"/>
        <v>-1.4260816104351184</v>
      </c>
      <c r="U470">
        <f t="shared" si="387"/>
        <v>9.3096609816543288E-2</v>
      </c>
      <c r="V470">
        <f t="shared" si="388"/>
        <v>-1.4775647120512179</v>
      </c>
      <c r="X470">
        <f t="shared" si="405"/>
        <v>-51.262099332013939</v>
      </c>
      <c r="Y470">
        <f t="shared" si="389"/>
        <v>-175.3690089061721</v>
      </c>
      <c r="Z470">
        <f t="shared" si="406"/>
        <v>4.6309910938279018</v>
      </c>
      <c r="AC470">
        <v>1</v>
      </c>
      <c r="AD470">
        <f t="shared" si="390"/>
        <v>623.69410561920006</v>
      </c>
      <c r="AE470">
        <f t="shared" si="391"/>
        <v>-0.41131574036749163</v>
      </c>
      <c r="AF470">
        <f t="shared" si="392"/>
        <v>3.8459125893888002E-2</v>
      </c>
      <c r="AG470">
        <f t="shared" si="367"/>
        <v>138.1427981925697</v>
      </c>
      <c r="AH470">
        <f t="shared" si="368"/>
        <v>-1503.4222949982</v>
      </c>
      <c r="AJ470">
        <f t="shared" si="393"/>
        <v>22100</v>
      </c>
      <c r="AK470">
        <f t="shared" si="394"/>
        <v>151646.69788789249</v>
      </c>
      <c r="AL470">
        <v>1</v>
      </c>
      <c r="AM470">
        <f t="shared" si="395"/>
        <v>486.75645510266884</v>
      </c>
      <c r="AN470">
        <f t="shared" si="369"/>
        <v>311.63728523272562</v>
      </c>
      <c r="AO470">
        <f t="shared" si="370"/>
        <v>-44.762349808327812</v>
      </c>
      <c r="AQ470">
        <f t="shared" si="396"/>
        <v>1.5258786734193919E-3</v>
      </c>
      <c r="AR470">
        <f t="shared" si="397"/>
        <v>-3.9062494039536433</v>
      </c>
      <c r="AT470">
        <f t="shared" ref="AT470:AT533" si="418">-AR470*AH470+AG470*AQ470</f>
        <v>-5872.5316545776877</v>
      </c>
      <c r="AU470">
        <f t="shared" ref="AU470:AU533" si="419">AQ470*AH470+AG470*AR470</f>
        <v>-541.91426311729481</v>
      </c>
      <c r="AV470">
        <f t="shared" si="407"/>
        <v>-3.0495737625814527</v>
      </c>
      <c r="AW470">
        <f t="shared" si="408"/>
        <v>269.64284179122473</v>
      </c>
      <c r="AX470">
        <f t="shared" si="409"/>
        <v>-2878.3554405222126</v>
      </c>
      <c r="AY470">
        <f t="shared" si="417"/>
        <v>-1.4773894513907717</v>
      </c>
      <c r="BA470">
        <f t="shared" si="398"/>
        <v>2.0399752396443511</v>
      </c>
      <c r="BB470">
        <f t="shared" si="410"/>
        <v>6.1924979235073145</v>
      </c>
      <c r="BC470">
        <f t="shared" si="411"/>
        <v>-1.572184311190681</v>
      </c>
      <c r="BD470">
        <f t="shared" si="399"/>
        <v>-270.07952575083931</v>
      </c>
      <c r="BF470">
        <f t="shared" si="400"/>
        <v>-58.686057358130086</v>
      </c>
      <c r="BG470">
        <f t="shared" si="401"/>
        <v>-188.87228090951885</v>
      </c>
      <c r="BH470">
        <f t="shared" si="412"/>
        <v>-8.8722809095188495</v>
      </c>
      <c r="BI470">
        <f t="shared" si="413"/>
        <v>-8.8722809095188495</v>
      </c>
      <c r="BJ470">
        <f t="shared" si="402"/>
        <v>0</v>
      </c>
      <c r="BK470">
        <f t="shared" si="414"/>
        <v>0</v>
      </c>
      <c r="BM470">
        <f t="shared" si="415"/>
        <v>-64.878555281637404</v>
      </c>
      <c r="BN470">
        <f t="shared" si="403"/>
        <v>-98.792755158679554</v>
      </c>
      <c r="BQ470" s="47">
        <f t="shared" si="416"/>
        <v>23.094458723792449</v>
      </c>
    </row>
    <row r="471" spans="1:69">
      <c r="A471">
        <f t="shared" si="372"/>
        <v>1285000</v>
      </c>
      <c r="B471">
        <f t="shared" si="404"/>
        <v>1285</v>
      </c>
      <c r="C471">
        <f t="shared" si="373"/>
        <v>6.5360660931678778</v>
      </c>
      <c r="D471">
        <f t="shared" si="374"/>
        <v>1.4171958243111962</v>
      </c>
      <c r="F471">
        <f t="shared" si="375"/>
        <v>5.7933741815574211E-6</v>
      </c>
      <c r="G471">
        <f t="shared" si="376"/>
        <v>7.2569330074055054E-4</v>
      </c>
      <c r="H471">
        <f t="shared" si="377"/>
        <v>-3.1408669566992597</v>
      </c>
      <c r="J471">
        <f t="shared" si="378"/>
        <v>15</v>
      </c>
      <c r="M471">
        <f t="shared" si="379"/>
        <v>1.1719663953198172E-3</v>
      </c>
      <c r="N471">
        <f t="shared" si="380"/>
        <v>-1.5707963250000001</v>
      </c>
      <c r="O471">
        <f t="shared" si="381"/>
        <v>626.13120927445243</v>
      </c>
      <c r="P471">
        <f t="shared" si="382"/>
        <v>1.5691992167797519</v>
      </c>
      <c r="Q471">
        <f t="shared" si="383"/>
        <v>488.65887071516875</v>
      </c>
      <c r="R471">
        <f t="shared" si="384"/>
        <v>1.5687499079986749</v>
      </c>
      <c r="S471">
        <f t="shared" si="385"/>
        <v>0.14366060799827909</v>
      </c>
      <c r="T471">
        <f t="shared" si="386"/>
        <v>-1.4266369188080001</v>
      </c>
      <c r="U471">
        <f t="shared" si="387"/>
        <v>9.2737487613414535E-2</v>
      </c>
      <c r="V471">
        <f t="shared" si="388"/>
        <v>-1.4779253946220734</v>
      </c>
      <c r="X471">
        <f t="shared" si="405"/>
        <v>-51.329628049028358</v>
      </c>
      <c r="Y471">
        <f t="shared" si="389"/>
        <v>-175.38700196766368</v>
      </c>
      <c r="Z471">
        <f t="shared" si="406"/>
        <v>4.6129980323363213</v>
      </c>
      <c r="AC471">
        <v>1</v>
      </c>
      <c r="AD471">
        <f t="shared" si="390"/>
        <v>626.13041071927512</v>
      </c>
      <c r="AE471">
        <f t="shared" si="391"/>
        <v>-0.41453542076923305</v>
      </c>
      <c r="AF471">
        <f t="shared" si="392"/>
        <v>3.8609356854411005E-2</v>
      </c>
      <c r="AG471">
        <f t="shared" si="367"/>
        <v>137.07907610815414</v>
      </c>
      <c r="AH471">
        <f t="shared" si="368"/>
        <v>-1497.6714766629209</v>
      </c>
      <c r="AJ471">
        <f t="shared" si="393"/>
        <v>22100</v>
      </c>
      <c r="AK471">
        <f t="shared" si="394"/>
        <v>152239.06780151709</v>
      </c>
      <c r="AL471">
        <v>1</v>
      </c>
      <c r="AM471">
        <f t="shared" si="395"/>
        <v>488.65784750541366</v>
      </c>
      <c r="AN471">
        <f t="shared" si="369"/>
        <v>311.63657098238377</v>
      </c>
      <c r="AO471">
        <f t="shared" si="370"/>
        <v>-44.588178702637599</v>
      </c>
      <c r="AQ471">
        <f t="shared" si="396"/>
        <v>1.5140272352303238E-3</v>
      </c>
      <c r="AR471">
        <f t="shared" si="397"/>
        <v>-3.8910499945419317</v>
      </c>
      <c r="AT471">
        <f t="shared" si="418"/>
        <v>-5827.307049640257</v>
      </c>
      <c r="AU471">
        <f t="shared" si="419"/>
        <v>-535.64905374754153</v>
      </c>
      <c r="AV471">
        <f t="shared" si="407"/>
        <v>-3.049929726393386</v>
      </c>
      <c r="AW471">
        <f t="shared" si="408"/>
        <v>269.97712733813228</v>
      </c>
      <c r="AX471">
        <f t="shared" si="409"/>
        <v>-2867.2471963950024</v>
      </c>
      <c r="AY471">
        <f t="shared" si="417"/>
        <v>-1.476914124969394</v>
      </c>
      <c r="BA471">
        <f t="shared" si="398"/>
        <v>2.0319503513071107</v>
      </c>
      <c r="BB471">
        <f t="shared" si="410"/>
        <v>6.1582618437260352</v>
      </c>
      <c r="BC471">
        <f t="shared" si="411"/>
        <v>-1.573015601423992</v>
      </c>
      <c r="BD471">
        <f t="shared" si="399"/>
        <v>-270.12715517281293</v>
      </c>
      <c r="BF471">
        <f t="shared" si="400"/>
        <v>-58.75495268089356</v>
      </c>
      <c r="BG471">
        <f t="shared" si="401"/>
        <v>-188.88623644003303</v>
      </c>
      <c r="BH471">
        <f t="shared" si="412"/>
        <v>-8.8862364400330307</v>
      </c>
      <c r="BI471">
        <f t="shared" si="413"/>
        <v>-8.8862364400330307</v>
      </c>
      <c r="BJ471">
        <f t="shared" si="402"/>
        <v>0</v>
      </c>
      <c r="BK471">
        <f t="shared" si="414"/>
        <v>0</v>
      </c>
      <c r="BM471">
        <f t="shared" si="415"/>
        <v>-64.91321452461959</v>
      </c>
      <c r="BN471">
        <f t="shared" si="403"/>
        <v>-98.759081267220125</v>
      </c>
      <c r="BQ471" s="47">
        <f t="shared" si="416"/>
        <v>23.060222644011169</v>
      </c>
    </row>
    <row r="472" spans="1:69">
      <c r="A472">
        <f t="shared" si="372"/>
        <v>1290000</v>
      </c>
      <c r="B472">
        <f t="shared" si="404"/>
        <v>1290</v>
      </c>
      <c r="C472">
        <f t="shared" si="373"/>
        <v>6.5609040638143217</v>
      </c>
      <c r="D472">
        <f t="shared" si="374"/>
        <v>1.4177819081710383</v>
      </c>
      <c r="F472">
        <f t="shared" si="375"/>
        <v>5.748551088233925E-6</v>
      </c>
      <c r="G472">
        <f t="shared" si="376"/>
        <v>7.2288050400599782E-4</v>
      </c>
      <c r="H472">
        <f t="shared" si="377"/>
        <v>-3.1408697694959944</v>
      </c>
      <c r="J472">
        <f t="shared" si="378"/>
        <v>15</v>
      </c>
      <c r="M472">
        <f t="shared" si="379"/>
        <v>1.1674238899116009E-3</v>
      </c>
      <c r="N472">
        <f t="shared" si="380"/>
        <v>-1.5707963250000001</v>
      </c>
      <c r="O472">
        <f t="shared" si="381"/>
        <v>628.56751127935627</v>
      </c>
      <c r="P472">
        <f t="shared" si="382"/>
        <v>1.5692054071181822</v>
      </c>
      <c r="Q472">
        <f t="shared" si="383"/>
        <v>490.56025915199245</v>
      </c>
      <c r="R472">
        <f t="shared" si="384"/>
        <v>1.568757839832458</v>
      </c>
      <c r="S472">
        <f t="shared" si="385"/>
        <v>0.14311521051860232</v>
      </c>
      <c r="T472">
        <f t="shared" si="386"/>
        <v>-1.427188010970724</v>
      </c>
      <c r="U472">
        <f t="shared" si="387"/>
        <v>9.2381113527157679E-2</v>
      </c>
      <c r="V472">
        <f t="shared" si="388"/>
        <v>-1.478283305158022</v>
      </c>
      <c r="X472">
        <f t="shared" si="405"/>
        <v>-51.396896056365591</v>
      </c>
      <c r="Y472">
        <f t="shared" si="389"/>
        <v>-175.40485587479048</v>
      </c>
      <c r="Z472">
        <f t="shared" si="406"/>
        <v>4.5951441252095151</v>
      </c>
      <c r="AC472">
        <v>1</v>
      </c>
      <c r="AD472">
        <f t="shared" si="390"/>
        <v>628.56671581935007</v>
      </c>
      <c r="AE472">
        <f t="shared" si="391"/>
        <v>-0.41776765353121514</v>
      </c>
      <c r="AF472">
        <f t="shared" si="392"/>
        <v>3.8759587814934007E-2</v>
      </c>
      <c r="AG472">
        <f t="shared" si="367"/>
        <v>136.02755815227812</v>
      </c>
      <c r="AH472">
        <f t="shared" si="368"/>
        <v>-1491.964106041838</v>
      </c>
      <c r="AJ472">
        <f t="shared" si="393"/>
        <v>22100</v>
      </c>
      <c r="AK472">
        <f t="shared" si="394"/>
        <v>152831.43771514166</v>
      </c>
      <c r="AL472">
        <v>1</v>
      </c>
      <c r="AM472">
        <f t="shared" si="395"/>
        <v>490.55923990815842</v>
      </c>
      <c r="AN472">
        <f t="shared" si="369"/>
        <v>311.63586502112662</v>
      </c>
      <c r="AO472">
        <f t="shared" si="370"/>
        <v>-44.415357743660174</v>
      </c>
      <c r="AQ472">
        <f t="shared" si="396"/>
        <v>1.5023133371922755E-3</v>
      </c>
      <c r="AR472">
        <f t="shared" si="397"/>
        <v>-3.8759684099560707</v>
      </c>
      <c r="AT472">
        <f t="shared" si="418"/>
        <v>-5782.6013877916757</v>
      </c>
      <c r="AU472">
        <f t="shared" si="419"/>
        <v>-529.47991585681109</v>
      </c>
      <c r="AV472">
        <f t="shared" si="407"/>
        <v>-3.0502829547498176</v>
      </c>
      <c r="AW472">
        <f t="shared" si="408"/>
        <v>270.30739869170577</v>
      </c>
      <c r="AX472">
        <f t="shared" si="409"/>
        <v>-2856.2240164653795</v>
      </c>
      <c r="AY472">
        <f t="shared" si="417"/>
        <v>-1.4764393308231503</v>
      </c>
      <c r="BA472">
        <f t="shared" si="398"/>
        <v>2.0239872732948929</v>
      </c>
      <c r="BB472">
        <f t="shared" si="410"/>
        <v>6.1241555471973452</v>
      </c>
      <c r="BC472">
        <f t="shared" si="411"/>
        <v>-1.5738436239266673</v>
      </c>
      <c r="BD472">
        <f t="shared" si="399"/>
        <v>-270.17459736761231</v>
      </c>
      <c r="BF472">
        <f t="shared" si="400"/>
        <v>-58.82357761711441</v>
      </c>
      <c r="BG472">
        <f t="shared" si="401"/>
        <v>-188.90025966456605</v>
      </c>
      <c r="BH472">
        <f t="shared" si="412"/>
        <v>-8.9002596645660503</v>
      </c>
      <c r="BI472">
        <f t="shared" si="413"/>
        <v>-8.9002596645660503</v>
      </c>
      <c r="BJ472">
        <f t="shared" si="402"/>
        <v>0</v>
      </c>
      <c r="BK472">
        <f t="shared" si="414"/>
        <v>0</v>
      </c>
      <c r="BM472">
        <f t="shared" si="415"/>
        <v>-64.947733164311757</v>
      </c>
      <c r="BN472">
        <f t="shared" si="403"/>
        <v>-98.725662296953772</v>
      </c>
      <c r="BQ472" s="47">
        <f t="shared" si="416"/>
        <v>23.026116347482485</v>
      </c>
    </row>
    <row r="473" spans="1:69">
      <c r="A473">
        <f>A472+5000</f>
        <v>1295000</v>
      </c>
      <c r="B473">
        <f t="shared" si="404"/>
        <v>1295</v>
      </c>
      <c r="C473">
        <f t="shared" si="373"/>
        <v>6.585744271094363</v>
      </c>
      <c r="D473">
        <f t="shared" si="374"/>
        <v>1.4183635710299478</v>
      </c>
      <c r="F473">
        <f t="shared" si="375"/>
        <v>5.7042461822208693E-6</v>
      </c>
      <c r="G473">
        <f t="shared" si="376"/>
        <v>7.2008942807809883E-4</v>
      </c>
      <c r="H473">
        <f t="shared" si="377"/>
        <v>-3.1408725605719221</v>
      </c>
      <c r="J473">
        <f t="shared" si="378"/>
        <v>15</v>
      </c>
      <c r="M473">
        <f t="shared" si="379"/>
        <v>1.1629164617652241E-3</v>
      </c>
      <c r="N473">
        <f t="shared" si="380"/>
        <v>-1.5707963250000001</v>
      </c>
      <c r="O473">
        <f t="shared" si="381"/>
        <v>631.00381330816094</v>
      </c>
      <c r="P473">
        <f t="shared" si="382"/>
        <v>1.569211549654892</v>
      </c>
      <c r="Q473">
        <f t="shared" si="383"/>
        <v>492.46164761944101</v>
      </c>
      <c r="R473">
        <f t="shared" si="384"/>
        <v>1.5687657104168129</v>
      </c>
      <c r="S473">
        <f t="shared" si="385"/>
        <v>0.14257389569388074</v>
      </c>
      <c r="T473">
        <f t="shared" si="386"/>
        <v>-1.4277349344284538</v>
      </c>
      <c r="U473">
        <f t="shared" si="387"/>
        <v>9.2027456269795804E-2</v>
      </c>
      <c r="V473">
        <f t="shared" si="388"/>
        <v>-1.4786384754028972</v>
      </c>
      <c r="X473">
        <f t="shared" si="405"/>
        <v>-51.463905353199941</v>
      </c>
      <c r="Y473">
        <f t="shared" si="389"/>
        <v>-175.42257223395643</v>
      </c>
      <c r="Z473">
        <f t="shared" si="406"/>
        <v>4.57742776604357</v>
      </c>
      <c r="AC473">
        <v>1</v>
      </c>
      <c r="AD473">
        <f t="shared" si="390"/>
        <v>631.00302091942501</v>
      </c>
      <c r="AE473">
        <f t="shared" si="391"/>
        <v>-0.4210124386534379</v>
      </c>
      <c r="AF473">
        <f t="shared" si="392"/>
        <v>3.890981877545701E-2</v>
      </c>
      <c r="AG473">
        <f t="shared" si="367"/>
        <v>134.98805887726164</v>
      </c>
      <c r="AH473">
        <f t="shared" si="368"/>
        <v>-1486.2996970185843</v>
      </c>
      <c r="AJ473">
        <f t="shared" si="393"/>
        <v>22100</v>
      </c>
      <c r="AK473">
        <f t="shared" si="394"/>
        <v>153423.80762876623</v>
      </c>
      <c r="AL473">
        <v>1</v>
      </c>
      <c r="AM473">
        <f t="shared" si="395"/>
        <v>492.46063231090324</v>
      </c>
      <c r="AN473">
        <f t="shared" si="369"/>
        <v>311.63516722118555</v>
      </c>
      <c r="AO473">
        <f t="shared" si="370"/>
        <v>-44.24387129288997</v>
      </c>
      <c r="AQ473">
        <f t="shared" si="396"/>
        <v>1.4907348592395971E-3</v>
      </c>
      <c r="AR473">
        <f t="shared" si="397"/>
        <v>-3.8610032854305563</v>
      </c>
      <c r="AT473">
        <f t="shared" si="418"/>
        <v>-5738.4067819182446</v>
      </c>
      <c r="AU473">
        <f t="shared" si="419"/>
        <v>-523.40501758862342</v>
      </c>
      <c r="AV473">
        <f t="shared" si="407"/>
        <v>-3.0506334789708838</v>
      </c>
      <c r="AW473">
        <f t="shared" si="408"/>
        <v>270.63372028124439</v>
      </c>
      <c r="AX473">
        <f t="shared" si="409"/>
        <v>-2845.2849312619137</v>
      </c>
      <c r="AY473">
        <f t="shared" si="417"/>
        <v>-1.4759650627388767</v>
      </c>
      <c r="BA473">
        <f t="shared" si="398"/>
        <v>2.0160852907149862</v>
      </c>
      <c r="BB473">
        <f t="shared" si="410"/>
        <v>6.0901780207807379</v>
      </c>
      <c r="BC473">
        <f t="shared" si="411"/>
        <v>-1.574668416232007</v>
      </c>
      <c r="BD473">
        <f t="shared" si="399"/>
        <v>-270.22185448573714</v>
      </c>
      <c r="BF473">
        <f t="shared" si="400"/>
        <v>-58.891934334911141</v>
      </c>
      <c r="BG473">
        <f t="shared" si="401"/>
        <v>-188.91434987260888</v>
      </c>
      <c r="BH473">
        <f t="shared" si="412"/>
        <v>-8.9143498726088808</v>
      </c>
      <c r="BI473">
        <f t="shared" si="413"/>
        <v>-8.9143498726088808</v>
      </c>
      <c r="BJ473">
        <f t="shared" si="402"/>
        <v>0</v>
      </c>
      <c r="BK473">
        <f t="shared" si="414"/>
        <v>0</v>
      </c>
      <c r="BM473">
        <f t="shared" si="415"/>
        <v>-64.982112355691882</v>
      </c>
      <c r="BN473">
        <f t="shared" si="403"/>
        <v>-98.692495386871812</v>
      </c>
      <c r="BQ473" s="47">
        <f t="shared" si="416"/>
        <v>22.992138821065872</v>
      </c>
    </row>
    <row r="474" spans="1:69">
      <c r="A474">
        <f t="shared" ref="A474:A537" si="420">A473+5000</f>
        <v>1300000</v>
      </c>
      <c r="B474">
        <f t="shared" si="404"/>
        <v>1300</v>
      </c>
      <c r="C474">
        <f t="shared" si="373"/>
        <v>6.6105866897946051</v>
      </c>
      <c r="D474">
        <f t="shared" si="374"/>
        <v>1.4189408623341309</v>
      </c>
      <c r="F474">
        <f t="shared" si="375"/>
        <v>5.660451506683295E-6</v>
      </c>
      <c r="G474">
        <f t="shared" si="376"/>
        <v>7.1731982232652448E-4</v>
      </c>
      <c r="H474">
        <f t="shared" si="377"/>
        <v>-3.1408753301776735</v>
      </c>
      <c r="J474">
        <f t="shared" si="378"/>
        <v>15</v>
      </c>
      <c r="M474">
        <f t="shared" si="379"/>
        <v>1.15844370614305E-3</v>
      </c>
      <c r="N474">
        <f t="shared" si="380"/>
        <v>-1.5707963250000001</v>
      </c>
      <c r="O474">
        <f t="shared" si="381"/>
        <v>633.44011536059077</v>
      </c>
      <c r="P474">
        <f t="shared" si="382"/>
        <v>1.5692176449414375</v>
      </c>
      <c r="Q474">
        <f t="shared" si="383"/>
        <v>494.36303611716102</v>
      </c>
      <c r="R474">
        <f t="shared" si="384"/>
        <v>1.5687735204584599</v>
      </c>
      <c r="S474">
        <f t="shared" si="385"/>
        <v>0.14203661833841924</v>
      </c>
      <c r="T474">
        <f t="shared" si="386"/>
        <v>-1.428277735980338</v>
      </c>
      <c r="U474">
        <f t="shared" si="387"/>
        <v>9.1676485024445808E-2</v>
      </c>
      <c r="V474">
        <f t="shared" si="388"/>
        <v>-1.4789909366190683</v>
      </c>
      <c r="X474">
        <f t="shared" si="405"/>
        <v>-51.530657915871643</v>
      </c>
      <c r="Y474">
        <f t="shared" si="389"/>
        <v>-175.44015262696428</v>
      </c>
      <c r="Z474">
        <f t="shared" si="406"/>
        <v>4.5598473730357227</v>
      </c>
      <c r="AC474">
        <v>1</v>
      </c>
      <c r="AD474">
        <f t="shared" si="390"/>
        <v>633.43932601950007</v>
      </c>
      <c r="AE474">
        <f t="shared" si="391"/>
        <v>-0.42426977613590144</v>
      </c>
      <c r="AF474">
        <f t="shared" si="392"/>
        <v>3.9060049735980006E-2</v>
      </c>
      <c r="AG474">
        <f t="shared" si="367"/>
        <v>133.96039633446316</v>
      </c>
      <c r="AH474">
        <f t="shared" si="368"/>
        <v>-1480.6777706333671</v>
      </c>
      <c r="AJ474">
        <f t="shared" si="393"/>
        <v>22100</v>
      </c>
      <c r="AK474">
        <f t="shared" si="394"/>
        <v>154016.1775423908</v>
      </c>
      <c r="AL474">
        <v>1</v>
      </c>
      <c r="AM474">
        <f t="shared" si="395"/>
        <v>494.36202471364805</v>
      </c>
      <c r="AN474">
        <f t="shared" si="369"/>
        <v>311.63447745724471</v>
      </c>
      <c r="AO474">
        <f t="shared" si="370"/>
        <v>-44.073703952408863</v>
      </c>
      <c r="AQ474">
        <f t="shared" si="396"/>
        <v>1.4792897219985618E-3</v>
      </c>
      <c r="AR474">
        <f t="shared" si="397"/>
        <v>-3.8461532771962608</v>
      </c>
      <c r="AT474">
        <f t="shared" si="418"/>
        <v>-5694.7154937557252</v>
      </c>
      <c r="AU474">
        <f t="shared" si="419"/>
        <v>-517.42256878399519</v>
      </c>
      <c r="AV474">
        <f t="shared" si="407"/>
        <v>-3.0509813299017741</v>
      </c>
      <c r="AW474">
        <f t="shared" si="408"/>
        <v>270.95615524161798</v>
      </c>
      <c r="AX474">
        <f t="shared" si="409"/>
        <v>-2834.4289859308142</v>
      </c>
      <c r="AY474">
        <f t="shared" si="417"/>
        <v>-1.4754913146128792</v>
      </c>
      <c r="BA474">
        <f t="shared" si="398"/>
        <v>2.0082436996542876</v>
      </c>
      <c r="BB474">
        <f t="shared" si="410"/>
        <v>6.0563282630171331</v>
      </c>
      <c r="BC474">
        <f t="shared" si="411"/>
        <v>-1.5754900152888949</v>
      </c>
      <c r="BD474">
        <f t="shared" si="399"/>
        <v>-270.2689286442025</v>
      </c>
      <c r="BF474">
        <f t="shared" si="400"/>
        <v>-58.96002497637916</v>
      </c>
      <c r="BG474">
        <f t="shared" si="401"/>
        <v>-188.92850636247786</v>
      </c>
      <c r="BH474">
        <f t="shared" si="412"/>
        <v>-8.9285063624778616</v>
      </c>
      <c r="BI474">
        <f t="shared" si="413"/>
        <v>-8.9285063624778616</v>
      </c>
      <c r="BJ474">
        <f t="shared" si="402"/>
        <v>0</v>
      </c>
      <c r="BK474">
        <f t="shared" si="414"/>
        <v>0</v>
      </c>
      <c r="BM474">
        <f t="shared" si="415"/>
        <v>-65.016353239396295</v>
      </c>
      <c r="BN474">
        <f t="shared" si="403"/>
        <v>-98.659577718275358</v>
      </c>
      <c r="BQ474" s="47">
        <f t="shared" si="416"/>
        <v>22.958289063302271</v>
      </c>
    </row>
    <row r="475" spans="1:69">
      <c r="A475">
        <f t="shared" si="420"/>
        <v>1305000</v>
      </c>
      <c r="B475">
        <f t="shared" si="404"/>
        <v>1305</v>
      </c>
      <c r="C475">
        <f t="shared" si="373"/>
        <v>6.6354312950770158</v>
      </c>
      <c r="D475">
        <f t="shared" si="374"/>
        <v>1.4195138308009954</v>
      </c>
      <c r="F475">
        <f t="shared" si="375"/>
        <v>5.6171592569251198E-6</v>
      </c>
      <c r="G475">
        <f t="shared" si="376"/>
        <v>7.1457143996212999E-4</v>
      </c>
      <c r="H475">
        <f t="shared" si="377"/>
        <v>-3.1408780785600379</v>
      </c>
      <c r="J475">
        <f t="shared" si="378"/>
        <v>15</v>
      </c>
      <c r="M475">
        <f t="shared" si="379"/>
        <v>1.1540052245103179E-3</v>
      </c>
      <c r="N475">
        <f t="shared" si="380"/>
        <v>-1.5707963250000001</v>
      </c>
      <c r="O475">
        <f t="shared" si="381"/>
        <v>635.87641743637414</v>
      </c>
      <c r="P475">
        <f t="shared" si="382"/>
        <v>1.5692236935209223</v>
      </c>
      <c r="Q475">
        <f t="shared" si="383"/>
        <v>496.26442464480442</v>
      </c>
      <c r="R475">
        <f t="shared" si="384"/>
        <v>1.5687812706532884</v>
      </c>
      <c r="S475">
        <f t="shared" si="385"/>
        <v>0.14150333392352565</v>
      </c>
      <c r="T475">
        <f t="shared" si="386"/>
        <v>-1.4288164617324837</v>
      </c>
      <c r="U475">
        <f t="shared" si="387"/>
        <v>9.1328169436524692E-2</v>
      </c>
      <c r="V475">
        <f t="shared" si="388"/>
        <v>-1.4793407195965074</v>
      </c>
      <c r="X475">
        <f t="shared" si="405"/>
        <v>-51.597155698232122</v>
      </c>
      <c r="Y475">
        <f t="shared" si="389"/>
        <v>-175.45759861148392</v>
      </c>
      <c r="Z475">
        <f t="shared" si="406"/>
        <v>4.5424013885160832</v>
      </c>
      <c r="AC475">
        <v>1</v>
      </c>
      <c r="AD475">
        <f t="shared" si="390"/>
        <v>635.87563111957502</v>
      </c>
      <c r="AE475">
        <f t="shared" si="391"/>
        <v>-0.42753966597860565</v>
      </c>
      <c r="AF475">
        <f t="shared" si="392"/>
        <v>3.9210280696503001E-2</v>
      </c>
      <c r="AG475">
        <f t="shared" si="367"/>
        <v>132.94439199558255</v>
      </c>
      <c r="AH475">
        <f t="shared" si="368"/>
        <v>-1475.0978549530912</v>
      </c>
      <c r="AJ475">
        <f t="shared" si="393"/>
        <v>22100</v>
      </c>
      <c r="AK475">
        <f t="shared" si="394"/>
        <v>154608.5474560154</v>
      </c>
      <c r="AL475">
        <v>1</v>
      </c>
      <c r="AM475">
        <f t="shared" si="395"/>
        <v>496.26341711639282</v>
      </c>
      <c r="AN475">
        <f t="shared" si="369"/>
        <v>311.63379560638407</v>
      </c>
      <c r="AO475">
        <f t="shared" si="370"/>
        <v>-43.9048405602773</v>
      </c>
      <c r="AQ475">
        <f t="shared" si="396"/>
        <v>1.4679758858537183E-3</v>
      </c>
      <c r="AR475">
        <f t="shared" si="397"/>
        <v>-3.8314170620782049</v>
      </c>
      <c r="AT475">
        <f t="shared" si="418"/>
        <v>-5651.5199305406259</v>
      </c>
      <c r="AU475">
        <f t="shared" si="419"/>
        <v>-511.53081987983381</v>
      </c>
      <c r="AV475">
        <f t="shared" si="407"/>
        <v>-3.0513265379216743</v>
      </c>
      <c r="AW475">
        <f t="shared" si="408"/>
        <v>271.27476544448456</v>
      </c>
      <c r="AX475">
        <f t="shared" si="409"/>
        <v>-2823.6552399625516</v>
      </c>
      <c r="AY475">
        <f t="shared" si="417"/>
        <v>-1.4750180804485653</v>
      </c>
      <c r="BA475">
        <f t="shared" si="398"/>
        <v>2.0004618069694571</v>
      </c>
      <c r="BB475">
        <f t="shared" si="410"/>
        <v>6.0226052839503916</v>
      </c>
      <c r="BC475">
        <f t="shared" si="411"/>
        <v>-1.576308457473109</v>
      </c>
      <c r="BD475">
        <f t="shared" si="399"/>
        <v>-270.31582192718702</v>
      </c>
      <c r="BF475">
        <f t="shared" si="400"/>
        <v>-59.02785165800757</v>
      </c>
      <c r="BG475">
        <f t="shared" si="401"/>
        <v>-188.94272844118959</v>
      </c>
      <c r="BH475">
        <f t="shared" si="412"/>
        <v>-8.9427284411895869</v>
      </c>
      <c r="BI475">
        <f t="shared" si="413"/>
        <v>-8.9427284411895869</v>
      </c>
      <c r="BJ475">
        <f t="shared" si="402"/>
        <v>0</v>
      </c>
      <c r="BK475">
        <f t="shared" si="414"/>
        <v>0</v>
      </c>
      <c r="BM475">
        <f t="shared" si="415"/>
        <v>-65.050456941957961</v>
      </c>
      <c r="BN475">
        <f t="shared" si="403"/>
        <v>-98.62690651400257</v>
      </c>
      <c r="BQ475" s="47">
        <f t="shared" si="416"/>
        <v>22.924566084235529</v>
      </c>
    </row>
    <row r="476" spans="1:69">
      <c r="A476">
        <f t="shared" si="420"/>
        <v>1310000</v>
      </c>
      <c r="B476">
        <f t="shared" si="404"/>
        <v>1310</v>
      </c>
      <c r="C476">
        <f t="shared" si="373"/>
        <v>6.6602780624719964</v>
      </c>
      <c r="D476">
        <f t="shared" si="374"/>
        <v>1.4200825244324202</v>
      </c>
      <c r="F476">
        <f t="shared" si="375"/>
        <v>5.5743617769116774E-6</v>
      </c>
      <c r="G476">
        <f t="shared" si="376"/>
        <v>7.1184403796364926E-4</v>
      </c>
      <c r="H476">
        <f t="shared" si="377"/>
        <v>-3.1408808059620368</v>
      </c>
      <c r="J476">
        <f t="shared" si="378"/>
        <v>15</v>
      </c>
      <c r="M476">
        <f t="shared" si="379"/>
        <v>1.1496006244167672E-3</v>
      </c>
      <c r="N476">
        <f t="shared" si="380"/>
        <v>-1.5707963250000001</v>
      </c>
      <c r="O476">
        <f t="shared" si="381"/>
        <v>638.31271953524367</v>
      </c>
      <c r="P476">
        <f t="shared" si="382"/>
        <v>1.5692296959281584</v>
      </c>
      <c r="Q476">
        <f t="shared" si="383"/>
        <v>498.16581320202869</v>
      </c>
      <c r="R476">
        <f t="shared" si="384"/>
        <v>1.5687889616865636</v>
      </c>
      <c r="S476">
        <f t="shared" si="385"/>
        <v>0.14097399856575238</v>
      </c>
      <c r="T476">
        <f t="shared" si="386"/>
        <v>-1.4293511571106476</v>
      </c>
      <c r="U476">
        <f t="shared" si="387"/>
        <v>9.0982479605151156E-2</v>
      </c>
      <c r="V476">
        <f t="shared" si="388"/>
        <v>-1.4796878546616532</v>
      </c>
      <c r="X476">
        <f t="shared" si="405"/>
        <v>-51.663400631982725</v>
      </c>
      <c r="Y476">
        <f t="shared" si="389"/>
        <v>-175.47491172151015</v>
      </c>
      <c r="Z476">
        <f t="shared" si="406"/>
        <v>4.5250882784898465</v>
      </c>
      <c r="AC476">
        <v>1</v>
      </c>
      <c r="AD476">
        <f t="shared" si="390"/>
        <v>638.31193621965008</v>
      </c>
      <c r="AE476">
        <f t="shared" si="391"/>
        <v>-0.43082210818155053</v>
      </c>
      <c r="AF476">
        <f t="shared" si="392"/>
        <v>3.9360511657026004E-2</v>
      </c>
      <c r="AG476">
        <f t="shared" si="367"/>
        <v>131.93987067601455</v>
      </c>
      <c r="AH476">
        <f t="shared" si="368"/>
        <v>-1469.5594849442612</v>
      </c>
      <c r="AJ476">
        <f t="shared" si="393"/>
        <v>22100</v>
      </c>
      <c r="AK476">
        <f t="shared" si="394"/>
        <v>155200.91736963997</v>
      </c>
      <c r="AL476">
        <v>1</v>
      </c>
      <c r="AM476">
        <f t="shared" si="395"/>
        <v>498.16480951913763</v>
      </c>
      <c r="AN476">
        <f t="shared" si="369"/>
        <v>311.63312154802475</v>
      </c>
      <c r="AO476">
        <f t="shared" si="370"/>
        <v>-43.737266186031043</v>
      </c>
      <c r="AQ476">
        <f t="shared" si="396"/>
        <v>1.4567913500391366E-3</v>
      </c>
      <c r="AR476">
        <f t="shared" si="397"/>
        <v>-3.816793337102538</v>
      </c>
      <c r="AT476">
        <f t="shared" si="418"/>
        <v>-5608.8126417487674</v>
      </c>
      <c r="AU476">
        <f t="shared" si="419"/>
        <v>-505.72806084041764</v>
      </c>
      <c r="AV476">
        <f t="shared" si="407"/>
        <v>-3.051669132952509</v>
      </c>
      <c r="AW476">
        <f t="shared" si="408"/>
        <v>271.58961152862997</v>
      </c>
      <c r="AX476">
        <f t="shared" si="409"/>
        <v>-2812.9627669245692</v>
      </c>
      <c r="AY476">
        <f t="shared" si="417"/>
        <v>-1.4745453543541414</v>
      </c>
      <c r="BA476">
        <f t="shared" si="398"/>
        <v>1.9927389300818532</v>
      </c>
      <c r="BB476">
        <f t="shared" si="410"/>
        <v>5.9890081049521626</v>
      </c>
      <c r="BC476">
        <f t="shared" si="411"/>
        <v>-1.5771237785983676</v>
      </c>
      <c r="BD476">
        <f t="shared" si="399"/>
        <v>-270.36253638666557</v>
      </c>
      <c r="BF476">
        <f t="shared" si="400"/>
        <v>-59.095416471087546</v>
      </c>
      <c r="BG476">
        <f t="shared" si="401"/>
        <v>-188.95701542433807</v>
      </c>
      <c r="BH476">
        <f t="shared" si="412"/>
        <v>-8.9570154243380671</v>
      </c>
      <c r="BI476">
        <f t="shared" si="413"/>
        <v>-8.9570154243380671</v>
      </c>
      <c r="BJ476">
        <f t="shared" si="402"/>
        <v>0</v>
      </c>
      <c r="BK476">
        <f t="shared" si="414"/>
        <v>0</v>
      </c>
      <c r="BM476">
        <f t="shared" si="415"/>
        <v>-65.084424576039709</v>
      </c>
      <c r="BN476">
        <f t="shared" si="403"/>
        <v>-98.594479037672485</v>
      </c>
      <c r="BQ476" s="47">
        <f t="shared" si="416"/>
        <v>22.890968905237301</v>
      </c>
    </row>
    <row r="477" spans="1:69">
      <c r="A477">
        <f t="shared" si="420"/>
        <v>1315000</v>
      </c>
      <c r="B477">
        <f t="shared" si="404"/>
        <v>1315</v>
      </c>
      <c r="C477">
        <f t="shared" si="373"/>
        <v>6.6851269678716259</v>
      </c>
      <c r="D477">
        <f t="shared" si="374"/>
        <v>1.4206469905277372</v>
      </c>
      <c r="F477">
        <f t="shared" si="375"/>
        <v>5.5320515558846154E-6</v>
      </c>
      <c r="G477">
        <f t="shared" si="376"/>
        <v>7.0913737700605787E-4</v>
      </c>
      <c r="H477">
        <f t="shared" si="377"/>
        <v>-3.1408835126229944</v>
      </c>
      <c r="J477">
        <f t="shared" si="378"/>
        <v>15</v>
      </c>
      <c r="M477">
        <f t="shared" si="379"/>
        <v>1.1452295193809621E-3</v>
      </c>
      <c r="N477">
        <f t="shared" si="380"/>
        <v>-1.5707963250000001</v>
      </c>
      <c r="O477">
        <f t="shared" si="381"/>
        <v>640.74902165693595</v>
      </c>
      <c r="P477">
        <f t="shared" si="382"/>
        <v>1.5692356526898239</v>
      </c>
      <c r="Q477">
        <f t="shared" si="383"/>
        <v>500.06720178849645</v>
      </c>
      <c r="R477">
        <f t="shared" si="384"/>
        <v>1.5687965942331286</v>
      </c>
      <c r="S477">
        <f t="shared" si="385"/>
        <v>0.14044856901538638</v>
      </c>
      <c r="T477">
        <f t="shared" si="386"/>
        <v>-1.4298818668726501</v>
      </c>
      <c r="U477">
        <f t="shared" si="387"/>
        <v>9.063938607473751E-2</v>
      </c>
      <c r="V477">
        <f t="shared" si="388"/>
        <v>-1.4800323716860766</v>
      </c>
      <c r="X477">
        <f t="shared" si="405"/>
        <v>-51.72939462700726</v>
      </c>
      <c r="Y477">
        <f t="shared" si="389"/>
        <v>-175.49209346781021</v>
      </c>
      <c r="Z477">
        <f t="shared" si="406"/>
        <v>4.5079065321897929</v>
      </c>
      <c r="AC477">
        <v>1</v>
      </c>
      <c r="AD477">
        <f t="shared" si="390"/>
        <v>640.74824131972503</v>
      </c>
      <c r="AE477">
        <f t="shared" si="391"/>
        <v>-0.43411710274473619</v>
      </c>
      <c r="AF477">
        <f t="shared" si="392"/>
        <v>3.9510742617549E-2</v>
      </c>
      <c r="AG477">
        <f t="shared" si="367"/>
        <v>130.94666046019307</v>
      </c>
      <c r="AH477">
        <f t="shared" si="368"/>
        <v>-1464.0622023486062</v>
      </c>
      <c r="AJ477">
        <f t="shared" si="393"/>
        <v>22100</v>
      </c>
      <c r="AK477">
        <f t="shared" si="394"/>
        <v>155793.28728326454</v>
      </c>
      <c r="AL477">
        <v>1</v>
      </c>
      <c r="AM477">
        <f t="shared" si="395"/>
        <v>500.06620192188245</v>
      </c>
      <c r="AN477">
        <f t="shared" si="369"/>
        <v>311.63245516387605</v>
      </c>
      <c r="AO477">
        <f t="shared" si="370"/>
        <v>-43.570966126280581</v>
      </c>
      <c r="AQ477">
        <f t="shared" si="396"/>
        <v>1.4457341517537985E-3</v>
      </c>
      <c r="AR477">
        <f t="shared" si="397"/>
        <v>-3.8022808191124899</v>
      </c>
      <c r="AT477">
        <f t="shared" si="418"/>
        <v>-5566.5863159186092</v>
      </c>
      <c r="AU477">
        <f t="shared" si="419"/>
        <v>-500.01262012085527</v>
      </c>
      <c r="AV477">
        <f t="shared" si="407"/>
        <v>-3.0520091444674877</v>
      </c>
      <c r="AW477">
        <f t="shared" si="408"/>
        <v>271.90075292945733</v>
      </c>
      <c r="AX477">
        <f t="shared" si="409"/>
        <v>-2802.35065419993</v>
      </c>
      <c r="AY477">
        <f t="shared" si="417"/>
        <v>-1.4740731305403665</v>
      </c>
      <c r="BA477">
        <f t="shared" si="398"/>
        <v>1.9850743967771403</v>
      </c>
      <c r="BB477">
        <f t="shared" si="410"/>
        <v>5.955535758550087</v>
      </c>
      <c r="BC477">
        <f t="shared" si="411"/>
        <v>-1.5779360139271212</v>
      </c>
      <c r="BD477">
        <f t="shared" si="399"/>
        <v>-270.40907404302777</v>
      </c>
      <c r="BF477">
        <f t="shared" si="400"/>
        <v>-59.162721482112644</v>
      </c>
      <c r="BG477">
        <f t="shared" si="401"/>
        <v>-188.97136663597303</v>
      </c>
      <c r="BH477">
        <f t="shared" si="412"/>
        <v>-8.9713666359730269</v>
      </c>
      <c r="BI477">
        <f t="shared" si="413"/>
        <v>-8.9713666359730269</v>
      </c>
      <c r="BJ477">
        <f t="shared" si="402"/>
        <v>0</v>
      </c>
      <c r="BK477">
        <f t="shared" si="414"/>
        <v>0</v>
      </c>
      <c r="BM477">
        <f t="shared" si="415"/>
        <v>-65.118257240662729</v>
      </c>
      <c r="BN477">
        <f t="shared" si="403"/>
        <v>-98.562292592945269</v>
      </c>
      <c r="BQ477" s="47">
        <f t="shared" si="416"/>
        <v>22.857496558835223</v>
      </c>
    </row>
    <row r="478" spans="1:69">
      <c r="A478">
        <f t="shared" si="420"/>
        <v>1320000</v>
      </c>
      <c r="B478">
        <f t="shared" si="404"/>
        <v>1320</v>
      </c>
      <c r="C478">
        <f t="shared" si="373"/>
        <v>6.7099779875230343</v>
      </c>
      <c r="D478">
        <f t="shared" si="374"/>
        <v>1.421207275696436</v>
      </c>
      <c r="F478">
        <f t="shared" si="375"/>
        <v>5.4902212250663919E-6</v>
      </c>
      <c r="G478">
        <f t="shared" si="376"/>
        <v>7.0645122139056818E-4</v>
      </c>
      <c r="H478">
        <f t="shared" si="377"/>
        <v>-3.1408861987786096</v>
      </c>
      <c r="J478">
        <f t="shared" si="378"/>
        <v>15</v>
      </c>
      <c r="M478">
        <f t="shared" si="379"/>
        <v>1.1408915287772464E-3</v>
      </c>
      <c r="N478">
        <f t="shared" si="380"/>
        <v>-1.5707963250000001</v>
      </c>
      <c r="O478">
        <f t="shared" si="381"/>
        <v>643.18532380119177</v>
      </c>
      <c r="P478">
        <f t="shared" si="382"/>
        <v>1.5692415643246163</v>
      </c>
      <c r="Q478">
        <f t="shared" si="383"/>
        <v>501.96859040387517</v>
      </c>
      <c r="R478">
        <f t="shared" si="384"/>
        <v>1.5688041689576013</v>
      </c>
      <c r="S478">
        <f t="shared" si="385"/>
        <v>0.13992700264518176</v>
      </c>
      <c r="T478">
        <f t="shared" si="386"/>
        <v>-1.4304086351205216</v>
      </c>
      <c r="U478">
        <f t="shared" si="387"/>
        <v>9.0298859826767053E-2</v>
      </c>
      <c r="V478">
        <f t="shared" si="388"/>
        <v>-1.4803743000949545</v>
      </c>
      <c r="X478">
        <f t="shared" si="405"/>
        <v>-51.795139571698137</v>
      </c>
      <c r="Y478">
        <f t="shared" si="389"/>
        <v>-175.50914533836132</v>
      </c>
      <c r="Z478">
        <f t="shared" si="406"/>
        <v>4.4908546616386786</v>
      </c>
      <c r="AC478">
        <v>1</v>
      </c>
      <c r="AD478">
        <f t="shared" si="390"/>
        <v>643.18454641980009</v>
      </c>
      <c r="AE478">
        <f t="shared" si="391"/>
        <v>-0.43742464966816252</v>
      </c>
      <c r="AF478">
        <f t="shared" si="392"/>
        <v>3.9660973578072002E-2</v>
      </c>
      <c r="AG478">
        <f t="shared" si="367"/>
        <v>129.96459262886785</v>
      </c>
      <c r="AH478">
        <f t="shared" si="368"/>
        <v>-1458.6055555613559</v>
      </c>
      <c r="AJ478">
        <f t="shared" si="393"/>
        <v>22100</v>
      </c>
      <c r="AK478">
        <f t="shared" si="394"/>
        <v>156385.65719688914</v>
      </c>
      <c r="AL478">
        <v>1</v>
      </c>
      <c r="AM478">
        <f t="shared" si="395"/>
        <v>501.96759432462727</v>
      </c>
      <c r="AN478">
        <f t="shared" si="369"/>
        <v>311.63179633788343</v>
      </c>
      <c r="AO478">
        <f t="shared" si="370"/>
        <v>-43.405925900410558</v>
      </c>
      <c r="AQ478">
        <f t="shared" si="396"/>
        <v>1.4348023653003952E-3</v>
      </c>
      <c r="AR478">
        <f t="shared" si="397"/>
        <v>-3.7878782443930437</v>
      </c>
      <c r="AT478">
        <f t="shared" si="418"/>
        <v>-5524.8337775567798</v>
      </c>
      <c r="AU478">
        <f t="shared" si="419"/>
        <v>-494.3828636614528</v>
      </c>
      <c r="AV478">
        <f t="shared" si="407"/>
        <v>-3.0523466014994596</v>
      </c>
      <c r="AW478">
        <f t="shared" si="408"/>
        <v>272.20824790765556</v>
      </c>
      <c r="AX478">
        <f t="shared" si="409"/>
        <v>-2791.8180027317371</v>
      </c>
      <c r="AY478">
        <f t="shared" si="417"/>
        <v>-1.4736014033183644</v>
      </c>
      <c r="BA478">
        <f t="shared" si="398"/>
        <v>1.9774675450094266</v>
      </c>
      <c r="BB478">
        <f t="shared" si="410"/>
        <v>5.9221872882591908</v>
      </c>
      <c r="BC478">
        <f t="shared" si="411"/>
        <v>-1.5787451981810952</v>
      </c>
      <c r="BD478">
        <f t="shared" si="399"/>
        <v>-270.45543688568188</v>
      </c>
      <c r="BF478">
        <f t="shared" si="400"/>
        <v>-59.229768733171106</v>
      </c>
      <c r="BG478">
        <f t="shared" si="401"/>
        <v>-188.98578140848028</v>
      </c>
      <c r="BH478">
        <f t="shared" si="412"/>
        <v>-8.9857814084802783</v>
      </c>
      <c r="BI478">
        <f t="shared" si="413"/>
        <v>-8.9857814084802783</v>
      </c>
      <c r="BJ478">
        <f t="shared" si="402"/>
        <v>0</v>
      </c>
      <c r="BK478">
        <f t="shared" si="414"/>
        <v>0</v>
      </c>
      <c r="BM478">
        <f t="shared" si="415"/>
        <v>-65.151956021430294</v>
      </c>
      <c r="BN478">
        <f t="shared" si="403"/>
        <v>-98.530344522798401</v>
      </c>
      <c r="BQ478" s="47">
        <f t="shared" si="416"/>
        <v>22.82414808854433</v>
      </c>
    </row>
    <row r="479" spans="1:69">
      <c r="A479">
        <f t="shared" si="420"/>
        <v>1325000</v>
      </c>
      <c r="B479">
        <f t="shared" si="404"/>
        <v>1325</v>
      </c>
      <c r="C479">
        <f t="shared" si="373"/>
        <v>6.7348310980219335</v>
      </c>
      <c r="D479">
        <f t="shared" si="374"/>
        <v>1.4217634258705931</v>
      </c>
      <c r="F479">
        <f t="shared" si="375"/>
        <v>5.4488635544516542E-6</v>
      </c>
      <c r="G479">
        <f t="shared" si="376"/>
        <v>7.03785338976206E-4</v>
      </c>
      <c r="H479">
        <f t="shared" si="377"/>
        <v>-3.140888864661024</v>
      </c>
      <c r="J479">
        <f t="shared" si="378"/>
        <v>15</v>
      </c>
      <c r="M479">
        <f t="shared" si="379"/>
        <v>1.1365862777252566E-3</v>
      </c>
      <c r="N479">
        <f t="shared" si="380"/>
        <v>-1.5707963250000001</v>
      </c>
      <c r="O479">
        <f t="shared" si="381"/>
        <v>645.62162596775568</v>
      </c>
      <c r="P479">
        <f t="shared" si="382"/>
        <v>1.5692474313434046</v>
      </c>
      <c r="Q479">
        <f t="shared" si="383"/>
        <v>503.86997904783783</v>
      </c>
      <c r="R479">
        <f t="shared" si="384"/>
        <v>1.5688116865145685</v>
      </c>
      <c r="S479">
        <f t="shared" si="385"/>
        <v>0.13940925743932867</v>
      </c>
      <c r="T479">
        <f t="shared" si="386"/>
        <v>-1.4309315053123874</v>
      </c>
      <c r="U479">
        <f t="shared" si="387"/>
        <v>8.9960872271752312E-2</v>
      </c>
      <c r="V479">
        <f t="shared" si="388"/>
        <v>-1.4807136688753524</v>
      </c>
      <c r="X479">
        <f t="shared" si="405"/>
        <v>-51.860637333276649</v>
      </c>
      <c r="Y479">
        <f t="shared" si="389"/>
        <v>-175.52606879877808</v>
      </c>
      <c r="Z479">
        <f t="shared" si="406"/>
        <v>4.4739312012219159</v>
      </c>
      <c r="AC479">
        <v>1</v>
      </c>
      <c r="AD479">
        <f t="shared" si="390"/>
        <v>645.62085151987503</v>
      </c>
      <c r="AE479">
        <f t="shared" si="391"/>
        <v>-0.44074474895182958</v>
      </c>
      <c r="AF479">
        <f t="shared" si="392"/>
        <v>3.9811204538595005E-2</v>
      </c>
      <c r="AG479">
        <f t="shared" si="367"/>
        <v>128.99350158825499</v>
      </c>
      <c r="AH479">
        <f t="shared" si="368"/>
        <v>-1453.1890995120993</v>
      </c>
      <c r="AJ479">
        <f t="shared" si="393"/>
        <v>22100</v>
      </c>
      <c r="AK479">
        <f t="shared" si="394"/>
        <v>156978.02711051371</v>
      </c>
      <c r="AL479">
        <v>1</v>
      </c>
      <c r="AM479">
        <f t="shared" si="395"/>
        <v>503.86898672737198</v>
      </c>
      <c r="AN479">
        <f t="shared" si="369"/>
        <v>311.63114495617776</v>
      </c>
      <c r="AO479">
        <f t="shared" si="370"/>
        <v>-43.242131246376637</v>
      </c>
      <c r="AQ479">
        <f t="shared" si="396"/>
        <v>1.423994101246835E-3</v>
      </c>
      <c r="AR479">
        <f t="shared" si="397"/>
        <v>-3.7735843683041126</v>
      </c>
      <c r="AT479">
        <f t="shared" si="418"/>
        <v>-5483.5479841234264</v>
      </c>
      <c r="AU479">
        <f t="shared" si="419"/>
        <v>-488.83719391195217</v>
      </c>
      <c r="AV479">
        <f t="shared" si="407"/>
        <v>-3.0526815326490868</v>
      </c>
      <c r="AW479">
        <f t="shared" si="408"/>
        <v>272.51215357706911</v>
      </c>
      <c r="AX479">
        <f t="shared" si="409"/>
        <v>-2781.3639267731851</v>
      </c>
      <c r="AY479">
        <f t="shared" si="417"/>
        <v>-1.4731301670974926</v>
      </c>
      <c r="BA479">
        <f t="shared" si="398"/>
        <v>1.9699177227098335</v>
      </c>
      <c r="BB479">
        <f t="shared" si="410"/>
        <v>5.8889617484164916</v>
      </c>
      <c r="BC479">
        <f t="shared" si="411"/>
        <v>-1.5795513655515943</v>
      </c>
      <c r="BD479">
        <f t="shared" si="399"/>
        <v>-270.50162687364542</v>
      </c>
      <c r="BF479">
        <f t="shared" si="400"/>
        <v>-59.296560242330443</v>
      </c>
      <c r="BG479">
        <f t="shared" si="401"/>
        <v>-189.00025908246394</v>
      </c>
      <c r="BH479">
        <f t="shared" si="412"/>
        <v>-9.0002590824639412</v>
      </c>
      <c r="BI479">
        <f t="shared" si="413"/>
        <v>-9.0002590824639412</v>
      </c>
      <c r="BJ479">
        <f t="shared" si="402"/>
        <v>0</v>
      </c>
      <c r="BK479">
        <f t="shared" si="414"/>
        <v>0</v>
      </c>
      <c r="BM479">
        <f t="shared" si="415"/>
        <v>-65.185521990746935</v>
      </c>
      <c r="BN479">
        <f t="shared" si="403"/>
        <v>-98.49863220881852</v>
      </c>
      <c r="BQ479" s="47">
        <f t="shared" si="416"/>
        <v>22.790922548701626</v>
      </c>
    </row>
    <row r="480" spans="1:69">
      <c r="A480">
        <f t="shared" si="420"/>
        <v>1330000</v>
      </c>
      <c r="B480">
        <f t="shared" si="404"/>
        <v>1330</v>
      </c>
      <c r="C480">
        <f t="shared" si="373"/>
        <v>6.7596862763062768</v>
      </c>
      <c r="D480">
        <f t="shared" si="374"/>
        <v>1.4223154863170393</v>
      </c>
      <c r="F480">
        <f t="shared" si="375"/>
        <v>5.4079714496829015E-6</v>
      </c>
      <c r="G480">
        <f t="shared" si="376"/>
        <v>7.0113950111293276E-4</v>
      </c>
      <c r="H480">
        <f t="shared" si="377"/>
        <v>-3.1408915104988875</v>
      </c>
      <c r="J480">
        <f t="shared" si="378"/>
        <v>15</v>
      </c>
      <c r="M480">
        <f t="shared" si="379"/>
        <v>1.1323133969819287E-3</v>
      </c>
      <c r="N480">
        <f t="shared" si="380"/>
        <v>-1.5707963250000001</v>
      </c>
      <c r="O480">
        <f t="shared" si="381"/>
        <v>648.05792815637597</v>
      </c>
      <c r="P480">
        <f t="shared" si="382"/>
        <v>1.5692532542493751</v>
      </c>
      <c r="Q480">
        <f t="shared" si="383"/>
        <v>505.77136772006185</v>
      </c>
      <c r="R480">
        <f t="shared" si="384"/>
        <v>1.5688191475487725</v>
      </c>
      <c r="S480">
        <f t="shared" si="385"/>
        <v>0.13889529198265316</v>
      </c>
      <c r="T480">
        <f t="shared" si="386"/>
        <v>-1.4314505202740939</v>
      </c>
      <c r="U480">
        <f t="shared" si="387"/>
        <v>8.9625395241369102E-2</v>
      </c>
      <c r="V480">
        <f t="shared" si="388"/>
        <v>-1.4810505065843271</v>
      </c>
      <c r="X480">
        <f t="shared" si="405"/>
        <v>-51.925889758107232</v>
      </c>
      <c r="Y480">
        <f t="shared" si="389"/>
        <v>-175.54286529273034</v>
      </c>
      <c r="Z480">
        <f t="shared" si="406"/>
        <v>4.4571347072696597</v>
      </c>
      <c r="AC480">
        <v>1</v>
      </c>
      <c r="AD480">
        <f t="shared" si="390"/>
        <v>648.05715661995009</v>
      </c>
      <c r="AE480">
        <f t="shared" si="391"/>
        <v>-0.4440774005957373</v>
      </c>
      <c r="AF480">
        <f t="shared" si="392"/>
        <v>3.9961435499118007E-2</v>
      </c>
      <c r="AG480">
        <f t="shared" si="367"/>
        <v>128.03322480100925</v>
      </c>
      <c r="AH480">
        <f t="shared" si="368"/>
        <v>-1447.8123955481738</v>
      </c>
      <c r="AJ480">
        <f t="shared" si="393"/>
        <v>22100</v>
      </c>
      <c r="AK480">
        <f t="shared" si="394"/>
        <v>157570.39702413828</v>
      </c>
      <c r="AL480">
        <v>1</v>
      </c>
      <c r="AM480">
        <f t="shared" si="395"/>
        <v>505.77037913011679</v>
      </c>
      <c r="AN480">
        <f t="shared" si="369"/>
        <v>311.63050090702626</v>
      </c>
      <c r="AO480">
        <f t="shared" si="370"/>
        <v>-43.079568116597038</v>
      </c>
      <c r="AQ480">
        <f t="shared" si="396"/>
        <v>1.4133075056097708E-3</v>
      </c>
      <c r="AR480">
        <f t="shared" si="397"/>
        <v>-3.7593979649219902</v>
      </c>
      <c r="AT480">
        <f t="shared" si="418"/>
        <v>-5442.722023095057</v>
      </c>
      <c r="AU480">
        <f t="shared" si="419"/>
        <v>-483.37404888465693</v>
      </c>
      <c r="AV480">
        <f t="shared" si="407"/>
        <v>-3.0530139660928315</v>
      </c>
      <c r="AW480">
        <f t="shared" si="408"/>
        <v>272.81252593179971</v>
      </c>
      <c r="AX480">
        <f t="shared" si="409"/>
        <v>-2770.9875536431</v>
      </c>
      <c r="AY480">
        <f t="shared" si="417"/>
        <v>-1.4726594163832631</v>
      </c>
      <c r="BA480">
        <f t="shared" si="398"/>
        <v>1.9624242875993718</v>
      </c>
      <c r="BB480">
        <f t="shared" si="410"/>
        <v>5.8558582040186957</v>
      </c>
      <c r="BC480">
        <f t="shared" si="411"/>
        <v>-1.5803545497095683</v>
      </c>
      <c r="BD480">
        <f t="shared" si="399"/>
        <v>-270.54764593612168</v>
      </c>
      <c r="BF480">
        <f t="shared" si="400"/>
        <v>-59.363098004014461</v>
      </c>
      <c r="BG480">
        <f t="shared" si="401"/>
        <v>-189.0147990066296</v>
      </c>
      <c r="BH480">
        <f t="shared" si="412"/>
        <v>-9.0147990066296018</v>
      </c>
      <c r="BI480">
        <f t="shared" si="413"/>
        <v>-9.0147990066296018</v>
      </c>
      <c r="BJ480">
        <f t="shared" si="402"/>
        <v>0</v>
      </c>
      <c r="BK480">
        <f t="shared" si="414"/>
        <v>0</v>
      </c>
      <c r="BM480">
        <f t="shared" si="415"/>
        <v>-65.218956208033148</v>
      </c>
      <c r="BN480">
        <f t="shared" si="403"/>
        <v>-98.467153070507933</v>
      </c>
      <c r="BQ480" s="47">
        <f t="shared" si="416"/>
        <v>22.757819004303833</v>
      </c>
    </row>
    <row r="481" spans="1:69">
      <c r="A481">
        <f t="shared" si="420"/>
        <v>1335000</v>
      </c>
      <c r="B481">
        <f t="shared" si="404"/>
        <v>1335</v>
      </c>
      <c r="C481">
        <f t="shared" si="373"/>
        <v>6.7845434996500664</v>
      </c>
      <c r="D481">
        <f t="shared" si="374"/>
        <v>1.4228635016492641</v>
      </c>
      <c r="F481">
        <f t="shared" si="375"/>
        <v>5.3675379490079022E-6</v>
      </c>
      <c r="G481">
        <f t="shared" si="376"/>
        <v>6.985134825762705E-4</v>
      </c>
      <c r="H481">
        <f t="shared" si="377"/>
        <v>-3.1408941365174239</v>
      </c>
      <c r="J481">
        <f t="shared" si="378"/>
        <v>15</v>
      </c>
      <c r="M481">
        <f t="shared" si="379"/>
        <v>1.1280725228359288E-3</v>
      </c>
      <c r="N481">
        <f t="shared" si="380"/>
        <v>-1.5707963250000001</v>
      </c>
      <c r="O481">
        <f t="shared" si="381"/>
        <v>650.4942303668048</v>
      </c>
      <c r="P481">
        <f t="shared" si="382"/>
        <v>1.569259033538176</v>
      </c>
      <c r="Q481">
        <f t="shared" si="383"/>
        <v>507.67275642022975</v>
      </c>
      <c r="R481">
        <f t="shared" si="384"/>
        <v>1.5688265526952976</v>
      </c>
      <c r="S481">
        <f t="shared" si="385"/>
        <v>0.13838506545004267</v>
      </c>
      <c r="T481">
        <f t="shared" si="386"/>
        <v>-1.431965722210589</v>
      </c>
      <c r="U481">
        <f t="shared" si="387"/>
        <v>8.9292400980762465E-2</v>
      </c>
      <c r="V481">
        <f t="shared" si="388"/>
        <v>-1.4813848413568482</v>
      </c>
      <c r="X481">
        <f t="shared" si="405"/>
        <v>-51.990898672005898</v>
      </c>
      <c r="Y481">
        <f t="shared" si="389"/>
        <v>-175.55953624235215</v>
      </c>
      <c r="Z481">
        <f t="shared" si="406"/>
        <v>4.4404637576478478</v>
      </c>
      <c r="AC481">
        <v>1</v>
      </c>
      <c r="AD481">
        <f t="shared" si="390"/>
        <v>650.49346172002504</v>
      </c>
      <c r="AE481">
        <f t="shared" si="391"/>
        <v>-0.44742260459988581</v>
      </c>
      <c r="AF481">
        <f t="shared" si="392"/>
        <v>4.0111666459641003E-2</v>
      </c>
      <c r="AG481">
        <f t="shared" si="367"/>
        <v>127.08360271896218</v>
      </c>
      <c r="AH481">
        <f t="shared" si="368"/>
        <v>-1442.4750113205102</v>
      </c>
      <c r="AJ481">
        <f t="shared" si="393"/>
        <v>22100</v>
      </c>
      <c r="AK481">
        <f t="shared" si="394"/>
        <v>158162.76693776288</v>
      </c>
      <c r="AL481">
        <v>1</v>
      </c>
      <c r="AM481">
        <f t="shared" si="395"/>
        <v>507.67177153286156</v>
      </c>
      <c r="AN481">
        <f t="shared" si="369"/>
        <v>311.62986408078467</v>
      </c>
      <c r="AO481">
        <f t="shared" si="370"/>
        <v>-42.918222673936597</v>
      </c>
      <c r="AQ481">
        <f t="shared" si="396"/>
        <v>1.402740759059496E-3</v>
      </c>
      <c r="AR481">
        <f t="shared" si="397"/>
        <v>-3.7453178266888543</v>
      </c>
      <c r="AT481">
        <f t="shared" si="418"/>
        <v>-5402.3491091025717</v>
      </c>
      <c r="AU481">
        <f t="shared" si="419"/>
        <v>-477.99190123547731</v>
      </c>
      <c r="AV481">
        <f t="shared" si="407"/>
        <v>-3.0533439295907718</v>
      </c>
      <c r="AW481">
        <f t="shared" si="408"/>
        <v>273.10941987255876</v>
      </c>
      <c r="AX481">
        <f t="shared" si="409"/>
        <v>-2760.6880234868295</v>
      </c>
      <c r="AY481">
        <f t="shared" si="417"/>
        <v>-1.4721891457753189</v>
      </c>
      <c r="BA481">
        <f t="shared" si="398"/>
        <v>1.9549866070059987</v>
      </c>
      <c r="BB481">
        <f t="shared" si="410"/>
        <v>5.8228757305628847</v>
      </c>
      <c r="BC481">
        <f t="shared" si="411"/>
        <v>-1.5811547838154529</v>
      </c>
      <c r="BD481">
        <f t="shared" si="399"/>
        <v>-270.59349597306368</v>
      </c>
      <c r="BF481">
        <f t="shared" si="400"/>
        <v>-59.429383989372859</v>
      </c>
      <c r="BG481">
        <f t="shared" si="401"/>
        <v>-189.02940053767003</v>
      </c>
      <c r="BH481">
        <f t="shared" si="412"/>
        <v>-9.0294005376700284</v>
      </c>
      <c r="BI481">
        <f t="shared" si="413"/>
        <v>-9.0294005376700284</v>
      </c>
      <c r="BJ481">
        <f t="shared" si="402"/>
        <v>0</v>
      </c>
      <c r="BK481">
        <f t="shared" si="414"/>
        <v>0</v>
      </c>
      <c r="BM481">
        <f t="shared" si="415"/>
        <v>-65.252259719935751</v>
      </c>
      <c r="BN481">
        <f t="shared" si="403"/>
        <v>-98.435904564606346</v>
      </c>
      <c r="BQ481" s="47">
        <f t="shared" si="416"/>
        <v>22.72483653084802</v>
      </c>
    </row>
    <row r="482" spans="1:69">
      <c r="A482">
        <f t="shared" si="420"/>
        <v>1340000</v>
      </c>
      <c r="B482">
        <f t="shared" si="404"/>
        <v>1340</v>
      </c>
      <c r="C482">
        <f t="shared" si="373"/>
        <v>6.8094027456572856</v>
      </c>
      <c r="D482">
        <f t="shared" si="374"/>
        <v>1.4234075158390711</v>
      </c>
      <c r="F482">
        <f t="shared" si="375"/>
        <v>5.3275562203164384E-6</v>
      </c>
      <c r="G482">
        <f t="shared" si="376"/>
        <v>6.9590706150338924E-4</v>
      </c>
      <c r="H482">
        <f t="shared" si="377"/>
        <v>-3.1408967429384966</v>
      </c>
      <c r="J482">
        <f t="shared" si="378"/>
        <v>15</v>
      </c>
      <c r="M482">
        <f t="shared" si="379"/>
        <v>1.1238632970044515E-3</v>
      </c>
      <c r="N482">
        <f t="shared" si="380"/>
        <v>-1.5707963250000001</v>
      </c>
      <c r="O482">
        <f t="shared" si="381"/>
        <v>652.93053259879821</v>
      </c>
      <c r="P482">
        <f t="shared" si="382"/>
        <v>1.5692647696980575</v>
      </c>
      <c r="Q482">
        <f t="shared" si="383"/>
        <v>509.57414514802878</v>
      </c>
      <c r="R482">
        <f t="shared" si="384"/>
        <v>1.5688339025797489</v>
      </c>
      <c r="S482">
        <f t="shared" si="385"/>
        <v>0.13787853759609092</v>
      </c>
      <c r="T482">
        <f t="shared" si="386"/>
        <v>-1.4324771527170577</v>
      </c>
      <c r="U482">
        <f t="shared" si="387"/>
        <v>8.896186214101999E-2</v>
      </c>
      <c r="V482">
        <f t="shared" si="388"/>
        <v>-1.4817167009135477</v>
      </c>
      <c r="X482">
        <f t="shared" si="405"/>
        <v>-52.055665880543131</v>
      </c>
      <c r="Y482">
        <f t="shared" si="389"/>
        <v>-175.5760830486411</v>
      </c>
      <c r="Z482">
        <f t="shared" si="406"/>
        <v>4.4239169513589047</v>
      </c>
      <c r="AC482">
        <v>1</v>
      </c>
      <c r="AD482">
        <f t="shared" si="390"/>
        <v>652.9297668201001</v>
      </c>
      <c r="AE482">
        <f t="shared" si="391"/>
        <v>-0.45078036096427498</v>
      </c>
      <c r="AF482">
        <f t="shared" si="392"/>
        <v>4.0261897420164006E-2</v>
      </c>
      <c r="AG482">
        <f t="shared" si="367"/>
        <v>126.14447871757694</v>
      </c>
      <c r="AH482">
        <f t="shared" si="368"/>
        <v>-1437.1765206718849</v>
      </c>
      <c r="AJ482">
        <f t="shared" si="393"/>
        <v>22100</v>
      </c>
      <c r="AK482">
        <f t="shared" si="394"/>
        <v>158755.13685138745</v>
      </c>
      <c r="AL482">
        <v>1</v>
      </c>
      <c r="AM482">
        <f t="shared" si="395"/>
        <v>509.57316393560637</v>
      </c>
      <c r="AN482">
        <f t="shared" si="369"/>
        <v>311.62923436985034</v>
      </c>
      <c r="AO482">
        <f t="shared" si="370"/>
        <v>-42.758081287780492</v>
      </c>
      <c r="AQ482">
        <f t="shared" si="396"/>
        <v>1.3922920761455676E-3</v>
      </c>
      <c r="AR482">
        <f t="shared" si="397"/>
        <v>-3.7313427640701207</v>
      </c>
      <c r="AT482">
        <f t="shared" si="418"/>
        <v>-5362.4225811423412</v>
      </c>
      <c r="AU482">
        <f t="shared" si="419"/>
        <v>-472.68925737198202</v>
      </c>
      <c r="AV482">
        <f t="shared" si="407"/>
        <v>-3.0536714504942424</v>
      </c>
      <c r="AW482">
        <f t="shared" si="408"/>
        <v>273.40288923229843</v>
      </c>
      <c r="AX482">
        <f t="shared" si="409"/>
        <v>-2750.4644890423378</v>
      </c>
      <c r="AY482">
        <f t="shared" si="417"/>
        <v>-1.4717193499654586</v>
      </c>
      <c r="BA482">
        <f t="shared" si="398"/>
        <v>1.947604057685774</v>
      </c>
      <c r="BB482">
        <f t="shared" si="410"/>
        <v>5.7900134138902093</v>
      </c>
      <c r="BC482">
        <f t="shared" si="411"/>
        <v>-1.5819521005287838</v>
      </c>
      <c r="BD482">
        <f t="shared" si="399"/>
        <v>-270.63917885572499</v>
      </c>
      <c r="BF482">
        <f t="shared" si="400"/>
        <v>-59.495420146643653</v>
      </c>
      <c r="BG482">
        <f t="shared" si="401"/>
        <v>-189.04406304015183</v>
      </c>
      <c r="BH482">
        <f t="shared" si="412"/>
        <v>-9.0440630401518263</v>
      </c>
      <c r="BI482">
        <f t="shared" si="413"/>
        <v>-9.0440630401518263</v>
      </c>
      <c r="BJ482">
        <f t="shared" si="402"/>
        <v>0</v>
      </c>
      <c r="BK482">
        <f t="shared" si="414"/>
        <v>0</v>
      </c>
      <c r="BM482">
        <f t="shared" si="415"/>
        <v>-65.28543356053386</v>
      </c>
      <c r="BN482">
        <f t="shared" si="403"/>
        <v>-98.40488418442682</v>
      </c>
      <c r="BQ482" s="47">
        <f t="shared" si="416"/>
        <v>22.691974214175342</v>
      </c>
    </row>
    <row r="483" spans="1:69">
      <c r="A483">
        <f t="shared" si="420"/>
        <v>1345000</v>
      </c>
      <c r="B483">
        <f t="shared" si="404"/>
        <v>1345</v>
      </c>
      <c r="C483">
        <f t="shared" si="373"/>
        <v>6.8342639922559645</v>
      </c>
      <c r="D483">
        <f t="shared" si="374"/>
        <v>1.4239475722279837</v>
      </c>
      <c r="F483">
        <f t="shared" si="375"/>
        <v>5.2880195582540134E-6</v>
      </c>
      <c r="G483">
        <f t="shared" si="376"/>
        <v>6.9332001933062183E-4</v>
      </c>
      <c r="H483">
        <f t="shared" si="377"/>
        <v>-3.1408993299806696</v>
      </c>
      <c r="J483">
        <f t="shared" si="378"/>
        <v>15</v>
      </c>
      <c r="M483">
        <f t="shared" si="379"/>
        <v>1.119685366532316E-3</v>
      </c>
      <c r="N483">
        <f t="shared" si="380"/>
        <v>-1.5707963250000001</v>
      </c>
      <c r="O483">
        <f t="shared" si="381"/>
        <v>655.36683485211552</v>
      </c>
      <c r="P483">
        <f t="shared" si="382"/>
        <v>1.5692704632100098</v>
      </c>
      <c r="Q483">
        <f t="shared" si="383"/>
        <v>511.47553390315079</v>
      </c>
      <c r="R483">
        <f t="shared" si="384"/>
        <v>1.5688411978184287</v>
      </c>
      <c r="S483">
        <f t="shared" si="385"/>
        <v>0.13737566874495799</v>
      </c>
      <c r="T483">
        <f t="shared" si="386"/>
        <v>-1.4329848527898197</v>
      </c>
      <c r="U483">
        <f t="shared" si="387"/>
        <v>8.86337517718081E-2</v>
      </c>
      <c r="V483">
        <f t="shared" si="388"/>
        <v>-1.4820461125682975</v>
      </c>
      <c r="X483">
        <f t="shared" si="405"/>
        <v>-52.12019316934115</v>
      </c>
      <c r="Y483">
        <f t="shared" si="389"/>
        <v>-175.59250709184897</v>
      </c>
      <c r="Z483">
        <f t="shared" si="406"/>
        <v>4.4074929081510277</v>
      </c>
      <c r="AC483">
        <v>1</v>
      </c>
      <c r="AD483">
        <f t="shared" si="390"/>
        <v>655.36607192017505</v>
      </c>
      <c r="AE483">
        <f t="shared" si="391"/>
        <v>-0.45415066968890488</v>
      </c>
      <c r="AF483">
        <f t="shared" si="392"/>
        <v>4.0412128380687008E-2</v>
      </c>
      <c r="AG483">
        <f t="shared" si="367"/>
        <v>125.21569903206833</v>
      </c>
      <c r="AH483">
        <f t="shared" si="368"/>
        <v>-1431.9165035275098</v>
      </c>
      <c r="AJ483">
        <f t="shared" si="393"/>
        <v>22100</v>
      </c>
      <c r="AK483">
        <f t="shared" si="394"/>
        <v>159347.50676501202</v>
      </c>
      <c r="AL483">
        <v>1</v>
      </c>
      <c r="AM483">
        <f t="shared" si="395"/>
        <v>511.47455633835119</v>
      </c>
      <c r="AN483">
        <f t="shared" si="369"/>
        <v>311.62861166861694</v>
      </c>
      <c r="AO483">
        <f t="shared" si="370"/>
        <v>-42.599130530195751</v>
      </c>
      <c r="AQ483">
        <f t="shared" si="396"/>
        <v>1.3819597045425431E-3</v>
      </c>
      <c r="AR483">
        <f t="shared" si="397"/>
        <v>-3.7174716052194405</v>
      </c>
      <c r="AT483">
        <f t="shared" si="418"/>
        <v>-5322.935899858182</v>
      </c>
      <c r="AU483">
        <f t="shared" si="419"/>
        <v>-467.46465658756188</v>
      </c>
      <c r="AV483">
        <f t="shared" si="407"/>
        <v>-3.0539965557533097</v>
      </c>
      <c r="AW483">
        <f t="shared" si="408"/>
        <v>273.69298680114082</v>
      </c>
      <c r="AX483">
        <f t="shared" si="409"/>
        <v>-2740.316115411385</v>
      </c>
      <c r="AY483">
        <f t="shared" si="417"/>
        <v>-1.4712500237357127</v>
      </c>
      <c r="BA483">
        <f t="shared" si="398"/>
        <v>1.9402760256479843</v>
      </c>
      <c r="BB483">
        <f t="shared" si="410"/>
        <v>5.7572703500324423</v>
      </c>
      <c r="BC483">
        <f t="shared" si="411"/>
        <v>-1.5827465320175971</v>
      </c>
      <c r="BD483">
        <f t="shared" si="399"/>
        <v>-270.68469642719833</v>
      </c>
      <c r="BF483">
        <f t="shared" si="400"/>
        <v>-59.56120840150853</v>
      </c>
      <c r="BG483">
        <f t="shared" si="401"/>
        <v>-189.05878588640408</v>
      </c>
      <c r="BH483">
        <f t="shared" si="412"/>
        <v>-9.0587858864040811</v>
      </c>
      <c r="BI483">
        <f t="shared" si="413"/>
        <v>-9.0587858864040811</v>
      </c>
      <c r="BJ483">
        <f t="shared" si="402"/>
        <v>0</v>
      </c>
      <c r="BK483">
        <f t="shared" si="414"/>
        <v>0</v>
      </c>
      <c r="BM483">
        <f t="shared" si="415"/>
        <v>-65.318478751540965</v>
      </c>
      <c r="BN483">
        <f t="shared" si="403"/>
        <v>-98.374089459205805</v>
      </c>
      <c r="BQ483" s="47">
        <f t="shared" si="416"/>
        <v>22.659231150317577</v>
      </c>
    </row>
    <row r="484" spans="1:69">
      <c r="A484">
        <f t="shared" si="420"/>
        <v>1350000</v>
      </c>
      <c r="B484">
        <f t="shared" si="404"/>
        <v>1350</v>
      </c>
      <c r="C484">
        <f t="shared" si="373"/>
        <v>6.8591272176923752</v>
      </c>
      <c r="D484">
        <f t="shared" si="374"/>
        <v>1.4244837135384123</v>
      </c>
      <c r="F484">
        <f t="shared" si="375"/>
        <v>5.2489213814102538E-6</v>
      </c>
      <c r="G484">
        <f t="shared" si="376"/>
        <v>6.9075214073236564E-4</v>
      </c>
      <c r="H484">
        <f t="shared" si="377"/>
        <v>-3.1409018978592678</v>
      </c>
      <c r="J484">
        <f t="shared" si="378"/>
        <v>15</v>
      </c>
      <c r="M484">
        <f t="shared" si="379"/>
        <v>1.1155383836933075E-3</v>
      </c>
      <c r="N484">
        <f t="shared" si="380"/>
        <v>-1.5707963250000001</v>
      </c>
      <c r="O484">
        <f t="shared" si="381"/>
        <v>657.80313712652003</v>
      </c>
      <c r="P484">
        <f t="shared" si="382"/>
        <v>1.5692761145478973</v>
      </c>
      <c r="Q484">
        <f t="shared" si="383"/>
        <v>513.37692268529213</v>
      </c>
      <c r="R484">
        <f t="shared" si="384"/>
        <v>1.5688484390185091</v>
      </c>
      <c r="S484">
        <f t="shared" si="385"/>
        <v>0.13687641978043968</v>
      </c>
      <c r="T484">
        <f t="shared" si="386"/>
        <v>-1.4334888628369982</v>
      </c>
      <c r="U484">
        <f t="shared" si="387"/>
        <v>8.8308043314167389E-2</v>
      </c>
      <c r="V484">
        <f t="shared" si="388"/>
        <v>-1.4823731032356244</v>
      </c>
      <c r="X484">
        <f t="shared" si="405"/>
        <v>-52.184482304365744</v>
      </c>
      <c r="Y484">
        <f t="shared" si="389"/>
        <v>-175.60880973186411</v>
      </c>
      <c r="Z484">
        <f t="shared" si="406"/>
        <v>4.3911902681358868</v>
      </c>
      <c r="AC484">
        <v>1</v>
      </c>
      <c r="AD484">
        <f t="shared" si="390"/>
        <v>657.80237702024999</v>
      </c>
      <c r="AE484">
        <f t="shared" si="391"/>
        <v>-0.45753353077377545</v>
      </c>
      <c r="AF484">
        <f t="shared" si="392"/>
        <v>4.0562359341210004E-2</v>
      </c>
      <c r="AG484">
        <f t="shared" si="367"/>
        <v>124.29711269514158</v>
      </c>
      <c r="AH484">
        <f t="shared" si="368"/>
        <v>-1426.6945457879199</v>
      </c>
      <c r="AJ484">
        <f t="shared" si="393"/>
        <v>22100</v>
      </c>
      <c r="AK484">
        <f t="shared" si="394"/>
        <v>159939.87667863659</v>
      </c>
      <c r="AL484">
        <v>1</v>
      </c>
      <c r="AM484">
        <f t="shared" si="395"/>
        <v>513.37594874109595</v>
      </c>
      <c r="AN484">
        <f t="shared" si="369"/>
        <v>311.62799587343056</v>
      </c>
      <c r="AO484">
        <f t="shared" si="370"/>
        <v>-42.441357172177938</v>
      </c>
      <c r="AQ484">
        <f t="shared" si="396"/>
        <v>1.3717419243152367E-3</v>
      </c>
      <c r="AR484">
        <f t="shared" si="397"/>
        <v>-3.7037031956511393</v>
      </c>
      <c r="AT484">
        <f t="shared" si="418"/>
        <v>-5283.8826448922136</v>
      </c>
      <c r="AU484">
        <f t="shared" si="419"/>
        <v>-462.3166702208548</v>
      </c>
      <c r="AV484">
        <f t="shared" si="407"/>
        <v>-3.054319271924085</v>
      </c>
      <c r="AW484">
        <f t="shared" si="408"/>
        <v>273.97976435062992</v>
      </c>
      <c r="AX484">
        <f t="shared" si="409"/>
        <v>-2730.2420798356661</v>
      </c>
      <c r="AY484">
        <f t="shared" si="417"/>
        <v>-1.4707811619564666</v>
      </c>
      <c r="BA484">
        <f t="shared" si="398"/>
        <v>1.9330019059841466</v>
      </c>
      <c r="BB484">
        <f t="shared" si="410"/>
        <v>5.7246456450613792</v>
      </c>
      <c r="BC484">
        <f t="shared" si="411"/>
        <v>-1.5835381099676185</v>
      </c>
      <c r="BD484">
        <f t="shared" si="399"/>
        <v>-270.73005050294199</v>
      </c>
      <c r="BF484">
        <f t="shared" si="400"/>
        <v>-59.626750657441292</v>
      </c>
      <c r="BG484">
        <f t="shared" si="401"/>
        <v>-189.07356845640865</v>
      </c>
      <c r="BH484">
        <f t="shared" si="412"/>
        <v>-9.0735684564086512</v>
      </c>
      <c r="BI484">
        <f t="shared" si="413"/>
        <v>-9.0735684564086512</v>
      </c>
      <c r="BJ484">
        <f t="shared" si="402"/>
        <v>0</v>
      </c>
      <c r="BK484">
        <f t="shared" si="414"/>
        <v>0</v>
      </c>
      <c r="BM484">
        <f t="shared" si="415"/>
        <v>-65.351396302502678</v>
      </c>
      <c r="BN484">
        <f t="shared" si="403"/>
        <v>-98.343517953466687</v>
      </c>
      <c r="BQ484" s="47">
        <f t="shared" si="416"/>
        <v>22.626606445346518</v>
      </c>
    </row>
    <row r="485" spans="1:69">
      <c r="A485">
        <f t="shared" si="420"/>
        <v>1355000</v>
      </c>
      <c r="B485">
        <f t="shared" si="404"/>
        <v>1355</v>
      </c>
      <c r="C485">
        <f t="shared" si="373"/>
        <v>6.8839924005253446</v>
      </c>
      <c r="D485">
        <f t="shared" si="374"/>
        <v>1.4250159818845853</v>
      </c>
      <c r="F485">
        <f t="shared" si="375"/>
        <v>5.2102552295798017E-6</v>
      </c>
      <c r="G485">
        <f t="shared" si="376"/>
        <v>6.8820321356133807E-4</v>
      </c>
      <c r="H485">
        <f t="shared" si="377"/>
        <v>-3.1409044467864389</v>
      </c>
      <c r="J485">
        <f t="shared" si="378"/>
        <v>15</v>
      </c>
      <c r="M485">
        <f t="shared" si="379"/>
        <v>1.1114220058937013E-3</v>
      </c>
      <c r="N485">
        <f t="shared" si="380"/>
        <v>-1.5707963250000001</v>
      </c>
      <c r="O485">
        <f t="shared" si="381"/>
        <v>660.239439421778</v>
      </c>
      <c r="P485">
        <f t="shared" si="382"/>
        <v>1.5692817241785901</v>
      </c>
      <c r="Q485">
        <f t="shared" si="383"/>
        <v>515.27831149415363</v>
      </c>
      <c r="R485">
        <f t="shared" si="384"/>
        <v>1.5688556267782008</v>
      </c>
      <c r="S485">
        <f t="shared" si="385"/>
        <v>0.13638075213624173</v>
      </c>
      <c r="T485">
        <f t="shared" si="386"/>
        <v>-1.4339892226889601</v>
      </c>
      <c r="U485">
        <f t="shared" si="387"/>
        <v>8.798471059346305E-2</v>
      </c>
      <c r="V485">
        <f t="shared" si="388"/>
        <v>-1.4826976994379617</v>
      </c>
      <c r="X485">
        <f t="shared" si="405"/>
        <v>-52.248535032212885</v>
      </c>
      <c r="Y485">
        <f t="shared" si="389"/>
        <v>-175.62499230858498</v>
      </c>
      <c r="Z485">
        <f t="shared" si="406"/>
        <v>4.3750076914150213</v>
      </c>
      <c r="AC485">
        <v>1</v>
      </c>
      <c r="AD485">
        <f t="shared" si="390"/>
        <v>660.23868212032505</v>
      </c>
      <c r="AE485">
        <f t="shared" si="391"/>
        <v>-0.46092894421888669</v>
      </c>
      <c r="AF485">
        <f t="shared" si="392"/>
        <v>4.0712590301733007E-2</v>
      </c>
      <c r="AG485">
        <f t="shared" si="367"/>
        <v>123.38857147630222</v>
      </c>
      <c r="AH485">
        <f t="shared" si="368"/>
        <v>-1421.5102392240842</v>
      </c>
      <c r="AJ485">
        <f t="shared" si="393"/>
        <v>22100</v>
      </c>
      <c r="AK485">
        <f t="shared" si="394"/>
        <v>160532.24659226119</v>
      </c>
      <c r="AL485">
        <v>1</v>
      </c>
      <c r="AM485">
        <f t="shared" si="395"/>
        <v>515.27734114384077</v>
      </c>
      <c r="AN485">
        <f t="shared" si="369"/>
        <v>311.62738688254569</v>
      </c>
      <c r="AO485">
        <f t="shared" si="370"/>
        <v>-42.284748179980966</v>
      </c>
      <c r="AQ485">
        <f t="shared" si="396"/>
        <v>1.3616370472029184E-3</v>
      </c>
      <c r="AR485">
        <f t="shared" si="397"/>
        <v>-3.6900363979199087</v>
      </c>
      <c r="AT485">
        <f t="shared" si="418"/>
        <v>-5245.2565123025834</v>
      </c>
      <c r="AU485">
        <f t="shared" si="419"/>
        <v>-457.24390083960321</v>
      </c>
      <c r="AV485">
        <f t="shared" si="407"/>
        <v>-3.0546396251758763</v>
      </c>
      <c r="AW485">
        <f t="shared" si="408"/>
        <v>274.26327265732408</v>
      </c>
      <c r="AX485">
        <f t="shared" si="409"/>
        <v>-2720.241571477763</v>
      </c>
      <c r="AY485">
        <f t="shared" si="417"/>
        <v>-1.4703127595846317</v>
      </c>
      <c r="BA485">
        <f t="shared" si="398"/>
        <v>1.9257811027007892</v>
      </c>
      <c r="BB485">
        <f t="shared" si="410"/>
        <v>5.6921384149410104</v>
      </c>
      <c r="BC485">
        <f t="shared" si="411"/>
        <v>-1.5843268655912446</v>
      </c>
      <c r="BD485">
        <f t="shared" si="399"/>
        <v>-270.77524287129461</v>
      </c>
      <c r="BF485">
        <f t="shared" si="400"/>
        <v>-59.692048796049619</v>
      </c>
      <c r="BG485">
        <f t="shared" si="401"/>
        <v>-189.08841013769165</v>
      </c>
      <c r="BH485">
        <f t="shared" si="412"/>
        <v>-9.0884101376916533</v>
      </c>
      <c r="BI485">
        <f t="shared" si="413"/>
        <v>-9.0884101376916533</v>
      </c>
      <c r="BJ485">
        <f t="shared" si="402"/>
        <v>0</v>
      </c>
      <c r="BK485">
        <f t="shared" si="414"/>
        <v>0</v>
      </c>
      <c r="BM485">
        <f t="shared" si="415"/>
        <v>-65.384187210990632</v>
      </c>
      <c r="BN485">
        <f t="shared" si="403"/>
        <v>-98.313167266397073</v>
      </c>
      <c r="BQ485" s="47">
        <f t="shared" si="416"/>
        <v>22.594099215226148</v>
      </c>
    </row>
    <row r="486" spans="1:69">
      <c r="A486">
        <f t="shared" si="420"/>
        <v>1360000</v>
      </c>
      <c r="B486">
        <f t="shared" si="404"/>
        <v>1360</v>
      </c>
      <c r="C486">
        <f t="shared" si="373"/>
        <v>6.9088595196206963</v>
      </c>
      <c r="D486">
        <f t="shared" si="374"/>
        <v>1.4255444187832529</v>
      </c>
      <c r="F486">
        <f t="shared" si="375"/>
        <v>5.1720147610935712E-6</v>
      </c>
      <c r="G486">
        <f t="shared" si="376"/>
        <v>6.856730287901502E-4</v>
      </c>
      <c r="H486">
        <f t="shared" si="377"/>
        <v>-3.1409069769712099</v>
      </c>
      <c r="J486">
        <f t="shared" si="378"/>
        <v>15</v>
      </c>
      <c r="M486">
        <f t="shared" si="379"/>
        <v>1.1073358955779155E-3</v>
      </c>
      <c r="N486">
        <f t="shared" si="380"/>
        <v>-1.5707963250000001</v>
      </c>
      <c r="O486">
        <f t="shared" si="381"/>
        <v>662.67574173765968</v>
      </c>
      <c r="P486">
        <f t="shared" si="382"/>
        <v>1.5692872925620927</v>
      </c>
      <c r="Q486">
        <f t="shared" si="383"/>
        <v>517.17970032944061</v>
      </c>
      <c r="R486">
        <f t="shared" si="384"/>
        <v>1.5688627616869166</v>
      </c>
      <c r="S486">
        <f t="shared" si="385"/>
        <v>0.13588862778645355</v>
      </c>
      <c r="T486">
        <f t="shared" si="386"/>
        <v>-1.4344859716085392</v>
      </c>
      <c r="U486">
        <f t="shared" si="387"/>
        <v>8.7663727812486547E-2</v>
      </c>
      <c r="V486">
        <f t="shared" si="388"/>
        <v>-1.4830199273127449</v>
      </c>
      <c r="X486">
        <f t="shared" si="405"/>
        <v>-52.312353080390054</v>
      </c>
      <c r="Y486">
        <f t="shared" si="389"/>
        <v>-175.64105614228555</v>
      </c>
      <c r="Z486">
        <f t="shared" si="406"/>
        <v>4.3589438577144506</v>
      </c>
      <c r="AC486">
        <v>1</v>
      </c>
      <c r="AD486">
        <f t="shared" si="390"/>
        <v>662.67498722040011</v>
      </c>
      <c r="AE486">
        <f t="shared" si="391"/>
        <v>-0.46433691002423877</v>
      </c>
      <c r="AF486">
        <f t="shared" si="392"/>
        <v>4.0862821262256009E-2</v>
      </c>
      <c r="AG486">
        <f t="shared" si="367"/>
        <v>122.4899298226921</v>
      </c>
      <c r="AH486">
        <f t="shared" si="368"/>
        <v>-1416.3631813747011</v>
      </c>
      <c r="AJ486">
        <f t="shared" si="393"/>
        <v>22100</v>
      </c>
      <c r="AK486">
        <f t="shared" si="394"/>
        <v>161124.61650588579</v>
      </c>
      <c r="AL486">
        <v>1</v>
      </c>
      <c r="AM486">
        <f t="shared" si="395"/>
        <v>517.17873354658559</v>
      </c>
      <c r="AN486">
        <f t="shared" si="369"/>
        <v>311.62678459608401</v>
      </c>
      <c r="AO486">
        <f t="shared" si="370"/>
        <v>-42.129290711527872</v>
      </c>
      <c r="AQ486">
        <f t="shared" si="396"/>
        <v>1.3516434159218998E-3</v>
      </c>
      <c r="AR486">
        <f t="shared" si="397"/>
        <v>-3.6764700913075679</v>
      </c>
      <c r="AT486">
        <f t="shared" si="418"/>
        <v>-5207.0513120461628</v>
      </c>
      <c r="AU486">
        <f t="shared" si="419"/>
        <v>-452.24498144814976</v>
      </c>
      <c r="AV486">
        <f t="shared" si="407"/>
        <v>-3.054957641298186</v>
      </c>
      <c r="AW486">
        <f t="shared" si="408"/>
        <v>274.54356152575292</v>
      </c>
      <c r="AX486">
        <f t="shared" si="409"/>
        <v>-2710.3137912068187</v>
      </c>
      <c r="AY486">
        <f t="shared" si="417"/>
        <v>-1.4698448116618599</v>
      </c>
      <c r="BA486">
        <f t="shared" si="398"/>
        <v>1.9186130285559064</v>
      </c>
      <c r="BB486">
        <f t="shared" si="410"/>
        <v>5.6597477853823772</v>
      </c>
      <c r="BC486">
        <f t="shared" si="411"/>
        <v>-1.5851128296363262</v>
      </c>
      <c r="BD486">
        <f t="shared" si="399"/>
        <v>-270.82027529397828</v>
      </c>
      <c r="BF486">
        <f t="shared" si="400"/>
        <v>-59.75710467741024</v>
      </c>
      <c r="BG486">
        <f t="shared" si="401"/>
        <v>-189.10331032521702</v>
      </c>
      <c r="BH486">
        <f t="shared" si="412"/>
        <v>-9.1033103252170235</v>
      </c>
      <c r="BI486">
        <f t="shared" si="413"/>
        <v>-9.1033103252170235</v>
      </c>
      <c r="BJ486">
        <f t="shared" si="402"/>
        <v>0</v>
      </c>
      <c r="BK486">
        <f t="shared" si="414"/>
        <v>0</v>
      </c>
      <c r="BM486">
        <f t="shared" si="415"/>
        <v>-65.416852462792619</v>
      </c>
      <c r="BN486">
        <f t="shared" si="403"/>
        <v>-98.283035031238768</v>
      </c>
      <c r="BQ486" s="47">
        <f t="shared" si="416"/>
        <v>22.561708585667514</v>
      </c>
    </row>
    <row r="487" spans="1:69">
      <c r="A487">
        <f t="shared" si="420"/>
        <v>1365000</v>
      </c>
      <c r="B487">
        <f t="shared" si="404"/>
        <v>1365</v>
      </c>
      <c r="C487">
        <f t="shared" si="373"/>
        <v>6.9337285541457989</v>
      </c>
      <c r="D487">
        <f t="shared" si="374"/>
        <v>1.4260690651641657</v>
      </c>
      <c r="F487">
        <f t="shared" si="375"/>
        <v>5.1341937502183112E-6</v>
      </c>
      <c r="G487">
        <f t="shared" si="376"/>
        <v>6.8316138045416302E-4</v>
      </c>
      <c r="H487">
        <f t="shared" si="377"/>
        <v>-3.1409094886195459</v>
      </c>
      <c r="J487">
        <f t="shared" si="378"/>
        <v>15</v>
      </c>
      <c r="M487">
        <f t="shared" si="379"/>
        <v>1.1032797201362382E-3</v>
      </c>
      <c r="N487">
        <f t="shared" si="380"/>
        <v>-1.5707963250000001</v>
      </c>
      <c r="O487">
        <f t="shared" si="381"/>
        <v>665.11204407393825</v>
      </c>
      <c r="P487">
        <f t="shared" si="382"/>
        <v>1.5692928201516696</v>
      </c>
      <c r="Q487">
        <f t="shared" si="383"/>
        <v>519.08108919086294</v>
      </c>
      <c r="R487">
        <f t="shared" si="384"/>
        <v>1.5688698443254334</v>
      </c>
      <c r="S487">
        <f t="shared" si="385"/>
        <v>0.13540000923621714</v>
      </c>
      <c r="T487">
        <f t="shared" si="386"/>
        <v>-1.4349791483010406</v>
      </c>
      <c r="U487">
        <f t="shared" si="387"/>
        <v>8.7345069544704529E-2</v>
      </c>
      <c r="V487">
        <f t="shared" si="388"/>
        <v>-1.4833398126193544</v>
      </c>
      <c r="X487">
        <f t="shared" si="405"/>
        <v>-52.375938157592621</v>
      </c>
      <c r="Y487">
        <f t="shared" si="389"/>
        <v>-175.65700253397301</v>
      </c>
      <c r="Z487">
        <f t="shared" si="406"/>
        <v>4.3429974660269863</v>
      </c>
      <c r="AC487">
        <v>1</v>
      </c>
      <c r="AD487">
        <f t="shared" si="390"/>
        <v>665.11129232047506</v>
      </c>
      <c r="AE487">
        <f t="shared" si="391"/>
        <v>-0.4677574281898314</v>
      </c>
      <c r="AF487">
        <f t="shared" si="392"/>
        <v>4.1013052222779005E-2</v>
      </c>
      <c r="AG487">
        <f t="shared" si="367"/>
        <v>121.60104480140883</v>
      </c>
      <c r="AH487">
        <f t="shared" si="368"/>
        <v>-1411.2529754456198</v>
      </c>
      <c r="AJ487">
        <f t="shared" si="393"/>
        <v>22100</v>
      </c>
      <c r="AK487">
        <f t="shared" si="394"/>
        <v>161716.98641951033</v>
      </c>
      <c r="AL487">
        <v>1</v>
      </c>
      <c r="AM487">
        <f t="shared" si="395"/>
        <v>519.08012594933041</v>
      </c>
      <c r="AN487">
        <f t="shared" si="369"/>
        <v>311.62618891599249</v>
      </c>
      <c r="AO487">
        <f t="shared" si="370"/>
        <v>-41.974972112900467</v>
      </c>
      <c r="AQ487">
        <f t="shared" si="396"/>
        <v>1.3417594034859715E-3</v>
      </c>
      <c r="AR487">
        <f t="shared" si="397"/>
        <v>-3.663003171516702</v>
      </c>
      <c r="AT487">
        <f t="shared" si="418"/>
        <v>-5169.2609655243514</v>
      </c>
      <c r="AU487">
        <f t="shared" si="419"/>
        <v>-447.31857471780683</v>
      </c>
      <c r="AV487">
        <f t="shared" si="407"/>
        <v>-3.0552733457075605</v>
      </c>
      <c r="AW487">
        <f t="shared" si="408"/>
        <v>274.82067981075528</v>
      </c>
      <c r="AX487">
        <f t="shared" si="409"/>
        <v>-2700.4579513887938</v>
      </c>
      <c r="AY487">
        <f t="shared" si="417"/>
        <v>-1.4693773133128043</v>
      </c>
      <c r="BA487">
        <f t="shared" si="398"/>
        <v>1.9114971048990042</v>
      </c>
      <c r="BB487">
        <f t="shared" si="410"/>
        <v>5.6274728917011041</v>
      </c>
      <c r="BC487">
        <f t="shared" si="411"/>
        <v>-1.5858960323947562</v>
      </c>
      <c r="BD487">
        <f t="shared" si="399"/>
        <v>-270.86514950659057</v>
      </c>
      <c r="BF487">
        <f t="shared" si="400"/>
        <v>-59.821920140397673</v>
      </c>
      <c r="BG487">
        <f t="shared" si="401"/>
        <v>-189.11826842128133</v>
      </c>
      <c r="BH487">
        <f t="shared" si="412"/>
        <v>-9.1182684212813285</v>
      </c>
      <c r="BI487">
        <f t="shared" si="413"/>
        <v>-9.1182684212813285</v>
      </c>
      <c r="BJ487">
        <f t="shared" si="402"/>
        <v>0</v>
      </c>
      <c r="BK487">
        <f t="shared" si="414"/>
        <v>0</v>
      </c>
      <c r="BM487">
        <f t="shared" si="415"/>
        <v>-65.449393032098783</v>
      </c>
      <c r="BN487">
        <f t="shared" si="403"/>
        <v>-98.253118914690759</v>
      </c>
      <c r="BQ487" s="47">
        <f t="shared" si="416"/>
        <v>22.529433691986238</v>
      </c>
    </row>
    <row r="488" spans="1:69">
      <c r="A488">
        <f t="shared" si="420"/>
        <v>1370000</v>
      </c>
      <c r="B488">
        <f t="shared" si="404"/>
        <v>1370</v>
      </c>
      <c r="C488">
        <f t="shared" si="373"/>
        <v>6.9585994835642397</v>
      </c>
      <c r="D488">
        <f t="shared" si="374"/>
        <v>1.4265899613803363</v>
      </c>
      <c r="F488">
        <f t="shared" si="375"/>
        <v>5.0967860846224718E-6</v>
      </c>
      <c r="G488">
        <f t="shared" si="376"/>
        <v>6.8066806559559747E-4</v>
      </c>
      <c r="H488">
        <f t="shared" si="377"/>
        <v>-3.1409119819344045</v>
      </c>
      <c r="J488">
        <f t="shared" si="378"/>
        <v>15</v>
      </c>
      <c r="M488">
        <f t="shared" si="379"/>
        <v>1.099253151814573E-3</v>
      </c>
      <c r="N488">
        <f t="shared" si="380"/>
        <v>-1.5707963250000001</v>
      </c>
      <c r="O488">
        <f t="shared" si="381"/>
        <v>667.54834643039067</v>
      </c>
      <c r="P488">
        <f t="shared" si="382"/>
        <v>1.5692983073939681</v>
      </c>
      <c r="Q488">
        <f t="shared" si="383"/>
        <v>520.98247807813425</v>
      </c>
      <c r="R488">
        <f t="shared" si="384"/>
        <v>1.5688768752660502</v>
      </c>
      <c r="S488">
        <f t="shared" si="385"/>
        <v>0.13491485951258664</v>
      </c>
      <c r="T488">
        <f t="shared" si="386"/>
        <v>-1.4354687909240404</v>
      </c>
      <c r="U488">
        <f t="shared" si="387"/>
        <v>8.7028710727651851E-2</v>
      </c>
      <c r="V488">
        <f t="shared" si="388"/>
        <v>-1.4836573807459079</v>
      </c>
      <c r="X488">
        <f t="shared" si="405"/>
        <v>-52.439291953975086</v>
      </c>
      <c r="Y488">
        <f t="shared" si="389"/>
        <v>-175.67283276573735</v>
      </c>
      <c r="Z488">
        <f t="shared" si="406"/>
        <v>4.3271672342626459</v>
      </c>
      <c r="AC488">
        <v>1</v>
      </c>
      <c r="AD488">
        <f t="shared" si="390"/>
        <v>667.54759742055001</v>
      </c>
      <c r="AE488">
        <f t="shared" si="391"/>
        <v>-0.47119049871566476</v>
      </c>
      <c r="AF488">
        <f t="shared" si="392"/>
        <v>4.1163283183302E-2</v>
      </c>
      <c r="AG488">
        <f t="shared" ref="AG488:AG551" si="421">AC488*AE488/(AE488^2+AF488^2)+AD488*AF488/(AE488^2+AF488^2)</f>
        <v>120.72177604326519</v>
      </c>
      <c r="AH488">
        <f t="shared" ref="AH488:AH551" si="422">AD488*AE488/(AE488^2+AF488^2)-AC488*AF488/(AE488^2+AF488^2)</f>
        <v>-1406.1792302113381</v>
      </c>
      <c r="AJ488">
        <f t="shared" si="393"/>
        <v>22100</v>
      </c>
      <c r="AK488">
        <f t="shared" si="394"/>
        <v>162309.35633313493</v>
      </c>
      <c r="AL488">
        <v>1</v>
      </c>
      <c r="AM488">
        <f t="shared" si="395"/>
        <v>520.98151835207523</v>
      </c>
      <c r="AN488">
        <f t="shared" ref="AN488:AN551" si="423">AJ488*AL488/(AL488^2+AM488^2)+AK488*AM488/(AL488^2+AM488^2)</f>
        <v>311.62559974600515</v>
      </c>
      <c r="AO488">
        <f t="shared" ref="AO488:AO551" si="424">AK488*AL488/(AL488^2+AM488^2)-AJ488*AM488/(AL488^2+AM488^2)</f>
        <v>-41.821779914905882</v>
      </c>
      <c r="AQ488">
        <f t="shared" si="396"/>
        <v>1.3319834125441669E-3</v>
      </c>
      <c r="AR488">
        <f t="shared" si="397"/>
        <v>-3.6496345503710175</v>
      </c>
      <c r="AT488">
        <f t="shared" si="418"/>
        <v>-5131.8795031901973</v>
      </c>
      <c r="AU488">
        <f t="shared" si="419"/>
        <v>-442.46337223935848</v>
      </c>
      <c r="AV488">
        <f t="shared" si="407"/>
        <v>-3.0555867634542873</v>
      </c>
      <c r="AW488">
        <f t="shared" si="408"/>
        <v>275.09467543922028</v>
      </c>
      <c r="AX488">
        <f t="shared" si="409"/>
        <v>-2690.673275681208</v>
      </c>
      <c r="AY488">
        <f t="shared" si="417"/>
        <v>-1.4689102597434216</v>
      </c>
      <c r="BA488">
        <f t="shared" si="398"/>
        <v>1.904432761514633</v>
      </c>
      <c r="BB488">
        <f t="shared" si="410"/>
        <v>5.595312878677495</v>
      </c>
      <c r="BC488">
        <f t="shared" si="411"/>
        <v>-1.5866765037108657</v>
      </c>
      <c r="BD488">
        <f t="shared" si="399"/>
        <v>-270.90986721908575</v>
      </c>
      <c r="BF488">
        <f t="shared" si="400"/>
        <v>-59.886497003006731</v>
      </c>
      <c r="BG488">
        <f t="shared" si="401"/>
        <v>-189.13328383541003</v>
      </c>
      <c r="BH488">
        <f t="shared" si="412"/>
        <v>-9.1332838354100261</v>
      </c>
      <c r="BI488">
        <f t="shared" si="413"/>
        <v>-9.1332838354100261</v>
      </c>
      <c r="BJ488">
        <f t="shared" si="402"/>
        <v>0</v>
      </c>
      <c r="BK488">
        <f t="shared" si="414"/>
        <v>0</v>
      </c>
      <c r="BM488">
        <f t="shared" si="415"/>
        <v>-65.481809881684228</v>
      </c>
      <c r="BN488">
        <f t="shared" si="403"/>
        <v>-98.223416616324286</v>
      </c>
      <c r="BQ488" s="47">
        <f t="shared" si="416"/>
        <v>22.497273678962632</v>
      </c>
    </row>
    <row r="489" spans="1:69">
      <c r="A489">
        <f t="shared" si="420"/>
        <v>1375000</v>
      </c>
      <c r="B489">
        <f t="shared" si="404"/>
        <v>1375</v>
      </c>
      <c r="C489">
        <f t="shared" si="373"/>
        <v>6.9834722876306081</v>
      </c>
      <c r="D489">
        <f t="shared" si="374"/>
        <v>1.4271071472180874</v>
      </c>
      <c r="F489">
        <f t="shared" si="375"/>
        <v>5.059785762906471E-6</v>
      </c>
      <c r="G489">
        <f t="shared" si="376"/>
        <v>6.781928842088615E-4</v>
      </c>
      <c r="H489">
        <f t="shared" si="377"/>
        <v>-3.1409144571157914</v>
      </c>
      <c r="J489">
        <f t="shared" si="378"/>
        <v>15</v>
      </c>
      <c r="M489">
        <f t="shared" si="379"/>
        <v>1.0952558676261563E-3</v>
      </c>
      <c r="N489">
        <f t="shared" si="380"/>
        <v>-1.5707963250000001</v>
      </c>
      <c r="O489">
        <f t="shared" si="381"/>
        <v>669.98464880679649</v>
      </c>
      <c r="P489">
        <f t="shared" si="382"/>
        <v>1.5693037547291393</v>
      </c>
      <c r="Q489">
        <f t="shared" si="383"/>
        <v>522.88386699097248</v>
      </c>
      <c r="R489">
        <f t="shared" si="384"/>
        <v>1.5688838550727411</v>
      </c>
      <c r="S489">
        <f t="shared" si="385"/>
        <v>0.13443314215557362</v>
      </c>
      <c r="T489">
        <f t="shared" si="386"/>
        <v>-1.4359549370969769</v>
      </c>
      <c r="U489">
        <f t="shared" si="387"/>
        <v>8.6714626656464427E-2</v>
      </c>
      <c r="V489">
        <f t="shared" si="388"/>
        <v>-1.4839726567159075</v>
      </c>
      <c r="X489">
        <f t="shared" si="405"/>
        <v>-52.50241614141764</v>
      </c>
      <c r="Y489">
        <f t="shared" si="389"/>
        <v>-175.68854810109369</v>
      </c>
      <c r="Z489">
        <f t="shared" si="406"/>
        <v>4.3114518989063129</v>
      </c>
      <c r="AC489">
        <v>1</v>
      </c>
      <c r="AD489">
        <f t="shared" si="390"/>
        <v>669.98390252062507</v>
      </c>
      <c r="AE489">
        <f t="shared" si="391"/>
        <v>-0.47463612160173896</v>
      </c>
      <c r="AF489">
        <f t="shared" si="392"/>
        <v>4.1313514143825003E-2</v>
      </c>
      <c r="AG489">
        <f t="shared" si="421"/>
        <v>119.85198568794874</v>
      </c>
      <c r="AH489">
        <f t="shared" si="422"/>
        <v>-1401.1415599185275</v>
      </c>
      <c r="AJ489">
        <f t="shared" si="393"/>
        <v>22100</v>
      </c>
      <c r="AK489">
        <f t="shared" si="394"/>
        <v>162901.7262467595</v>
      </c>
      <c r="AL489">
        <v>1</v>
      </c>
      <c r="AM489">
        <f t="shared" si="395"/>
        <v>522.88291075482005</v>
      </c>
      <c r="AN489">
        <f t="shared" si="423"/>
        <v>311.62501699160219</v>
      </c>
      <c r="AO489">
        <f t="shared" si="424"/>
        <v>-41.669701829717994</v>
      </c>
      <c r="AQ489">
        <f t="shared" si="396"/>
        <v>1.3223138747353554E-3</v>
      </c>
      <c r="AR489">
        <f t="shared" si="397"/>
        <v>-3.6363631555222273</v>
      </c>
      <c r="AT489">
        <f t="shared" si="418"/>
        <v>-5094.9010622150836</v>
      </c>
      <c r="AU489">
        <f t="shared" si="419"/>
        <v>-437.67809379698269</v>
      </c>
      <c r="AV489">
        <f t="shared" si="407"/>
        <v>-3.0558979192289533</v>
      </c>
      <c r="AW489">
        <f t="shared" si="408"/>
        <v>275.36559543124582</v>
      </c>
      <c r="AX489">
        <f t="shared" si="409"/>
        <v>-2680.9589988322355</v>
      </c>
      <c r="AY489">
        <f t="shared" si="417"/>
        <v>-1.4684436462393149</v>
      </c>
      <c r="BA489">
        <f t="shared" si="398"/>
        <v>1.8974194364693326</v>
      </c>
      <c r="BB489">
        <f t="shared" si="410"/>
        <v>5.5632669004191948</v>
      </c>
      <c r="BC489">
        <f t="shared" si="411"/>
        <v>-1.5874542729896384</v>
      </c>
      <c r="BD489">
        <f t="shared" si="399"/>
        <v>-270.95443011624531</v>
      </c>
      <c r="BF489">
        <f t="shared" si="400"/>
        <v>-59.95083706266886</v>
      </c>
      <c r="BG489">
        <f t="shared" si="401"/>
        <v>-189.1483559842558</v>
      </c>
      <c r="BH489">
        <f t="shared" si="412"/>
        <v>-9.1483559842558009</v>
      </c>
      <c r="BI489">
        <f t="shared" si="413"/>
        <v>-9.1483559842558009</v>
      </c>
      <c r="BJ489">
        <f t="shared" si="402"/>
        <v>0</v>
      </c>
      <c r="BK489">
        <f t="shared" si="414"/>
        <v>0</v>
      </c>
      <c r="BM489">
        <f t="shared" si="415"/>
        <v>-65.514103963088061</v>
      </c>
      <c r="BN489">
        <f t="shared" si="403"/>
        <v>-98.193925868010524</v>
      </c>
      <c r="BQ489" s="47">
        <f t="shared" si="416"/>
        <v>22.465227700704332</v>
      </c>
    </row>
    <row r="490" spans="1:69">
      <c r="A490">
        <f t="shared" si="420"/>
        <v>1380000</v>
      </c>
      <c r="B490">
        <f t="shared" si="404"/>
        <v>1380</v>
      </c>
      <c r="C490">
        <f t="shared" si="373"/>
        <v>7.0083469463853811</v>
      </c>
      <c r="D490">
        <f t="shared" si="374"/>
        <v>1.4276206619068927</v>
      </c>
      <c r="F490">
        <f t="shared" si="375"/>
        <v>5.0231868921954833E-6</v>
      </c>
      <c r="G490">
        <f t="shared" si="376"/>
        <v>6.7573563918706732E-4</v>
      </c>
      <c r="H490">
        <f t="shared" si="377"/>
        <v>-3.1409169143608131</v>
      </c>
      <c r="J490">
        <f t="shared" si="378"/>
        <v>15</v>
      </c>
      <c r="M490">
        <f t="shared" si="379"/>
        <v>1.0912875492651922E-3</v>
      </c>
      <c r="N490">
        <f t="shared" si="380"/>
        <v>-1.5707963250000001</v>
      </c>
      <c r="O490">
        <f t="shared" si="381"/>
        <v>672.42095120293914</v>
      </c>
      <c r="P490">
        <f t="shared" si="382"/>
        <v>1.5693091625909545</v>
      </c>
      <c r="Q490">
        <f t="shared" si="383"/>
        <v>524.78525592909989</v>
      </c>
      <c r="R490">
        <f t="shared" si="384"/>
        <v>1.5688907843013069</v>
      </c>
      <c r="S490">
        <f t="shared" si="385"/>
        <v>0.13395482120937427</v>
      </c>
      <c r="T490">
        <f t="shared" si="386"/>
        <v>-1.4364376239105436</v>
      </c>
      <c r="U490">
        <f t="shared" si="387"/>
        <v>8.6402792977549284E-2</v>
      </c>
      <c r="V490">
        <f t="shared" si="388"/>
        <v>-1.4842856651947471</v>
      </c>
      <c r="X490">
        <f t="shared" si="405"/>
        <v>-52.565312373787862</v>
      </c>
      <c r="Y490">
        <f t="shared" si="389"/>
        <v>-175.70414978531699</v>
      </c>
      <c r="Z490">
        <f t="shared" si="406"/>
        <v>4.2958502146830142</v>
      </c>
      <c r="AC490">
        <v>1</v>
      </c>
      <c r="AD490">
        <f t="shared" si="390"/>
        <v>672.42020762070013</v>
      </c>
      <c r="AE490">
        <f t="shared" si="391"/>
        <v>-0.47809429684805355</v>
      </c>
      <c r="AF490">
        <f t="shared" si="392"/>
        <v>4.1463745104348006E-2</v>
      </c>
      <c r="AG490">
        <f t="shared" si="421"/>
        <v>118.9915383305415</v>
      </c>
      <c r="AH490">
        <f t="shared" si="422"/>
        <v>-1396.1395841915405</v>
      </c>
      <c r="AJ490">
        <f t="shared" si="393"/>
        <v>22100</v>
      </c>
      <c r="AK490">
        <f t="shared" si="394"/>
        <v>163494.0961603841</v>
      </c>
      <c r="AL490">
        <v>1</v>
      </c>
      <c r="AM490">
        <f t="shared" si="395"/>
        <v>524.78430315756475</v>
      </c>
      <c r="AN490">
        <f t="shared" si="423"/>
        <v>311.62444055997355</v>
      </c>
      <c r="AO490">
        <f t="shared" si="424"/>
        <v>-41.518725747591844</v>
      </c>
      <c r="AQ490">
        <f t="shared" si="396"/>
        <v>1.3127492500591721E-3</v>
      </c>
      <c r="AR490">
        <f t="shared" si="397"/>
        <v>-3.6231879301633154</v>
      </c>
      <c r="AT490">
        <f t="shared" si="418"/>
        <v>-5058.3198842133124</v>
      </c>
      <c r="AU490">
        <f t="shared" si="419"/>
        <v>-432.96148666290884</v>
      </c>
      <c r="AV490">
        <f t="shared" si="407"/>
        <v>-3.0562068373688605</v>
      </c>
      <c r="AW490">
        <f t="shared" si="408"/>
        <v>275.63348592073618</v>
      </c>
      <c r="AX490">
        <f t="shared" si="409"/>
        <v>-2671.3143664840736</v>
      </c>
      <c r="AY490">
        <f t="shared" si="417"/>
        <v>-1.46797746816412</v>
      </c>
      <c r="BA490">
        <f t="shared" si="398"/>
        <v>1.8904565759618894</v>
      </c>
      <c r="BB490">
        <f t="shared" si="410"/>
        <v>5.5313341202262958</v>
      </c>
      <c r="BC490">
        <f t="shared" si="411"/>
        <v>-1.5882293692047404</v>
      </c>
      <c r="BD490">
        <f t="shared" si="399"/>
        <v>-270.99883985813796</v>
      </c>
      <c r="BF490">
        <f t="shared" si="400"/>
        <v>-60.014942096562507</v>
      </c>
      <c r="BG490">
        <f t="shared" si="401"/>
        <v>-189.16348429149747</v>
      </c>
      <c r="BH490">
        <f t="shared" si="412"/>
        <v>-9.1634842914974683</v>
      </c>
      <c r="BI490">
        <f t="shared" si="413"/>
        <v>-9.1634842914974683</v>
      </c>
      <c r="BJ490">
        <f t="shared" si="402"/>
        <v>0</v>
      </c>
      <c r="BK490">
        <f t="shared" si="414"/>
        <v>0</v>
      </c>
      <c r="BM490">
        <f t="shared" si="415"/>
        <v>-65.546276216788797</v>
      </c>
      <c r="BN490">
        <f t="shared" si="403"/>
        <v>-98.164644433359499</v>
      </c>
      <c r="BQ490" s="47">
        <f t="shared" si="416"/>
        <v>22.433294920511429</v>
      </c>
    </row>
    <row r="491" spans="1:69">
      <c r="A491">
        <f t="shared" si="420"/>
        <v>1385000</v>
      </c>
      <c r="B491">
        <f t="shared" si="404"/>
        <v>1385</v>
      </c>
      <c r="C491">
        <f t="shared" si="373"/>
        <v>7.0332234401499276</v>
      </c>
      <c r="D491">
        <f t="shared" si="374"/>
        <v>1.4281305441290142</v>
      </c>
      <c r="F491">
        <f t="shared" si="375"/>
        <v>4.9869836857929472E-6</v>
      </c>
      <c r="G491">
        <f t="shared" si="376"/>
        <v>6.7329613626970698E-4</v>
      </c>
      <c r="H491">
        <f t="shared" si="377"/>
        <v>-3.1409193538637306</v>
      </c>
      <c r="J491">
        <f t="shared" si="378"/>
        <v>15</v>
      </c>
      <c r="M491">
        <f t="shared" si="379"/>
        <v>1.0873478830223575E-3</v>
      </c>
      <c r="N491">
        <f t="shared" si="380"/>
        <v>-1.5707963250000001</v>
      </c>
      <c r="O491">
        <f t="shared" si="381"/>
        <v>674.85725361860466</v>
      </c>
      <c r="P491">
        <f t="shared" si="382"/>
        <v>1.5693145314069223</v>
      </c>
      <c r="Q491">
        <f t="shared" si="383"/>
        <v>526.68664489224238</v>
      </c>
      <c r="R491">
        <f t="shared" si="384"/>
        <v>1.5688976634995224</v>
      </c>
      <c r="S491">
        <f t="shared" si="385"/>
        <v>0.13347986121377386</v>
      </c>
      <c r="T491">
        <f t="shared" si="386"/>
        <v>-1.4369168879358887</v>
      </c>
      <c r="U491">
        <f t="shared" si="387"/>
        <v>8.6093185682387718E-2</v>
      </c>
      <c r="V491">
        <f t="shared" si="388"/>
        <v>-1.4845964304960768</v>
      </c>
      <c r="X491">
        <f t="shared" si="405"/>
        <v>-52.627982287197774</v>
      </c>
      <c r="Y491">
        <f t="shared" si="389"/>
        <v>-175.71963904576953</v>
      </c>
      <c r="Z491">
        <f t="shared" si="406"/>
        <v>4.2803609542304741</v>
      </c>
      <c r="AC491">
        <v>1</v>
      </c>
      <c r="AD491">
        <f t="shared" si="390"/>
        <v>674.85651272077507</v>
      </c>
      <c r="AE491">
        <f t="shared" si="391"/>
        <v>-0.48156502445460914</v>
      </c>
      <c r="AF491">
        <f t="shared" si="392"/>
        <v>4.1613976064871001E-2</v>
      </c>
      <c r="AG491">
        <f t="shared" si="421"/>
        <v>118.14030096936061</v>
      </c>
      <c r="AH491">
        <f t="shared" si="422"/>
        <v>-1391.1729279398405</v>
      </c>
      <c r="AJ491">
        <f t="shared" si="393"/>
        <v>22100</v>
      </c>
      <c r="AK491">
        <f t="shared" si="394"/>
        <v>164086.46607400867</v>
      </c>
      <c r="AL491">
        <v>1</v>
      </c>
      <c r="AM491">
        <f t="shared" si="395"/>
        <v>526.68569556030957</v>
      </c>
      <c r="AN491">
        <f t="shared" si="423"/>
        <v>311.62387035998097</v>
      </c>
      <c r="AO491">
        <f t="shared" si="424"/>
        <v>-41.368839733649239</v>
      </c>
      <c r="AQ491">
        <f t="shared" si="396"/>
        <v>1.3032880262628178E-3</v>
      </c>
      <c r="AR491">
        <f t="shared" si="397"/>
        <v>-3.610107832748005</v>
      </c>
      <c r="AT491">
        <f t="shared" si="418"/>
        <v>-5022.1303130229217</v>
      </c>
      <c r="AU491">
        <f t="shared" si="419"/>
        <v>-428.31232491214041</v>
      </c>
      <c r="AV491">
        <f t="shared" si="407"/>
        <v>-3.0565135418643061</v>
      </c>
      <c r="AW491">
        <f t="shared" si="408"/>
        <v>275.89839217545256</v>
      </c>
      <c r="AX491">
        <f t="shared" si="409"/>
        <v>-2661.7386349804478</v>
      </c>
      <c r="AY491">
        <f t="shared" si="417"/>
        <v>-1.467511720957928</v>
      </c>
      <c r="BA491">
        <f t="shared" si="398"/>
        <v>1.8835436341768328</v>
      </c>
      <c r="BB491">
        <f t="shared" si="410"/>
        <v>5.4995137104588938</v>
      </c>
      <c r="BC491">
        <f t="shared" si="411"/>
        <v>-1.5890018209063781</v>
      </c>
      <c r="BD491">
        <f t="shared" si="399"/>
        <v>-271.04309808057008</v>
      </c>
      <c r="BF491">
        <f t="shared" si="400"/>
        <v>-60.078813861917631</v>
      </c>
      <c r="BG491">
        <f t="shared" si="401"/>
        <v>-189.17866818774132</v>
      </c>
      <c r="BH491">
        <f t="shared" si="412"/>
        <v>-9.178668187741323</v>
      </c>
      <c r="BI491">
        <f t="shared" si="413"/>
        <v>-9.178668187741323</v>
      </c>
      <c r="BJ491">
        <f t="shared" si="402"/>
        <v>0</v>
      </c>
      <c r="BK491">
        <f t="shared" si="414"/>
        <v>0</v>
      </c>
      <c r="BM491">
        <f t="shared" si="415"/>
        <v>-65.578327572376523</v>
      </c>
      <c r="BN491">
        <f t="shared" si="403"/>
        <v>-98.135570107171247</v>
      </c>
      <c r="BQ491" s="47">
        <f t="shared" si="416"/>
        <v>22.401474510744031</v>
      </c>
    </row>
    <row r="492" spans="1:69">
      <c r="A492">
        <f t="shared" si="420"/>
        <v>1390000</v>
      </c>
      <c r="B492">
        <f t="shared" si="404"/>
        <v>1390</v>
      </c>
      <c r="C492">
        <f t="shared" si="373"/>
        <v>7.0581017495216027</v>
      </c>
      <c r="D492">
        <f t="shared" si="374"/>
        <v>1.4286368320289426</v>
      </c>
      <c r="F492">
        <f t="shared" si="375"/>
        <v>4.9511704608930541E-6</v>
      </c>
      <c r="G492">
        <f t="shared" si="376"/>
        <v>6.7087418399145598E-4</v>
      </c>
      <c r="H492">
        <f t="shared" si="377"/>
        <v>-3.1409217758160088</v>
      </c>
      <c r="J492">
        <f t="shared" si="378"/>
        <v>15</v>
      </c>
      <c r="M492">
        <f t="shared" si="379"/>
        <v>1.0834365597021331E-3</v>
      </c>
      <c r="N492">
        <f t="shared" si="380"/>
        <v>-1.5707963250000001</v>
      </c>
      <c r="O492">
        <f t="shared" si="381"/>
        <v>677.29355605358251</v>
      </c>
      <c r="P492">
        <f t="shared" si="382"/>
        <v>1.5693198615983994</v>
      </c>
      <c r="Q492">
        <f t="shared" si="383"/>
        <v>528.58803388013018</v>
      </c>
      <c r="R492">
        <f t="shared" si="384"/>
        <v>1.5689044932072813</v>
      </c>
      <c r="S492">
        <f t="shared" si="385"/>
        <v>0.13300822719572464</v>
      </c>
      <c r="T492">
        <f t="shared" si="386"/>
        <v>-1.4373927652336218</v>
      </c>
      <c r="U492">
        <f t="shared" si="387"/>
        <v>8.5785781101468978E-2</v>
      </c>
      <c r="V492">
        <f t="shared" si="388"/>
        <v>-1.4849049765880376</v>
      </c>
      <c r="X492">
        <f t="shared" si="405"/>
        <v>-52.690427500256398</v>
      </c>
      <c r="Y492">
        <f t="shared" si="389"/>
        <v>-175.73501709222171</v>
      </c>
      <c r="Z492">
        <f t="shared" si="406"/>
        <v>4.2649829077782897</v>
      </c>
      <c r="AC492">
        <v>1</v>
      </c>
      <c r="AD492">
        <f t="shared" si="390"/>
        <v>677.29281782085002</v>
      </c>
      <c r="AE492">
        <f t="shared" si="391"/>
        <v>-0.4850483044214054</v>
      </c>
      <c r="AF492">
        <f t="shared" si="392"/>
        <v>4.1764207025394004E-2</v>
      </c>
      <c r="AG492">
        <f t="shared" si="421"/>
        <v>117.29814295508592</v>
      </c>
      <c r="AH492">
        <f t="shared" si="422"/>
        <v>-1386.2412212673362</v>
      </c>
      <c r="AJ492">
        <f t="shared" si="393"/>
        <v>22100</v>
      </c>
      <c r="AK492">
        <f t="shared" si="394"/>
        <v>164678.83598763324</v>
      </c>
      <c r="AL492">
        <v>1</v>
      </c>
      <c r="AM492">
        <f t="shared" si="395"/>
        <v>528.58708796305439</v>
      </c>
      <c r="AN492">
        <f t="shared" si="423"/>
        <v>311.62330630212267</v>
      </c>
      <c r="AO492">
        <f t="shared" si="424"/>
        <v>-41.22003202473379</v>
      </c>
      <c r="AQ492">
        <f t="shared" si="396"/>
        <v>1.2939287182432693E-3</v>
      </c>
      <c r="AR492">
        <f t="shared" si="397"/>
        <v>-3.5971218367162883</v>
      </c>
      <c r="AT492">
        <f t="shared" si="418"/>
        <v>-4986.3267925412247</v>
      </c>
      <c r="AU492">
        <f t="shared" si="419"/>
        <v>-423.72940875661885</v>
      </c>
      <c r="AV492">
        <f t="shared" si="407"/>
        <v>-3.0568180563647305</v>
      </c>
      <c r="AW492">
        <f t="shared" si="408"/>
        <v>276.16035861653677</v>
      </c>
      <c r="AX492">
        <f t="shared" si="409"/>
        <v>-2652.231071178192</v>
      </c>
      <c r="AY492">
        <f t="shared" si="417"/>
        <v>-1.4670464001357473</v>
      </c>
      <c r="BA492">
        <f t="shared" si="398"/>
        <v>1.8766800731410838</v>
      </c>
      <c r="BB492">
        <f t="shared" si="410"/>
        <v>5.4678048524070091</v>
      </c>
      <c r="BC492">
        <f t="shared" si="411"/>
        <v>-1.5897716562289832</v>
      </c>
      <c r="BD492">
        <f t="shared" si="399"/>
        <v>-271.08720639552581</v>
      </c>
      <c r="BF492">
        <f t="shared" si="400"/>
        <v>-60.142454096314509</v>
      </c>
      <c r="BG492">
        <f t="shared" si="401"/>
        <v>-189.1939071104234</v>
      </c>
      <c r="BH492">
        <f t="shared" si="412"/>
        <v>-9.193907110423396</v>
      </c>
      <c r="BI492">
        <f t="shared" si="413"/>
        <v>-9.193907110423396</v>
      </c>
      <c r="BJ492">
        <f t="shared" si="402"/>
        <v>0</v>
      </c>
      <c r="BK492">
        <f t="shared" si="414"/>
        <v>0</v>
      </c>
      <c r="BM492">
        <f t="shared" si="415"/>
        <v>-65.610258948721523</v>
      </c>
      <c r="BN492">
        <f t="shared" si="403"/>
        <v>-98.106700714897556</v>
      </c>
      <c r="BQ492" s="47">
        <f t="shared" si="416"/>
        <v>22.369765652692145</v>
      </c>
    </row>
    <row r="493" spans="1:69">
      <c r="A493">
        <f t="shared" si="420"/>
        <v>1395000</v>
      </c>
      <c r="B493">
        <f t="shared" si="404"/>
        <v>1395</v>
      </c>
      <c r="C493">
        <f t="shared" si="373"/>
        <v>7.0829818553689581</v>
      </c>
      <c r="D493">
        <f t="shared" si="374"/>
        <v>1.4291395632226436</v>
      </c>
      <c r="F493">
        <f t="shared" si="375"/>
        <v>4.9157416363505277E-6</v>
      </c>
      <c r="G493">
        <f t="shared" si="376"/>
        <v>6.6846959363208011E-4</v>
      </c>
      <c r="H493">
        <f t="shared" si="377"/>
        <v>-3.1409241804063681</v>
      </c>
      <c r="J493">
        <f t="shared" si="378"/>
        <v>15</v>
      </c>
      <c r="M493">
        <f t="shared" si="379"/>
        <v>1.0795532745419105E-3</v>
      </c>
      <c r="N493">
        <f t="shared" si="380"/>
        <v>-1.5707963250000001</v>
      </c>
      <c r="O493">
        <f t="shared" si="381"/>
        <v>679.72985850766486</v>
      </c>
      <c r="P493">
        <f t="shared" si="382"/>
        <v>1.5693251535807013</v>
      </c>
      <c r="Q493">
        <f t="shared" si="383"/>
        <v>530.48942289249726</v>
      </c>
      <c r="R493">
        <f t="shared" si="384"/>
        <v>1.5689112739567361</v>
      </c>
      <c r="S493">
        <f t="shared" si="385"/>
        <v>0.13253988466109298</v>
      </c>
      <c r="T493">
        <f t="shared" si="386"/>
        <v>-1.4378652913626382</v>
      </c>
      <c r="U493">
        <f t="shared" si="387"/>
        <v>8.5480555898350657E-2</v>
      </c>
      <c r="V493">
        <f t="shared" si="388"/>
        <v>-1.4852113270993594</v>
      </c>
      <c r="X493">
        <f t="shared" si="405"/>
        <v>-52.752649614317747</v>
      </c>
      <c r="Y493">
        <f t="shared" si="389"/>
        <v>-175.75028511716539</v>
      </c>
      <c r="Z493">
        <f t="shared" si="406"/>
        <v>4.2497148828346099</v>
      </c>
      <c r="AC493">
        <v>1</v>
      </c>
      <c r="AD493">
        <f t="shared" si="390"/>
        <v>679.72912292092497</v>
      </c>
      <c r="AE493">
        <f t="shared" si="391"/>
        <v>-0.48854413674844233</v>
      </c>
      <c r="AF493">
        <f t="shared" si="392"/>
        <v>4.1914437985917007E-2</v>
      </c>
      <c r="AG493">
        <f t="shared" si="421"/>
        <v>116.46493594113372</v>
      </c>
      <c r="AH493">
        <f t="shared" si="422"/>
        <v>-1381.3440993835411</v>
      </c>
      <c r="AJ493">
        <f t="shared" si="393"/>
        <v>22100</v>
      </c>
      <c r="AK493">
        <f t="shared" si="394"/>
        <v>165271.20590125784</v>
      </c>
      <c r="AL493">
        <v>1</v>
      </c>
      <c r="AM493">
        <f t="shared" si="395"/>
        <v>530.48848036579921</v>
      </c>
      <c r="AN493">
        <f t="shared" si="423"/>
        <v>311.6227482984981</v>
      </c>
      <c r="AO493">
        <f t="shared" si="424"/>
        <v>-41.072291026333481</v>
      </c>
      <c r="AQ493">
        <f t="shared" si="396"/>
        <v>1.2846698674644638E-3</v>
      </c>
      <c r="AR493">
        <f t="shared" si="397"/>
        <v>-3.5842289302258541</v>
      </c>
      <c r="AT493">
        <f t="shared" si="418"/>
        <v>-4950.9038646134459</v>
      </c>
      <c r="AU493">
        <f t="shared" si="419"/>
        <v>-419.21156389819021</v>
      </c>
      <c r="AV493">
        <f t="shared" si="407"/>
        <v>-3.0571204041847317</v>
      </c>
      <c r="AW493">
        <f t="shared" si="408"/>
        <v>276.41942883751938</v>
      </c>
      <c r="AX493">
        <f t="shared" si="409"/>
        <v>-2642.790952262761</v>
      </c>
      <c r="AY493">
        <f t="shared" si="417"/>
        <v>-1.4665815012860017</v>
      </c>
      <c r="BA493">
        <f t="shared" si="398"/>
        <v>1.8698653625836814</v>
      </c>
      <c r="BB493">
        <f t="shared" si="410"/>
        <v>5.4362067361628359</v>
      </c>
      <c r="BC493">
        <f t="shared" si="411"/>
        <v>-1.59053890289873</v>
      </c>
      <c r="BD493">
        <f t="shared" si="399"/>
        <v>-271.13116639159801</v>
      </c>
      <c r="BF493">
        <f t="shared" si="400"/>
        <v>-60.205864517976913</v>
      </c>
      <c r="BG493">
        <f t="shared" si="401"/>
        <v>-189.20920050371322</v>
      </c>
      <c r="BH493">
        <f t="shared" si="412"/>
        <v>-9.2092005037132196</v>
      </c>
      <c r="BI493">
        <f t="shared" si="413"/>
        <v>-9.2092005037132196</v>
      </c>
      <c r="BJ493">
        <f t="shared" si="402"/>
        <v>0</v>
      </c>
      <c r="BK493">
        <f t="shared" si="414"/>
        <v>0</v>
      </c>
      <c r="BM493">
        <f t="shared" si="415"/>
        <v>-65.642071254139751</v>
      </c>
      <c r="BN493">
        <f t="shared" si="403"/>
        <v>-98.078034112115205</v>
      </c>
      <c r="BQ493" s="47">
        <f t="shared" si="416"/>
        <v>22.338167536447973</v>
      </c>
    </row>
    <row r="494" spans="1:69">
      <c r="A494">
        <f t="shared" si="420"/>
        <v>1400000</v>
      </c>
      <c r="B494">
        <f t="shared" si="404"/>
        <v>1400</v>
      </c>
      <c r="C494">
        <f t="shared" si="373"/>
        <v>7.1078637388270405</v>
      </c>
      <c r="D494">
        <f t="shared" si="374"/>
        <v>1.4296387748066151</v>
      </c>
      <c r="F494">
        <f t="shared" si="375"/>
        <v>4.8806917305060573E-6</v>
      </c>
      <c r="G494">
        <f t="shared" si="376"/>
        <v>6.6608217916741357E-4</v>
      </c>
      <c r="H494">
        <f t="shared" si="377"/>
        <v>-3.1409265678208329</v>
      </c>
      <c r="J494">
        <f t="shared" si="378"/>
        <v>15</v>
      </c>
      <c r="M494">
        <f t="shared" si="379"/>
        <v>1.0756977271328323E-3</v>
      </c>
      <c r="N494">
        <f t="shared" si="380"/>
        <v>-1.5707963250000001</v>
      </c>
      <c r="O494">
        <f t="shared" si="381"/>
        <v>682.16616098064719</v>
      </c>
      <c r="P494">
        <f t="shared" si="382"/>
        <v>1.5693304077632113</v>
      </c>
      <c r="Q494">
        <f t="shared" si="383"/>
        <v>532.39081192908122</v>
      </c>
      <c r="R494">
        <f t="shared" si="384"/>
        <v>1.5689180062724377</v>
      </c>
      <c r="S494">
        <f t="shared" si="385"/>
        <v>0.13207479958657189</v>
      </c>
      <c r="T494">
        <f t="shared" si="386"/>
        <v>-1.438334501388759</v>
      </c>
      <c r="U494">
        <f t="shared" si="387"/>
        <v>8.5177487063843232E-2</v>
      </c>
      <c r="V494">
        <f t="shared" si="388"/>
        <v>-1.4855155053253346</v>
      </c>
      <c r="X494">
        <f t="shared" si="405"/>
        <v>-52.814650213724583</v>
      </c>
      <c r="Y494">
        <f t="shared" si="389"/>
        <v>-175.76544429612136</v>
      </c>
      <c r="Z494">
        <f t="shared" si="406"/>
        <v>4.234555703878641</v>
      </c>
      <c r="AC494">
        <v>1</v>
      </c>
      <c r="AD494">
        <f t="shared" si="390"/>
        <v>682.16542802100014</v>
      </c>
      <c r="AE494">
        <f t="shared" si="391"/>
        <v>-0.49205252143571993</v>
      </c>
      <c r="AF494">
        <f t="shared" si="392"/>
        <v>4.2064668946440009E-2</v>
      </c>
      <c r="AG494">
        <f t="shared" si="421"/>
        <v>115.64055383524637</v>
      </c>
      <c r="AH494">
        <f t="shared" si="422"/>
        <v>-1376.4812025165443</v>
      </c>
      <c r="AJ494">
        <f t="shared" si="393"/>
        <v>22100</v>
      </c>
      <c r="AK494">
        <f t="shared" si="394"/>
        <v>165863.57581488241</v>
      </c>
      <c r="AL494">
        <v>1</v>
      </c>
      <c r="AM494">
        <f t="shared" si="395"/>
        <v>532.38987276854402</v>
      </c>
      <c r="AN494">
        <f t="shared" si="423"/>
        <v>311.622196262773</v>
      </c>
      <c r="AO494">
        <f t="shared" si="424"/>
        <v>-40.925605309569264</v>
      </c>
      <c r="AQ494">
        <f t="shared" si="396"/>
        <v>1.2755100413890253E-3</v>
      </c>
      <c r="AR494">
        <f t="shared" si="397"/>
        <v>-3.5714281158892711</v>
      </c>
      <c r="AT494">
        <f t="shared" si="418"/>
        <v>-4915.8561669730507</v>
      </c>
      <c r="AU494">
        <f t="shared" si="419"/>
        <v>-414.75764089979884</v>
      </c>
      <c r="AV494">
        <f t="shared" si="407"/>
        <v>-3.057420608309958</v>
      </c>
      <c r="AW494">
        <f t="shared" si="408"/>
        <v>276.67564562283076</v>
      </c>
      <c r="AX494">
        <f t="shared" si="409"/>
        <v>-2633.4175655676095</v>
      </c>
      <c r="AY494">
        <f t="shared" si="417"/>
        <v>-1.4661170200690674</v>
      </c>
      <c r="BA494">
        <f t="shared" si="398"/>
        <v>1.863098979798504</v>
      </c>
      <c r="BB494">
        <f t="shared" si="410"/>
        <v>5.4047185604952608</v>
      </c>
      <c r="BC494">
        <f t="shared" si="411"/>
        <v>-1.5913035882408906</v>
      </c>
      <c r="BD494">
        <f t="shared" si="399"/>
        <v>-271.1749796344094</v>
      </c>
      <c r="BF494">
        <f t="shared" si="400"/>
        <v>-60.269046826059885</v>
      </c>
      <c r="BG494">
        <f t="shared" si="401"/>
        <v>-189.22454781841924</v>
      </c>
      <c r="BH494">
        <f t="shared" si="412"/>
        <v>-9.2245478184192393</v>
      </c>
      <c r="BI494">
        <f t="shared" si="413"/>
        <v>-9.2245478184192393</v>
      </c>
      <c r="BJ494">
        <f t="shared" si="402"/>
        <v>0</v>
      </c>
      <c r="BK494">
        <f t="shared" si="414"/>
        <v>0</v>
      </c>
      <c r="BM494">
        <f t="shared" si="415"/>
        <v>-65.673765386555147</v>
      </c>
      <c r="BN494">
        <f t="shared" si="403"/>
        <v>-98.049568184009843</v>
      </c>
      <c r="BQ494" s="47">
        <f t="shared" si="416"/>
        <v>22.306679360780393</v>
      </c>
    </row>
    <row r="495" spans="1:69">
      <c r="A495">
        <f t="shared" si="420"/>
        <v>1405000</v>
      </c>
      <c r="B495">
        <f t="shared" si="404"/>
        <v>1405</v>
      </c>
      <c r="C495">
        <f t="shared" si="373"/>
        <v>7.1327473812927931</v>
      </c>
      <c r="D495">
        <f t="shared" si="374"/>
        <v>1.4301345033667616</v>
      </c>
      <c r="F495">
        <f t="shared" si="375"/>
        <v>4.846015359065813E-6</v>
      </c>
      <c r="G495">
        <f t="shared" si="376"/>
        <v>6.6371175722138541E-4</v>
      </c>
      <c r="H495">
        <f t="shared" si="377"/>
        <v>-3.1409289382427787</v>
      </c>
      <c r="J495">
        <f t="shared" si="378"/>
        <v>15</v>
      </c>
      <c r="M495">
        <f t="shared" si="379"/>
        <v>1.0718696213423238E-3</v>
      </c>
      <c r="N495">
        <f t="shared" si="380"/>
        <v>-1.5707963250000001</v>
      </c>
      <c r="O495">
        <f t="shared" si="381"/>
        <v>684.60246347232771</v>
      </c>
      <c r="P495">
        <f t="shared" si="382"/>
        <v>1.5693356245494847</v>
      </c>
      <c r="Q495">
        <f t="shared" si="383"/>
        <v>534.29220098962355</v>
      </c>
      <c r="R495">
        <f t="shared" si="384"/>
        <v>1.5689246906714702</v>
      </c>
      <c r="S495">
        <f t="shared" si="385"/>
        <v>0.13161293841175506</v>
      </c>
      <c r="T495">
        <f t="shared" si="386"/>
        <v>-1.438800429893196</v>
      </c>
      <c r="U495">
        <f t="shared" si="387"/>
        <v>8.4876551910315415E-2</v>
      </c>
      <c r="V495">
        <f t="shared" si="388"/>
        <v>-1.4858175342336641</v>
      </c>
      <c r="X495">
        <f t="shared" si="405"/>
        <v>-52.876430866047798</v>
      </c>
      <c r="Y495">
        <f t="shared" si="389"/>
        <v>-175.78049578793926</v>
      </c>
      <c r="Z495">
        <f t="shared" si="406"/>
        <v>4.2195042120607411</v>
      </c>
      <c r="AC495">
        <v>1</v>
      </c>
      <c r="AD495">
        <f t="shared" si="390"/>
        <v>684.60173312107509</v>
      </c>
      <c r="AE495">
        <f t="shared" si="391"/>
        <v>-0.4955734584832383</v>
      </c>
      <c r="AF495">
        <f t="shared" si="392"/>
        <v>4.2214899906963005E-2</v>
      </c>
      <c r="AG495">
        <f t="shared" si="421"/>
        <v>114.82487275226109</v>
      </c>
      <c r="AH495">
        <f t="shared" si="422"/>
        <v>-1371.6521758277333</v>
      </c>
      <c r="AJ495">
        <f t="shared" si="393"/>
        <v>22100</v>
      </c>
      <c r="AK495">
        <f t="shared" si="394"/>
        <v>166455.94572850698</v>
      </c>
      <c r="AL495">
        <v>1</v>
      </c>
      <c r="AM495">
        <f t="shared" si="395"/>
        <v>534.29126517128884</v>
      </c>
      <c r="AN495">
        <f t="shared" si="423"/>
        <v>311.62165011014719</v>
      </c>
      <c r="AO495">
        <f t="shared" si="424"/>
        <v>-40.779963608247826</v>
      </c>
      <c r="AQ495">
        <f t="shared" si="396"/>
        <v>1.2664478329241229E-3</v>
      </c>
      <c r="AR495">
        <f t="shared" si="397"/>
        <v>-3.5587184105167853</v>
      </c>
      <c r="AT495">
        <f t="shared" si="418"/>
        <v>-4881.1784312322989</v>
      </c>
      <c r="AU495">
        <f t="shared" si="419"/>
        <v>-410.3665145743214</v>
      </c>
      <c r="AV495">
        <f t="shared" si="407"/>
        <v>-3.0577186914028749</v>
      </c>
      <c r="AW495">
        <f t="shared" si="408"/>
        <v>276.92905096583092</v>
      </c>
      <c r="AX495">
        <f t="shared" si="409"/>
        <v>-2624.1102083973396</v>
      </c>
      <c r="AY495">
        <f t="shared" si="417"/>
        <v>-1.4656529522158406</v>
      </c>
      <c r="BA495">
        <f t="shared" si="398"/>
        <v>1.8563804095099157</v>
      </c>
      <c r="BB495">
        <f t="shared" si="410"/>
        <v>5.373339532726594</v>
      </c>
      <c r="BC495">
        <f t="shared" si="411"/>
        <v>-1.5920657391870343</v>
      </c>
      <c r="BD495">
        <f t="shared" si="399"/>
        <v>-271.21864766702527</v>
      </c>
      <c r="BF495">
        <f t="shared" si="400"/>
        <v>-60.332002700932065</v>
      </c>
      <c r="BG495">
        <f t="shared" si="401"/>
        <v>-189.23994851189545</v>
      </c>
      <c r="BH495">
        <f t="shared" si="412"/>
        <v>-9.2399485118954487</v>
      </c>
      <c r="BI495">
        <f t="shared" si="413"/>
        <v>-9.2399485118954487</v>
      </c>
      <c r="BJ495">
        <f t="shared" si="402"/>
        <v>0</v>
      </c>
      <c r="BK495">
        <f t="shared" si="414"/>
        <v>0</v>
      </c>
      <c r="BM495">
        <f t="shared" si="415"/>
        <v>-65.705342233658655</v>
      </c>
      <c r="BN495">
        <f t="shared" si="403"/>
        <v>-98.021300844870225</v>
      </c>
      <c r="BQ495" s="47">
        <f t="shared" si="416"/>
        <v>22.275300333011732</v>
      </c>
    </row>
    <row r="496" spans="1:69">
      <c r="A496">
        <f t="shared" si="420"/>
        <v>1410000</v>
      </c>
      <c r="B496">
        <f t="shared" si="404"/>
        <v>1410</v>
      </c>
      <c r="C496">
        <f t="shared" si="373"/>
        <v>7.1576327644205486</v>
      </c>
      <c r="D496">
        <f t="shared" si="374"/>
        <v>1.4306267849870877</v>
      </c>
      <c r="F496">
        <f t="shared" si="375"/>
        <v>4.8117072330334912E-6</v>
      </c>
      <c r="G496">
        <f t="shared" si="376"/>
        <v>6.6135814701906567E-4</v>
      </c>
      <c r="H496">
        <f t="shared" si="377"/>
        <v>-3.140931291852981</v>
      </c>
      <c r="J496">
        <f t="shared" si="378"/>
        <v>15</v>
      </c>
      <c r="M496">
        <f t="shared" si="379"/>
        <v>1.068068665238273E-3</v>
      </c>
      <c r="N496">
        <f t="shared" si="380"/>
        <v>-1.5707963250000001</v>
      </c>
      <c r="O496">
        <f t="shared" si="381"/>
        <v>687.03876598250724</v>
      </c>
      <c r="P496">
        <f t="shared" si="382"/>
        <v>1.5693408043373525</v>
      </c>
      <c r="Q496">
        <f t="shared" si="383"/>
        <v>536.19359007386947</v>
      </c>
      <c r="R496">
        <f t="shared" si="384"/>
        <v>1.5689313276635828</v>
      </c>
      <c r="S496">
        <f t="shared" si="385"/>
        <v>0.13115426803136912</v>
      </c>
      <c r="T496">
        <f t="shared" si="386"/>
        <v>-1.4392631109808447</v>
      </c>
      <c r="U496">
        <f t="shared" si="387"/>
        <v>8.4577728066117755E-2</v>
      </c>
      <c r="V496">
        <f t="shared" si="388"/>
        <v>-1.486117436470181</v>
      </c>
      <c r="X496">
        <f t="shared" si="405"/>
        <v>-52.937993122321615</v>
      </c>
      <c r="Y496">
        <f t="shared" si="389"/>
        <v>-175.79544073509246</v>
      </c>
      <c r="Z496">
        <f t="shared" si="406"/>
        <v>4.2045592649075445</v>
      </c>
      <c r="AC496">
        <v>1</v>
      </c>
      <c r="AD496">
        <f t="shared" si="390"/>
        <v>687.03803822115003</v>
      </c>
      <c r="AE496">
        <f t="shared" si="391"/>
        <v>-0.49910694789099741</v>
      </c>
      <c r="AF496">
        <f t="shared" si="392"/>
        <v>4.2365130867486007E-2</v>
      </c>
      <c r="AG496">
        <f t="shared" si="421"/>
        <v>114.01777096802712</v>
      </c>
      <c r="AH496">
        <f t="shared" si="422"/>
        <v>-1366.8566693282366</v>
      </c>
      <c r="AJ496">
        <f t="shared" si="393"/>
        <v>22100</v>
      </c>
      <c r="AK496">
        <f t="shared" si="394"/>
        <v>167048.31564213158</v>
      </c>
      <c r="AL496">
        <v>1</v>
      </c>
      <c r="AM496">
        <f t="shared" si="395"/>
        <v>536.19265757403366</v>
      </c>
      <c r="AN496">
        <f t="shared" si="423"/>
        <v>311.62110975732099</v>
      </c>
      <c r="AO496">
        <f t="shared" si="424"/>
        <v>-40.635354815977301</v>
      </c>
      <c r="AQ496">
        <f t="shared" si="396"/>
        <v>1.2574818598810598E-3</v>
      </c>
      <c r="AR496">
        <f t="shared" si="397"/>
        <v>-3.5460988448645887</v>
      </c>
      <c r="AT496">
        <f t="shared" si="418"/>
        <v>-4846.8654809216232</v>
      </c>
      <c r="AU496">
        <f t="shared" si="419"/>
        <v>-406.03708339049393</v>
      </c>
      <c r="AV496">
        <f t="shared" si="407"/>
        <v>-3.0580146758084079</v>
      </c>
      <c r="AW496">
        <f t="shared" si="408"/>
        <v>277.17968608636841</v>
      </c>
      <c r="AX496">
        <f t="shared" si="409"/>
        <v>-2614.8681878545103</v>
      </c>
      <c r="AY496">
        <f t="shared" si="417"/>
        <v>-1.4651892935263424</v>
      </c>
      <c r="BA496">
        <f t="shared" si="398"/>
        <v>1.8497091437412656</v>
      </c>
      <c r="BB496">
        <f t="shared" si="410"/>
        <v>5.3420688686115039</v>
      </c>
      <c r="BC496">
        <f t="shared" si="411"/>
        <v>-1.5928253822820655</v>
      </c>
      <c r="BD496">
        <f t="shared" si="399"/>
        <v>-271.26217201035649</v>
      </c>
      <c r="BF496">
        <f t="shared" si="400"/>
        <v>-60.394733804452905</v>
      </c>
      <c r="BG496">
        <f t="shared" si="401"/>
        <v>-189.25540204794933</v>
      </c>
      <c r="BH496">
        <f t="shared" si="412"/>
        <v>-9.2554020479493317</v>
      </c>
      <c r="BI496">
        <f t="shared" si="413"/>
        <v>-9.2554020479493317</v>
      </c>
      <c r="BJ496">
        <f t="shared" si="402"/>
        <v>0</v>
      </c>
      <c r="BK496">
        <f t="shared" si="414"/>
        <v>0</v>
      </c>
      <c r="BM496">
        <f t="shared" si="415"/>
        <v>-65.736802673064417</v>
      </c>
      <c r="BN496">
        <f t="shared" si="403"/>
        <v>-97.993230037592795</v>
      </c>
      <c r="BQ496" s="47">
        <f t="shared" si="416"/>
        <v>22.244029668896644</v>
      </c>
    </row>
    <row r="497" spans="1:69">
      <c r="A497">
        <f t="shared" si="420"/>
        <v>1415000</v>
      </c>
      <c r="B497">
        <f t="shared" si="404"/>
        <v>1415</v>
      </c>
      <c r="C497">
        <f t="shared" si="373"/>
        <v>7.1825198701176136</v>
      </c>
      <c r="D497">
        <f t="shared" si="374"/>
        <v>1.4311156552582147</v>
      </c>
      <c r="F497">
        <f t="shared" si="375"/>
        <v>4.7777621566934343E-6</v>
      </c>
      <c r="G497">
        <f t="shared" si="376"/>
        <v>6.590211703407081E-4</v>
      </c>
      <c r="H497">
        <f t="shared" si="377"/>
        <v>-3.1409336288296594</v>
      </c>
      <c r="J497">
        <f t="shared" si="378"/>
        <v>15</v>
      </c>
      <c r="M497">
        <f t="shared" si="379"/>
        <v>1.0642945710148163E-3</v>
      </c>
      <c r="N497">
        <f t="shared" si="380"/>
        <v>-1.5707963250000001</v>
      </c>
      <c r="O497">
        <f t="shared" si="381"/>
        <v>689.47506851099013</v>
      </c>
      <c r="P497">
        <f t="shared" si="382"/>
        <v>1.5693459475190228</v>
      </c>
      <c r="Q497">
        <f t="shared" si="383"/>
        <v>538.09497918156762</v>
      </c>
      <c r="R497">
        <f t="shared" si="384"/>
        <v>1.5689379177513199</v>
      </c>
      <c r="S497">
        <f t="shared" si="385"/>
        <v>0.13069875578765955</v>
      </c>
      <c r="T497">
        <f t="shared" si="386"/>
        <v>-1.439722578288406</v>
      </c>
      <c r="U497">
        <f t="shared" si="387"/>
        <v>8.4280993470121135E-2</v>
      </c>
      <c r="V497">
        <f t="shared" si="388"/>
        <v>-1.4864152343644568</v>
      </c>
      <c r="X497">
        <f t="shared" si="405"/>
        <v>-52.999338517274822</v>
      </c>
      <c r="Y497">
        <f t="shared" si="389"/>
        <v>-175.81028026396535</v>
      </c>
      <c r="Z497">
        <f t="shared" si="406"/>
        <v>4.1897197360346468</v>
      </c>
      <c r="AC497">
        <v>1</v>
      </c>
      <c r="AD497">
        <f t="shared" si="390"/>
        <v>689.47434332122498</v>
      </c>
      <c r="AE497">
        <f t="shared" si="391"/>
        <v>-0.50265298965899718</v>
      </c>
      <c r="AF497">
        <f t="shared" si="392"/>
        <v>4.251536182800901E-2</v>
      </c>
      <c r="AG497">
        <f t="shared" si="421"/>
        <v>113.21912887443821</v>
      </c>
      <c r="AH497">
        <f t="shared" si="422"/>
        <v>-1362.0943377970443</v>
      </c>
      <c r="AJ497">
        <f t="shared" si="393"/>
        <v>22100</v>
      </c>
      <c r="AK497">
        <f t="shared" si="394"/>
        <v>167640.68555575615</v>
      </c>
      <c r="AL497">
        <v>1</v>
      </c>
      <c r="AM497">
        <f t="shared" si="395"/>
        <v>538.09404997677836</v>
      </c>
      <c r="AN497">
        <f t="shared" si="423"/>
        <v>311.62057512246389</v>
      </c>
      <c r="AO497">
        <f t="shared" si="424"/>
        <v>-40.491767983343841</v>
      </c>
      <c r="AQ497">
        <f t="shared" si="396"/>
        <v>1.2486107644482057E-3</v>
      </c>
      <c r="AR497">
        <f t="shared" si="397"/>
        <v>-3.5335684633884226</v>
      </c>
      <c r="AT497">
        <f t="shared" si="418"/>
        <v>-4812.9122295765192</v>
      </c>
      <c r="AU497">
        <f t="shared" si="419"/>
        <v>-401.76826889539177</v>
      </c>
      <c r="AV497">
        <f t="shared" si="407"/>
        <v>-3.0583085835594748</v>
      </c>
      <c r="AW497">
        <f t="shared" si="408"/>
        <v>277.42759144788607</v>
      </c>
      <c r="AX497">
        <f t="shared" si="409"/>
        <v>-2605.6908206700436</v>
      </c>
      <c r="AY497">
        <f t="shared" si="417"/>
        <v>-1.4647260398683559</v>
      </c>
      <c r="BA497">
        <f t="shared" si="398"/>
        <v>1.8430846816861721</v>
      </c>
      <c r="BB497">
        <f t="shared" si="410"/>
        <v>5.3109057922180849</v>
      </c>
      <c r="BC497">
        <f t="shared" si="411"/>
        <v>-1.5935825436911188</v>
      </c>
      <c r="BD497">
        <f t="shared" si="399"/>
        <v>-271.30555416355503</v>
      </c>
      <c r="BF497">
        <f t="shared" si="400"/>
        <v>-60.457241780244708</v>
      </c>
      <c r="BG497">
        <f t="shared" si="401"/>
        <v>-189.27090789675145</v>
      </c>
      <c r="BH497">
        <f t="shared" si="412"/>
        <v>-9.2709078967514529</v>
      </c>
      <c r="BI497">
        <f t="shared" si="413"/>
        <v>-9.2709078967514529</v>
      </c>
      <c r="BJ497">
        <f t="shared" si="402"/>
        <v>0</v>
      </c>
      <c r="BK497">
        <f t="shared" si="414"/>
        <v>0</v>
      </c>
      <c r="BM497">
        <f t="shared" si="415"/>
        <v>-65.768147572462794</v>
      </c>
      <c r="BN497">
        <f t="shared" si="403"/>
        <v>-97.965353733196451</v>
      </c>
      <c r="BQ497" s="47">
        <f t="shared" si="416"/>
        <v>22.212866592503225</v>
      </c>
    </row>
    <row r="498" spans="1:69">
      <c r="A498">
        <f t="shared" si="420"/>
        <v>1420000</v>
      </c>
      <c r="B498">
        <f t="shared" si="404"/>
        <v>1420</v>
      </c>
      <c r="C498">
        <f t="shared" si="373"/>
        <v>7.2074086805399471</v>
      </c>
      <c r="D498">
        <f t="shared" si="374"/>
        <v>1.4316011492857283</v>
      </c>
      <c r="F498">
        <f t="shared" si="375"/>
        <v>4.7441750256433687E-6</v>
      </c>
      <c r="G498">
        <f t="shared" si="376"/>
        <v>6.5670065147676313E-4</v>
      </c>
      <c r="H498">
        <f t="shared" si="377"/>
        <v>-3.1409359493485236</v>
      </c>
      <c r="J498">
        <f t="shared" si="378"/>
        <v>15</v>
      </c>
      <c r="M498">
        <f t="shared" si="379"/>
        <v>1.0605470549196938E-3</v>
      </c>
      <c r="N498">
        <f t="shared" si="380"/>
        <v>-1.5707963250000001</v>
      </c>
      <c r="O498">
        <f t="shared" si="381"/>
        <v>691.91137105758264</v>
      </c>
      <c r="P498">
        <f t="shared" si="382"/>
        <v>1.5693510544811797</v>
      </c>
      <c r="Q498">
        <f t="shared" si="383"/>
        <v>539.99636831247005</v>
      </c>
      <c r="R498">
        <f t="shared" si="384"/>
        <v>1.5689444614301482</v>
      </c>
      <c r="S498">
        <f t="shared" si="385"/>
        <v>0.13024636946292781</v>
      </c>
      <c r="T498">
        <f t="shared" si="386"/>
        <v>-1.4401788649923462</v>
      </c>
      <c r="U498">
        <f t="shared" si="387"/>
        <v>8.3986326366367992E-2</v>
      </c>
      <c r="V498">
        <f t="shared" si="388"/>
        <v>-1.4867109499352882</v>
      </c>
      <c r="X498">
        <f t="shared" si="405"/>
        <v>-53.060468569557806</v>
      </c>
      <c r="Y498">
        <f t="shared" si="389"/>
        <v>-175.82501548513565</v>
      </c>
      <c r="Z498">
        <f t="shared" si="406"/>
        <v>4.1749845148643487</v>
      </c>
      <c r="AC498">
        <v>1</v>
      </c>
      <c r="AD498">
        <f t="shared" si="390"/>
        <v>691.91064842130004</v>
      </c>
      <c r="AE498">
        <f t="shared" si="391"/>
        <v>-0.50621158378723763</v>
      </c>
      <c r="AF498">
        <f t="shared" si="392"/>
        <v>4.2665592788532006E-2</v>
      </c>
      <c r="AG498">
        <f t="shared" si="421"/>
        <v>112.42882893555031</v>
      </c>
      <c r="AH498">
        <f t="shared" si="422"/>
        <v>-1357.364840700762</v>
      </c>
      <c r="AJ498">
        <f t="shared" si="393"/>
        <v>22100</v>
      </c>
      <c r="AK498">
        <f t="shared" si="394"/>
        <v>168233.05546938072</v>
      </c>
      <c r="AL498">
        <v>1</v>
      </c>
      <c r="AM498">
        <f t="shared" si="395"/>
        <v>539.99544237952318</v>
      </c>
      <c r="AN498">
        <f t="shared" si="423"/>
        <v>311.62004612518348</v>
      </c>
      <c r="AO498">
        <f t="shared" si="424"/>
        <v>-40.349192315148024</v>
      </c>
      <c r="AQ498">
        <f t="shared" si="396"/>
        <v>1.2398332126768979E-3</v>
      </c>
      <c r="AR498">
        <f t="shared" si="397"/>
        <v>-3.52112632400239</v>
      </c>
      <c r="AT498">
        <f t="shared" si="418"/>
        <v>-4779.313678870587</v>
      </c>
      <c r="AU498">
        <f t="shared" si="419"/>
        <v>-397.55901515294846</v>
      </c>
      <c r="AV498">
        <f t="shared" si="407"/>
        <v>-3.0586004363823971</v>
      </c>
      <c r="AW498">
        <f t="shared" si="408"/>
        <v>277.67280677408547</v>
      </c>
      <c r="AX498">
        <f t="shared" si="409"/>
        <v>-2596.5774330371178</v>
      </c>
      <c r="AY498">
        <f t="shared" si="417"/>
        <v>-1.4642631871760956</v>
      </c>
      <c r="BA498">
        <f t="shared" si="398"/>
        <v>1.8365065295825094</v>
      </c>
      <c r="BB498">
        <f t="shared" si="410"/>
        <v>5.2798495358109694</v>
      </c>
      <c r="BC498">
        <f t="shared" si="411"/>
        <v>-1.5943372492063015</v>
      </c>
      <c r="BD498">
        <f t="shared" si="399"/>
        <v>-271.34879560439964</v>
      </c>
      <c r="BF498">
        <f t="shared" si="400"/>
        <v>-60.519528253959663</v>
      </c>
      <c r="BG498">
        <f t="shared" si="401"/>
        <v>-189.28646553474633</v>
      </c>
      <c r="BH498">
        <f t="shared" si="412"/>
        <v>-9.286465534746327</v>
      </c>
      <c r="BI498">
        <f t="shared" si="413"/>
        <v>-9.286465534746327</v>
      </c>
      <c r="BJ498">
        <f t="shared" si="402"/>
        <v>0</v>
      </c>
      <c r="BK498">
        <f t="shared" si="414"/>
        <v>0</v>
      </c>
      <c r="BM498">
        <f t="shared" si="415"/>
        <v>-65.799377789770631</v>
      </c>
      <c r="BN498">
        <f t="shared" si="403"/>
        <v>-97.937669930346686</v>
      </c>
      <c r="BQ498" s="47">
        <f t="shared" si="416"/>
        <v>22.181810336096106</v>
      </c>
    </row>
    <row r="499" spans="1:69">
      <c r="A499">
        <f t="shared" si="420"/>
        <v>1425000</v>
      </c>
      <c r="B499">
        <f t="shared" si="404"/>
        <v>1425</v>
      </c>
      <c r="C499">
        <f t="shared" si="373"/>
        <v>7.2322991780879242</v>
      </c>
      <c r="D499">
        <f t="shared" si="374"/>
        <v>1.4320833016983561</v>
      </c>
      <c r="F499">
        <f t="shared" si="375"/>
        <v>4.7109408248753712E-6</v>
      </c>
      <c r="G499">
        <f t="shared" si="376"/>
        <v>6.5439641718383729E-4</v>
      </c>
      <c r="H499">
        <f t="shared" si="377"/>
        <v>-3.1409382535828163</v>
      </c>
      <c r="J499">
        <f t="shared" si="378"/>
        <v>15</v>
      </c>
      <c r="M499">
        <f t="shared" si="379"/>
        <v>1.0568258371831333E-3</v>
      </c>
      <c r="N499">
        <f t="shared" si="380"/>
        <v>-1.5707963250000001</v>
      </c>
      <c r="O499">
        <f t="shared" si="381"/>
        <v>694.34767362209448</v>
      </c>
      <c r="P499">
        <f t="shared" si="382"/>
        <v>1.5693561256050803</v>
      </c>
      <c r="Q499">
        <f t="shared" si="383"/>
        <v>541.89775746633291</v>
      </c>
      <c r="R499">
        <f t="shared" si="384"/>
        <v>1.5689509591885804</v>
      </c>
      <c r="S499">
        <f t="shared" si="385"/>
        <v>0.12979707727221565</v>
      </c>
      <c r="T499">
        <f t="shared" si="386"/>
        <v>-1.4406320038166942</v>
      </c>
      <c r="U499">
        <f t="shared" si="387"/>
        <v>8.3693705298833118E-2</v>
      </c>
      <c r="V499">
        <f t="shared" si="388"/>
        <v>-1.4870046048960737</v>
      </c>
      <c r="X499">
        <f t="shared" si="405"/>
        <v>-53.121384781965737</v>
      </c>
      <c r="Y499">
        <f t="shared" si="389"/>
        <v>-175.83964749365012</v>
      </c>
      <c r="Z499">
        <f t="shared" si="406"/>
        <v>4.1603525063498807</v>
      </c>
      <c r="AC499">
        <v>1</v>
      </c>
      <c r="AD499">
        <f t="shared" si="390"/>
        <v>694.3469535213751</v>
      </c>
      <c r="AE499">
        <f t="shared" si="391"/>
        <v>-0.50978273027571885</v>
      </c>
      <c r="AF499">
        <f t="shared" si="392"/>
        <v>4.2815823749055001E-2</v>
      </c>
      <c r="AG499">
        <f t="shared" si="421"/>
        <v>111.64675564475495</v>
      </c>
      <c r="AH499">
        <f t="shared" si="422"/>
        <v>-1352.667842114972</v>
      </c>
      <c r="AJ499">
        <f t="shared" si="393"/>
        <v>22100</v>
      </c>
      <c r="AK499">
        <f t="shared" si="394"/>
        <v>168825.42538300529</v>
      </c>
      <c r="AL499">
        <v>1</v>
      </c>
      <c r="AM499">
        <f t="shared" si="395"/>
        <v>541.896834782268</v>
      </c>
      <c r="AN499">
        <f t="shared" si="423"/>
        <v>311.61952268649532</v>
      </c>
      <c r="AO499">
        <f t="shared" si="424"/>
        <v>-40.207617167699439</v>
      </c>
      <c r="AQ499">
        <f t="shared" si="396"/>
        <v>1.2311478939799453E-3</v>
      </c>
      <c r="AR499">
        <f t="shared" si="397"/>
        <v>-3.5087714978428441</v>
      </c>
      <c r="AT499">
        <f t="shared" si="418"/>
        <v>-4746.0649167935171</v>
      </c>
      <c r="AU499">
        <f t="shared" si="419"/>
        <v>-393.40828819801504</v>
      </c>
      <c r="AV499">
        <f t="shared" si="407"/>
        <v>-3.0588902557022033</v>
      </c>
      <c r="AW499">
        <f t="shared" si="408"/>
        <v>277.91537106516279</v>
      </c>
      <c r="AX499">
        <f t="shared" si="409"/>
        <v>-2587.5273604484887</v>
      </c>
      <c r="AY499">
        <f t="shared" si="417"/>
        <v>-1.4638007314489072</v>
      </c>
      <c r="BA499">
        <f t="shared" si="398"/>
        <v>1.8299742005890514</v>
      </c>
      <c r="BB499">
        <f t="shared" si="410"/>
        <v>5.2488993397365338</v>
      </c>
      <c r="BC499">
        <f t="shared" si="411"/>
        <v>-1.5950895242532961</v>
      </c>
      <c r="BD499">
        <f t="shared" si="399"/>
        <v>-271.39189778967472</v>
      </c>
      <c r="BF499">
        <f t="shared" si="400"/>
        <v>-60.581594833542063</v>
      </c>
      <c r="BG499">
        <f t="shared" si="401"/>
        <v>-189.30207444456431</v>
      </c>
      <c r="BH499">
        <f t="shared" si="412"/>
        <v>-9.3020744445643118</v>
      </c>
      <c r="BI499">
        <f t="shared" si="413"/>
        <v>-9.3020744445643118</v>
      </c>
      <c r="BJ499">
        <f t="shared" si="402"/>
        <v>0</v>
      </c>
      <c r="BK499">
        <f t="shared" si="414"/>
        <v>0</v>
      </c>
      <c r="BM499">
        <f t="shared" si="415"/>
        <v>-65.830494173278595</v>
      </c>
      <c r="BN499">
        <f t="shared" si="403"/>
        <v>-97.910176654889625</v>
      </c>
      <c r="BQ499" s="47">
        <f t="shared" si="416"/>
        <v>22.15086014002167</v>
      </c>
    </row>
    <row r="500" spans="1:69">
      <c r="A500">
        <f t="shared" si="420"/>
        <v>1430000</v>
      </c>
      <c r="B500">
        <f t="shared" si="404"/>
        <v>1430</v>
      </c>
      <c r="C500">
        <f t="shared" si="373"/>
        <v>7.2571913454021884</v>
      </c>
      <c r="D500">
        <f t="shared" si="374"/>
        <v>1.4325621466559824</v>
      </c>
      <c r="F500">
        <f t="shared" si="375"/>
        <v>4.6780546269037432E-6</v>
      </c>
      <c r="G500">
        <f t="shared" si="376"/>
        <v>6.5210829664157847E-4</v>
      </c>
      <c r="H500">
        <f t="shared" si="377"/>
        <v>-3.1409405417033587</v>
      </c>
      <c r="J500">
        <f t="shared" si="378"/>
        <v>15</v>
      </c>
      <c r="M500">
        <f t="shared" si="379"/>
        <v>1.0531306419482274E-3</v>
      </c>
      <c r="N500">
        <f t="shared" si="380"/>
        <v>-1.5707963250000001</v>
      </c>
      <c r="O500">
        <f t="shared" si="381"/>
        <v>696.78397620433736</v>
      </c>
      <c r="P500">
        <f t="shared" si="382"/>
        <v>1.5693611612666496</v>
      </c>
      <c r="Q500">
        <f t="shared" si="383"/>
        <v>543.79914664291516</v>
      </c>
      <c r="R500">
        <f t="shared" si="384"/>
        <v>1.5689574115082965</v>
      </c>
      <c r="S500">
        <f t="shared" si="385"/>
        <v>0.12935084785613338</v>
      </c>
      <c r="T500">
        <f t="shared" si="386"/>
        <v>-1.4410820270406823</v>
      </c>
      <c r="U500">
        <f t="shared" si="387"/>
        <v>8.3403109106291812E-2</v>
      </c>
      <c r="V500">
        <f t="shared" si="388"/>
        <v>-1.4872962206600764</v>
      </c>
      <c r="X500">
        <f t="shared" si="405"/>
        <v>-53.18208864165797</v>
      </c>
      <c r="Y500">
        <f t="shared" si="389"/>
        <v>-175.85417736929514</v>
      </c>
      <c r="Z500">
        <f t="shared" si="406"/>
        <v>4.1458226307048562</v>
      </c>
      <c r="AC500">
        <v>1</v>
      </c>
      <c r="AD500">
        <f t="shared" si="390"/>
        <v>696.78325862145005</v>
      </c>
      <c r="AE500">
        <f t="shared" si="391"/>
        <v>-0.51336642912444064</v>
      </c>
      <c r="AF500">
        <f t="shared" si="392"/>
        <v>4.2966054709578004E-2</v>
      </c>
      <c r="AG500">
        <f t="shared" si="421"/>
        <v>110.87279548297923</v>
      </c>
      <c r="AH500">
        <f t="shared" si="422"/>
        <v>-1348.0030106471536</v>
      </c>
      <c r="AJ500">
        <f t="shared" si="393"/>
        <v>22100</v>
      </c>
      <c r="AK500">
        <f t="shared" si="394"/>
        <v>169417.79529662989</v>
      </c>
      <c r="AL500">
        <v>1</v>
      </c>
      <c r="AM500">
        <f t="shared" si="395"/>
        <v>543.79822718501282</v>
      </c>
      <c r="AN500">
        <f t="shared" si="423"/>
        <v>311.61900472879353</v>
      </c>
      <c r="AO500">
        <f t="shared" si="424"/>
        <v>-40.06703204616791</v>
      </c>
      <c r="AQ500">
        <f t="shared" si="396"/>
        <v>1.2225535206423883E-3</v>
      </c>
      <c r="AR500">
        <f t="shared" si="397"/>
        <v>-3.4965030690372307</v>
      </c>
      <c r="AT500">
        <f t="shared" si="418"/>
        <v>-4713.1611158727383</v>
      </c>
      <c r="AU500">
        <f t="shared" si="419"/>
        <v>-389.3150755054773</v>
      </c>
      <c r="AV500">
        <f t="shared" si="407"/>
        <v>-3.0591780626478187</v>
      </c>
      <c r="AW500">
        <f t="shared" si="408"/>
        <v>278.15532261362983</v>
      </c>
      <c r="AX500">
        <f t="shared" si="409"/>
        <v>-2578.5399475371314</v>
      </c>
      <c r="AY500">
        <f t="shared" si="417"/>
        <v>-1.4633386687499994</v>
      </c>
      <c r="BA500">
        <f t="shared" si="398"/>
        <v>1.823487214664693</v>
      </c>
      <c r="BB500">
        <f t="shared" si="410"/>
        <v>5.2180544523100796</v>
      </c>
      <c r="BC500">
        <f t="shared" si="411"/>
        <v>-1.5958393938978193</v>
      </c>
      <c r="BD500">
        <f t="shared" si="399"/>
        <v>-271.43486215553992</v>
      </c>
      <c r="BF500">
        <f t="shared" si="400"/>
        <v>-60.643443109485624</v>
      </c>
      <c r="BG500">
        <f t="shared" si="401"/>
        <v>-189.31773411493535</v>
      </c>
      <c r="BH500">
        <f t="shared" si="412"/>
        <v>-9.3177341149353481</v>
      </c>
      <c r="BI500">
        <f t="shared" si="413"/>
        <v>-9.3177341149353481</v>
      </c>
      <c r="BJ500">
        <f t="shared" si="402"/>
        <v>0</v>
      </c>
      <c r="BK500">
        <f t="shared" si="414"/>
        <v>0</v>
      </c>
      <c r="BM500">
        <f t="shared" si="415"/>
        <v>-65.861497561795701</v>
      </c>
      <c r="BN500">
        <f t="shared" si="403"/>
        <v>-97.882871959395402</v>
      </c>
      <c r="BQ500" s="47">
        <f t="shared" si="416"/>
        <v>22.120015252595216</v>
      </c>
    </row>
    <row r="501" spans="1:69">
      <c r="A501">
        <f t="shared" si="420"/>
        <v>1435000</v>
      </c>
      <c r="B501">
        <f t="shared" si="404"/>
        <v>1435</v>
      </c>
      <c r="C501">
        <f t="shared" si="373"/>
        <v>7.2820851653595771</v>
      </c>
      <c r="D501">
        <f t="shared" si="374"/>
        <v>1.4330377178575033</v>
      </c>
      <c r="F501">
        <f t="shared" si="375"/>
        <v>4.6455115899384357E-6</v>
      </c>
      <c r="G501">
        <f t="shared" si="376"/>
        <v>6.4983612141046078E-4</v>
      </c>
      <c r="H501">
        <f t="shared" si="377"/>
        <v>-3.1409428138785898</v>
      </c>
      <c r="J501">
        <f t="shared" si="378"/>
        <v>15</v>
      </c>
      <c r="M501">
        <f t="shared" si="379"/>
        <v>1.049461197202763E-3</v>
      </c>
      <c r="N501">
        <f t="shared" si="380"/>
        <v>-1.5707963250000001</v>
      </c>
      <c r="O501">
        <f t="shared" si="381"/>
        <v>699.22027880412622</v>
      </c>
      <c r="P501">
        <f t="shared" si="382"/>
        <v>1.5693661618365724</v>
      </c>
      <c r="Q501">
        <f t="shared" si="383"/>
        <v>545.70053584197922</v>
      </c>
      <c r="R501">
        <f t="shared" si="384"/>
        <v>1.5689638188642636</v>
      </c>
      <c r="S501">
        <f t="shared" si="385"/>
        <v>0.12890765027382869</v>
      </c>
      <c r="T501">
        <f t="shared" si="386"/>
        <v>-1.4415289665062339</v>
      </c>
      <c r="U501">
        <f t="shared" si="387"/>
        <v>8.3114516917292353E-2</v>
      </c>
      <c r="V501">
        <f t="shared" si="388"/>
        <v>-1.4875858183455808</v>
      </c>
      <c r="X501">
        <f t="shared" si="405"/>
        <v>-53.242581620373613</v>
      </c>
      <c r="Y501">
        <f t="shared" si="389"/>
        <v>-175.86860617686116</v>
      </c>
      <c r="Z501">
        <f t="shared" si="406"/>
        <v>4.1313938231388363</v>
      </c>
      <c r="AC501">
        <v>1</v>
      </c>
      <c r="AD501">
        <f t="shared" si="390"/>
        <v>699.21956372152499</v>
      </c>
      <c r="AE501">
        <f t="shared" si="391"/>
        <v>-0.51696268033340331</v>
      </c>
      <c r="AF501">
        <f t="shared" si="392"/>
        <v>4.3116285670101007E-2</v>
      </c>
      <c r="AG501">
        <f t="shared" si="421"/>
        <v>110.10683687788395</v>
      </c>
      <c r="AH501">
        <f t="shared" si="422"/>
        <v>-1343.3700193611323</v>
      </c>
      <c r="AJ501">
        <f t="shared" si="393"/>
        <v>22100</v>
      </c>
      <c r="AK501">
        <f t="shared" si="394"/>
        <v>170010.16521025449</v>
      </c>
      <c r="AL501">
        <v>1</v>
      </c>
      <c r="AM501">
        <f t="shared" si="395"/>
        <v>545.69961958775764</v>
      </c>
      <c r="AN501">
        <f t="shared" si="423"/>
        <v>311.61849217582159</v>
      </c>
      <c r="AO501">
        <f t="shared" si="424"/>
        <v>-39.927426601990213</v>
      </c>
      <c r="AQ501">
        <f t="shared" si="396"/>
        <v>1.2140488273441675E-3</v>
      </c>
      <c r="AR501">
        <f t="shared" si="397"/>
        <v>-3.4843201344777603</v>
      </c>
      <c r="AT501">
        <f t="shared" si="418"/>
        <v>-4680.5975314375783</v>
      </c>
      <c r="AU501">
        <f t="shared" si="419"/>
        <v>-385.27838547396414</v>
      </c>
      <c r="AV501">
        <f t="shared" si="407"/>
        <v>-3.0594638780571528</v>
      </c>
      <c r="AW501">
        <f t="shared" si="408"/>
        <v>278.39269901972978</v>
      </c>
      <c r="AX501">
        <f t="shared" si="409"/>
        <v>-2569.614547920145</v>
      </c>
      <c r="AY501">
        <f t="shared" si="417"/>
        <v>-1.4628769952052034</v>
      </c>
      <c r="BA501">
        <f t="shared" si="398"/>
        <v>1.8170450984501905</v>
      </c>
      <c r="BB501">
        <f t="shared" si="410"/>
        <v>5.1873141297049798</v>
      </c>
      <c r="BC501">
        <f t="shared" si="411"/>
        <v>-1.5965868828519494</v>
      </c>
      <c r="BD501">
        <f t="shared" si="399"/>
        <v>-271.47769011789319</v>
      </c>
      <c r="BF501">
        <f t="shared" si="400"/>
        <v>-60.705074655086271</v>
      </c>
      <c r="BG501">
        <f t="shared" si="401"/>
        <v>-189.33344404060352</v>
      </c>
      <c r="BH501">
        <f t="shared" si="412"/>
        <v>-9.3334440406035242</v>
      </c>
      <c r="BI501">
        <f t="shared" si="413"/>
        <v>-9.3334440406035242</v>
      </c>
      <c r="BJ501">
        <f t="shared" si="402"/>
        <v>0</v>
      </c>
      <c r="BK501">
        <f t="shared" si="414"/>
        <v>0</v>
      </c>
      <c r="BM501">
        <f t="shared" si="415"/>
        <v>-65.892388784791251</v>
      </c>
      <c r="BN501">
        <f t="shared" si="403"/>
        <v>-97.855753922710349</v>
      </c>
      <c r="BQ501" s="47">
        <f t="shared" si="416"/>
        <v>22.089274929990115</v>
      </c>
    </row>
    <row r="502" spans="1:69">
      <c r="A502">
        <f t="shared" si="420"/>
        <v>1440000</v>
      </c>
      <c r="B502">
        <f t="shared" si="404"/>
        <v>1440</v>
      </c>
      <c r="C502">
        <f t="shared" si="373"/>
        <v>7.3069806210691484</v>
      </c>
      <c r="D502">
        <f t="shared" si="374"/>
        <v>1.4335100485485255</v>
      </c>
      <c r="F502">
        <f t="shared" si="375"/>
        <v>4.6133069561028279E-6</v>
      </c>
      <c r="G502">
        <f t="shared" si="376"/>
        <v>6.4757972539044998E-4</v>
      </c>
      <c r="H502">
        <f t="shared" si="377"/>
        <v>-3.1409450702746096</v>
      </c>
      <c r="J502">
        <f t="shared" si="378"/>
        <v>15</v>
      </c>
      <c r="M502">
        <f t="shared" si="379"/>
        <v>1.0458172347124757E-3</v>
      </c>
      <c r="N502">
        <f t="shared" si="380"/>
        <v>-1.5707963250000001</v>
      </c>
      <c r="O502">
        <f t="shared" si="381"/>
        <v>701.65658142127791</v>
      </c>
      <c r="P502">
        <f t="shared" si="382"/>
        <v>1.5693711276803859</v>
      </c>
      <c r="Q502">
        <f t="shared" si="383"/>
        <v>547.60192506329111</v>
      </c>
      <c r="R502">
        <f t="shared" si="384"/>
        <v>1.5689701817248523</v>
      </c>
      <c r="S502">
        <f t="shared" si="385"/>
        <v>0.1284674539960933</v>
      </c>
      <c r="T502">
        <f t="shared" si="386"/>
        <v>-1.4419728536253011</v>
      </c>
      <c r="U502">
        <f t="shared" si="387"/>
        <v>8.2827908145230972E-2</v>
      </c>
      <c r="V502">
        <f t="shared" si="388"/>
        <v>-1.4878734187809417</v>
      </c>
      <c r="X502">
        <f t="shared" si="405"/>
        <v>-53.302865174643372</v>
      </c>
      <c r="Y502">
        <f t="shared" si="389"/>
        <v>-175.88293496640182</v>
      </c>
      <c r="Z502">
        <f t="shared" si="406"/>
        <v>4.1170650335981804</v>
      </c>
      <c r="AC502">
        <v>1</v>
      </c>
      <c r="AD502">
        <f t="shared" si="390"/>
        <v>701.65586882160005</v>
      </c>
      <c r="AE502">
        <f t="shared" si="391"/>
        <v>-0.52057148390260666</v>
      </c>
      <c r="AF502">
        <f t="shared" si="392"/>
        <v>4.3266516630624002E-2</v>
      </c>
      <c r="AG502">
        <f t="shared" si="421"/>
        <v>109.34877016403414</v>
      </c>
      <c r="AH502">
        <f t="shared" si="422"/>
        <v>-1338.768545703027</v>
      </c>
      <c r="AJ502">
        <f t="shared" si="393"/>
        <v>22100</v>
      </c>
      <c r="AK502">
        <f t="shared" si="394"/>
        <v>170602.53512387903</v>
      </c>
      <c r="AL502">
        <v>1</v>
      </c>
      <c r="AM502">
        <f t="shared" si="395"/>
        <v>547.60101199050246</v>
      </c>
      <c r="AN502">
        <f t="shared" si="423"/>
        <v>311.61798495264463</v>
      </c>
      <c r="AO502">
        <f t="shared" si="424"/>
        <v>-39.78879063033078</v>
      </c>
      <c r="AQ502">
        <f t="shared" si="396"/>
        <v>1.2056325706943755E-3</v>
      </c>
      <c r="AR502">
        <f t="shared" si="397"/>
        <v>-3.472221803599802</v>
      </c>
      <c r="AT502">
        <f t="shared" si="418"/>
        <v>-4648.3694999247728</v>
      </c>
      <c r="AU502">
        <f t="shared" si="419"/>
        <v>-381.29724692370354</v>
      </c>
      <c r="AV502">
        <f t="shared" si="407"/>
        <v>-3.0597477224820806</v>
      </c>
      <c r="AW502">
        <f t="shared" si="408"/>
        <v>278.62753720646378</v>
      </c>
      <c r="AX502">
        <f t="shared" si="409"/>
        <v>-2560.7505240458349</v>
      </c>
      <c r="AY502">
        <f t="shared" si="417"/>
        <v>-1.4624157070017638</v>
      </c>
      <c r="BA502">
        <f t="shared" si="398"/>
        <v>1.8106473851523623</v>
      </c>
      <c r="BB502">
        <f t="shared" si="410"/>
        <v>5.1566776358437494</v>
      </c>
      <c r="BC502">
        <f t="shared" si="411"/>
        <v>-1.5973320154803168</v>
      </c>
      <c r="BD502">
        <f t="shared" si="399"/>
        <v>-271.52038307272494</v>
      </c>
      <c r="BF502">
        <f t="shared" si="400"/>
        <v>-60.766491026690225</v>
      </c>
      <c r="BG502">
        <f t="shared" si="401"/>
        <v>-189.34920372224326</v>
      </c>
      <c r="BH502">
        <f t="shared" si="412"/>
        <v>-9.34920372224326</v>
      </c>
      <c r="BI502">
        <f t="shared" si="413"/>
        <v>-9.34920372224326</v>
      </c>
      <c r="BJ502">
        <f t="shared" si="402"/>
        <v>0</v>
      </c>
      <c r="BK502">
        <f t="shared" si="414"/>
        <v>0</v>
      </c>
      <c r="BM502">
        <f t="shared" si="415"/>
        <v>-65.923168662533982</v>
      </c>
      <c r="BN502">
        <f t="shared" si="403"/>
        <v>-97.828820649518363</v>
      </c>
      <c r="BQ502" s="47">
        <f t="shared" si="416"/>
        <v>22.058638436128884</v>
      </c>
    </row>
    <row r="503" spans="1:69">
      <c r="A503">
        <f t="shared" si="420"/>
        <v>1445000</v>
      </c>
      <c r="B503">
        <f t="shared" si="404"/>
        <v>1445</v>
      </c>
      <c r="C503">
        <f t="shared" si="373"/>
        <v>7.3318776958682683</v>
      </c>
      <c r="D503">
        <f t="shared" si="374"/>
        <v>1.4339791715289105</v>
      </c>
      <c r="F503">
        <f t="shared" si="375"/>
        <v>4.5814360496945718E-6</v>
      </c>
      <c r="G503">
        <f t="shared" si="376"/>
        <v>6.4533894478052678E-4</v>
      </c>
      <c r="H503">
        <f t="shared" si="377"/>
        <v>-3.1409473110552195</v>
      </c>
      <c r="J503">
        <f t="shared" si="378"/>
        <v>15</v>
      </c>
      <c r="M503">
        <f t="shared" si="379"/>
        <v>1.042198489955685E-3</v>
      </c>
      <c r="N503">
        <f t="shared" si="380"/>
        <v>-1.5707963250000001</v>
      </c>
      <c r="O503">
        <f t="shared" si="381"/>
        <v>704.09288405561267</v>
      </c>
      <c r="P503">
        <f t="shared" si="382"/>
        <v>1.5693760591585681</v>
      </c>
      <c r="Q503">
        <f t="shared" si="383"/>
        <v>549.50331430661981</v>
      </c>
      <c r="R503">
        <f t="shared" si="384"/>
        <v>1.5689765005519498</v>
      </c>
      <c r="S503">
        <f t="shared" si="385"/>
        <v>0.12803022889860369</v>
      </c>
      <c r="T503">
        <f t="shared" si="386"/>
        <v>-1.4424137193870561</v>
      </c>
      <c r="U503">
        <f t="shared" si="387"/>
        <v>8.2543262483526267E-2</v>
      </c>
      <c r="V503">
        <f t="shared" si="388"/>
        <v>-1.4881590425095319</v>
      </c>
      <c r="X503">
        <f t="shared" si="405"/>
        <v>-53.362940745997847</v>
      </c>
      <c r="Y503">
        <f t="shared" si="389"/>
        <v>-175.89716477348782</v>
      </c>
      <c r="Z503">
        <f t="shared" si="406"/>
        <v>4.1028352265121839</v>
      </c>
      <c r="AC503">
        <v>1</v>
      </c>
      <c r="AD503">
        <f t="shared" si="390"/>
        <v>704.09217392167511</v>
      </c>
      <c r="AE503">
        <f t="shared" si="391"/>
        <v>-0.52419283983205056</v>
      </c>
      <c r="AF503">
        <f t="shared" si="392"/>
        <v>4.3416747591147005E-2</v>
      </c>
      <c r="AG503">
        <f t="shared" si="421"/>
        <v>108.59848754401403</v>
      </c>
      <c r="AH503">
        <f t="shared" si="422"/>
        <v>-1334.1982714286487</v>
      </c>
      <c r="AJ503">
        <f t="shared" si="393"/>
        <v>22100</v>
      </c>
      <c r="AK503">
        <f t="shared" si="394"/>
        <v>171194.90503750363</v>
      </c>
      <c r="AL503">
        <v>1</v>
      </c>
      <c r="AM503">
        <f t="shared" si="395"/>
        <v>549.50240439324728</v>
      </c>
      <c r="AN503">
        <f t="shared" si="423"/>
        <v>311.61748298562219</v>
      </c>
      <c r="AO503">
        <f t="shared" si="424"/>
        <v>-39.651114067595024</v>
      </c>
      <c r="AQ503">
        <f t="shared" si="396"/>
        <v>1.1973035287767713E-3</v>
      </c>
      <c r="AR503">
        <f t="shared" si="397"/>
        <v>-3.460207198164869</v>
      </c>
      <c r="AT503">
        <f t="shared" si="418"/>
        <v>-4616.4724372241799</v>
      </c>
      <c r="AU503">
        <f t="shared" si="419"/>
        <v>-377.37070860808461</v>
      </c>
      <c r="AV503">
        <f t="shared" si="407"/>
        <v>-3.0600296161933209</v>
      </c>
      <c r="AW503">
        <f t="shared" si="408"/>
        <v>278.85987343423579</v>
      </c>
      <c r="AX503">
        <f t="shared" si="409"/>
        <v>-2551.9472470438955</v>
      </c>
      <c r="AY503">
        <f t="shared" si="417"/>
        <v>-1.4619548003871543</v>
      </c>
      <c r="BA503">
        <f t="shared" si="398"/>
        <v>1.8042936144306851</v>
      </c>
      <c r="BB503">
        <f t="shared" si="410"/>
        <v>5.1261442422909802</v>
      </c>
      <c r="BC503">
        <f t="shared" si="411"/>
        <v>-1.5980748158061666</v>
      </c>
      <c r="BD503">
        <f t="shared" si="399"/>
        <v>-271.5629423964657</v>
      </c>
      <c r="BF503">
        <f t="shared" si="400"/>
        <v>-60.827693763937695</v>
      </c>
      <c r="BG503">
        <f t="shared" si="401"/>
        <v>-189.36501266637657</v>
      </c>
      <c r="BH503">
        <f t="shared" si="412"/>
        <v>-9.3650126663765718</v>
      </c>
      <c r="BI503">
        <f t="shared" si="413"/>
        <v>-9.3650126663765718</v>
      </c>
      <c r="BJ503">
        <f t="shared" si="402"/>
        <v>0</v>
      </c>
      <c r="BK503">
        <f t="shared" si="414"/>
        <v>0</v>
      </c>
      <c r="BM503">
        <f t="shared" si="415"/>
        <v>-65.953838006228679</v>
      </c>
      <c r="BN503">
        <f t="shared" si="403"/>
        <v>-97.802070269910899</v>
      </c>
      <c r="BQ503" s="47">
        <f t="shared" si="416"/>
        <v>22.028105042576115</v>
      </c>
    </row>
    <row r="504" spans="1:69">
      <c r="A504">
        <f t="shared" si="420"/>
        <v>1450000</v>
      </c>
      <c r="B504">
        <f t="shared" si="404"/>
        <v>1450</v>
      </c>
      <c r="C504">
        <f t="shared" si="373"/>
        <v>7.3567763733187874</v>
      </c>
      <c r="D504">
        <f t="shared" si="374"/>
        <v>1.434445119160173</v>
      </c>
      <c r="F504">
        <f t="shared" si="375"/>
        <v>4.5498942754883593E-6</v>
      </c>
      <c r="G504">
        <f t="shared" si="376"/>
        <v>6.431136180390473E-4</v>
      </c>
      <c r="H504">
        <f t="shared" si="377"/>
        <v>-3.1409495363819611</v>
      </c>
      <c r="J504">
        <f t="shared" si="378"/>
        <v>15</v>
      </c>
      <c r="M504">
        <f t="shared" si="379"/>
        <v>1.0386047020592864E-3</v>
      </c>
      <c r="N504">
        <f t="shared" si="380"/>
        <v>-1.5707963250000001</v>
      </c>
      <c r="O504">
        <f t="shared" si="381"/>
        <v>706.52918670695237</v>
      </c>
      <c r="P504">
        <f t="shared" si="382"/>
        <v>1.5693809566266241</v>
      </c>
      <c r="Q504">
        <f t="shared" si="383"/>
        <v>551.40470357173729</v>
      </c>
      <c r="R504">
        <f t="shared" si="384"/>
        <v>1.5689827758010733</v>
      </c>
      <c r="S504">
        <f t="shared" si="385"/>
        <v>0.12759594525529366</v>
      </c>
      <c r="T504">
        <f t="shared" si="386"/>
        <v>-1.4428515943649387</v>
      </c>
      <c r="U504">
        <f t="shared" si="387"/>
        <v>8.2260559900891206E-2</v>
      </c>
      <c r="V504">
        <f t="shared" si="388"/>
        <v>-1.488442709794588</v>
      </c>
      <c r="X504">
        <f t="shared" si="405"/>
        <v>-53.422809761172239</v>
      </c>
      <c r="Y504">
        <f t="shared" si="389"/>
        <v>-175.91129661945544</v>
      </c>
      <c r="Z504">
        <f t="shared" si="406"/>
        <v>4.0887033805445583</v>
      </c>
      <c r="AC504">
        <v>1</v>
      </c>
      <c r="AD504">
        <f t="shared" si="390"/>
        <v>706.52847902175006</v>
      </c>
      <c r="AE504">
        <f t="shared" si="391"/>
        <v>-0.52782674812173536</v>
      </c>
      <c r="AF504">
        <f t="shared" si="392"/>
        <v>4.3566978551670008E-2</v>
      </c>
      <c r="AG504">
        <f t="shared" si="421"/>
        <v>107.85588305046178</v>
      </c>
      <c r="AH504">
        <f t="shared" si="422"/>
        <v>-1329.6588825323281</v>
      </c>
      <c r="AJ504">
        <f t="shared" si="393"/>
        <v>22100</v>
      </c>
      <c r="AK504">
        <f t="shared" si="394"/>
        <v>171787.2749511282</v>
      </c>
      <c r="AL504">
        <v>1</v>
      </c>
      <c r="AM504">
        <f t="shared" si="395"/>
        <v>551.40379679599198</v>
      </c>
      <c r="AN504">
        <f t="shared" si="423"/>
        <v>311.61698620238116</v>
      </c>
      <c r="AO504">
        <f t="shared" si="424"/>
        <v>-39.514386988994325</v>
      </c>
      <c r="AQ504">
        <f t="shared" si="396"/>
        <v>1.1890605007062426E-3</v>
      </c>
      <c r="AR504">
        <f t="shared" si="397"/>
        <v>-3.4482754520481032</v>
      </c>
      <c r="AT504">
        <f t="shared" si="418"/>
        <v>-4584.901837063635</v>
      </c>
      <c r="AU504">
        <f t="shared" si="419"/>
        <v>-373.49783873851084</v>
      </c>
      <c r="AV504">
        <f t="shared" si="407"/>
        <v>-3.0603095791852177</v>
      </c>
      <c r="AW504">
        <f t="shared" si="408"/>
        <v>279.08974331512701</v>
      </c>
      <c r="AX504">
        <f t="shared" si="409"/>
        <v>-2543.2040965786173</v>
      </c>
      <c r="AY504">
        <f t="shared" si="417"/>
        <v>-1.4614942716679242</v>
      </c>
      <c r="BA504">
        <f t="shared" si="398"/>
        <v>1.7979833322862311</v>
      </c>
      <c r="BB504">
        <f t="shared" si="410"/>
        <v>5.0957132281481163</v>
      </c>
      <c r="BC504">
        <f t="shared" si="411"/>
        <v>-1.5988153075172935</v>
      </c>
      <c r="BD504">
        <f t="shared" si="399"/>
        <v>-271.60536944632616</v>
      </c>
      <c r="BF504">
        <f t="shared" si="400"/>
        <v>-60.888684390002162</v>
      </c>
      <c r="BG504">
        <f t="shared" si="401"/>
        <v>-189.38087038529156</v>
      </c>
      <c r="BH504">
        <f t="shared" si="412"/>
        <v>-9.3808703852915585</v>
      </c>
      <c r="BI504">
        <f t="shared" si="413"/>
        <v>-9.3808703852915585</v>
      </c>
      <c r="BJ504">
        <f t="shared" si="402"/>
        <v>0</v>
      </c>
      <c r="BK504">
        <f t="shared" si="414"/>
        <v>0</v>
      </c>
      <c r="BM504">
        <f t="shared" si="415"/>
        <v>-65.984397618150282</v>
      </c>
      <c r="BN504">
        <f t="shared" si="403"/>
        <v>-97.775500938965408</v>
      </c>
      <c r="BQ504" s="47">
        <f t="shared" si="416"/>
        <v>21.997674028433252</v>
      </c>
    </row>
    <row r="505" spans="1:69">
      <c r="A505">
        <f t="shared" si="420"/>
        <v>1455000</v>
      </c>
      <c r="B505">
        <f t="shared" si="404"/>
        <v>1455</v>
      </c>
      <c r="C505">
        <f t="shared" si="373"/>
        <v>7.3816766372032943</v>
      </c>
      <c r="D505">
        <f t="shared" si="374"/>
        <v>1.4349079233727304</v>
      </c>
      <c r="F505">
        <f t="shared" si="375"/>
        <v>4.5186771170794444E-6</v>
      </c>
      <c r="G505">
        <f t="shared" si="376"/>
        <v>6.4090358584492104E-4</v>
      </c>
      <c r="H505">
        <f t="shared" si="377"/>
        <v>-3.1409517464141552</v>
      </c>
      <c r="J505">
        <f t="shared" si="378"/>
        <v>15</v>
      </c>
      <c r="M505">
        <f t="shared" si="379"/>
        <v>1.0350356137360584E-3</v>
      </c>
      <c r="N505">
        <f t="shared" si="380"/>
        <v>-1.5707963250000001</v>
      </c>
      <c r="O505">
        <f t="shared" si="381"/>
        <v>708.96548937512193</v>
      </c>
      <c r="P505">
        <f t="shared" si="382"/>
        <v>1.5693858204351732</v>
      </c>
      <c r="Q505">
        <f t="shared" si="383"/>
        <v>553.30609285841933</v>
      </c>
      <c r="R505">
        <f t="shared" si="384"/>
        <v>1.5689890079214781</v>
      </c>
      <c r="S505">
        <f t="shared" si="385"/>
        <v>0.12716457373185494</v>
      </c>
      <c r="T505">
        <f t="shared" si="386"/>
        <v>-1.4432865087235658</v>
      </c>
      <c r="U505">
        <f t="shared" si="387"/>
        <v>8.197978063670025E-2</v>
      </c>
      <c r="V505">
        <f t="shared" si="388"/>
        <v>-1.488724440623959</v>
      </c>
      <c r="X505">
        <f t="shared" si="405"/>
        <v>-53.482473632307645</v>
      </c>
      <c r="Y505">
        <f t="shared" si="389"/>
        <v>-175.9253315116502</v>
      </c>
      <c r="Z505">
        <f t="shared" si="406"/>
        <v>4.0746684883498006</v>
      </c>
      <c r="AC505">
        <v>1</v>
      </c>
      <c r="AD505">
        <f t="shared" si="390"/>
        <v>708.96478412182501</v>
      </c>
      <c r="AE505">
        <f t="shared" si="391"/>
        <v>-0.53147320877166082</v>
      </c>
      <c r="AF505">
        <f t="shared" si="392"/>
        <v>4.3717209512193003E-2</v>
      </c>
      <c r="AG505">
        <f t="shared" si="421"/>
        <v>107.12085250900029</v>
      </c>
      <c r="AH505">
        <f t="shared" si="422"/>
        <v>-1325.1500691771428</v>
      </c>
      <c r="AJ505">
        <f t="shared" si="393"/>
        <v>22100</v>
      </c>
      <c r="AK505">
        <f t="shared" si="394"/>
        <v>172379.6448647528</v>
      </c>
      <c r="AL505">
        <v>1</v>
      </c>
      <c r="AM505">
        <f t="shared" si="395"/>
        <v>553.3051891987368</v>
      </c>
      <c r="AN505">
        <f t="shared" si="423"/>
        <v>311.61649453178961</v>
      </c>
      <c r="AO505">
        <f t="shared" si="424"/>
        <v>-39.378599606160996</v>
      </c>
      <c r="AQ505">
        <f t="shared" si="396"/>
        <v>1.1809023061959227E-3</v>
      </c>
      <c r="AR505">
        <f t="shared" si="397"/>
        <v>-3.4364257110301355</v>
      </c>
      <c r="AT505">
        <f t="shared" si="418"/>
        <v>-4553.6532694319267</v>
      </c>
      <c r="AU505">
        <f t="shared" si="419"/>
        <v>-369.67772452214257</v>
      </c>
      <c r="AV505">
        <f t="shared" si="407"/>
        <v>-3.0605876311804225</v>
      </c>
      <c r="AW505">
        <f t="shared" si="408"/>
        <v>279.31718182681396</v>
      </c>
      <c r="AX505">
        <f t="shared" si="409"/>
        <v>-2534.5204607050646</v>
      </c>
      <c r="AY505">
        <f t="shared" si="417"/>
        <v>-1.4610341172085679</v>
      </c>
      <c r="BA505">
        <f t="shared" si="398"/>
        <v>1.7917160909528975</v>
      </c>
      <c r="BB505">
        <f t="shared" si="410"/>
        <v>5.0653838799500708</v>
      </c>
      <c r="BC505">
        <f t="shared" si="411"/>
        <v>-1.5995535139718546</v>
      </c>
      <c r="BD505">
        <f t="shared" si="399"/>
        <v>-271.64766556063012</v>
      </c>
      <c r="BF505">
        <f t="shared" si="400"/>
        <v>-60.949464411825353</v>
      </c>
      <c r="BG505">
        <f t="shared" si="401"/>
        <v>-189.39677639696228</v>
      </c>
      <c r="BH505">
        <f t="shared" si="412"/>
        <v>-9.3967763969622808</v>
      </c>
      <c r="BI505">
        <f t="shared" si="413"/>
        <v>-9.3967763969622808</v>
      </c>
      <c r="BJ505">
        <f t="shared" si="402"/>
        <v>0</v>
      </c>
      <c r="BK505">
        <f t="shared" si="414"/>
        <v>0</v>
      </c>
      <c r="BM505">
        <f t="shared" si="415"/>
        <v>-66.014848291775422</v>
      </c>
      <c r="BN505">
        <f t="shared" si="403"/>
        <v>-97.74911083633215</v>
      </c>
      <c r="BQ505" s="47">
        <f t="shared" si="416"/>
        <v>21.967344680235207</v>
      </c>
    </row>
    <row r="506" spans="1:69">
      <c r="A506">
        <f t="shared" si="420"/>
        <v>1460000</v>
      </c>
      <c r="B506">
        <f t="shared" si="404"/>
        <v>1460</v>
      </c>
      <c r="C506">
        <f t="shared" si="373"/>
        <v>7.4065784715214358</v>
      </c>
      <c r="D506">
        <f t="shared" si="374"/>
        <v>1.4353676156730115</v>
      </c>
      <c r="F506">
        <f t="shared" si="375"/>
        <v>4.4877801352667994E-6</v>
      </c>
      <c r="G506">
        <f t="shared" si="376"/>
        <v>6.3870869105958693E-4</v>
      </c>
      <c r="H506">
        <f t="shared" si="377"/>
        <v>-3.1409539413089407</v>
      </c>
      <c r="J506">
        <f t="shared" si="378"/>
        <v>15</v>
      </c>
      <c r="M506">
        <f t="shared" si="379"/>
        <v>1.0314909712232638E-3</v>
      </c>
      <c r="N506">
        <f t="shared" si="380"/>
        <v>-1.5707963250000001</v>
      </c>
      <c r="O506">
        <f t="shared" si="381"/>
        <v>711.40179205994821</v>
      </c>
      <c r="P506">
        <f t="shared" si="382"/>
        <v>1.5693906509300311</v>
      </c>
      <c r="Q506">
        <f t="shared" si="383"/>
        <v>555.20748216644427</v>
      </c>
      <c r="R506">
        <f t="shared" si="384"/>
        <v>1.5689951973562657</v>
      </c>
      <c r="S506">
        <f t="shared" si="385"/>
        <v>0.12673608537936376</v>
      </c>
      <c r="T506">
        <f t="shared" si="386"/>
        <v>-1.4437184922255026</v>
      </c>
      <c r="U506">
        <f t="shared" si="387"/>
        <v>8.1700905196449194E-2</v>
      </c>
      <c r="V506">
        <f t="shared" si="388"/>
        <v>-1.4890042547147575</v>
      </c>
      <c r="X506">
        <f t="shared" si="405"/>
        <v>-53.541933757148819</v>
      </c>
      <c r="Y506">
        <f t="shared" si="389"/>
        <v>-175.93927044366509</v>
      </c>
      <c r="Z506">
        <f t="shared" si="406"/>
        <v>4.0607295563349055</v>
      </c>
      <c r="AC506">
        <v>1</v>
      </c>
      <c r="AD506">
        <f t="shared" si="390"/>
        <v>711.40108922190007</v>
      </c>
      <c r="AE506">
        <f t="shared" si="391"/>
        <v>-0.53513222178182696</v>
      </c>
      <c r="AF506">
        <f t="shared" si="392"/>
        <v>4.3867440472716006E-2</v>
      </c>
      <c r="AG506">
        <f t="shared" si="421"/>
        <v>106.39329350203774</v>
      </c>
      <c r="AH506">
        <f t="shared" si="422"/>
        <v>-1320.6715256264986</v>
      </c>
      <c r="AJ506">
        <f t="shared" si="393"/>
        <v>22100</v>
      </c>
      <c r="AK506">
        <f t="shared" si="394"/>
        <v>172972.01477837737</v>
      </c>
      <c r="AL506">
        <v>1</v>
      </c>
      <c r="AM506">
        <f t="shared" si="395"/>
        <v>555.20658160148162</v>
      </c>
      <c r="AN506">
        <f t="shared" si="423"/>
        <v>311.61600790393163</v>
      </c>
      <c r="AO506">
        <f t="shared" si="424"/>
        <v>-39.243742264812376</v>
      </c>
      <c r="AQ506">
        <f t="shared" si="396"/>
        <v>1.1728277851346658E-3</v>
      </c>
      <c r="AR506">
        <f t="shared" si="397"/>
        <v>-3.4246571325932242</v>
      </c>
      <c r="AT506">
        <f t="shared" si="418"/>
        <v>-4522.7223790387916</v>
      </c>
      <c r="AU506">
        <f t="shared" si="419"/>
        <v>-365.90947171212883</v>
      </c>
      <c r="AV506">
        <f t="shared" si="407"/>
        <v>-3.0608637916344836</v>
      </c>
      <c r="AW506">
        <f t="shared" si="408"/>
        <v>279.54222332613631</v>
      </c>
      <c r="AX506">
        <f t="shared" si="409"/>
        <v>-2525.8957357281333</v>
      </c>
      <c r="AY506">
        <f t="shared" si="417"/>
        <v>-1.4605743334304229</v>
      </c>
      <c r="BA506">
        <f t="shared" si="398"/>
        <v>1.785491448790856</v>
      </c>
      <c r="BB506">
        <f t="shared" si="410"/>
        <v>5.0351554915635486</v>
      </c>
      <c r="BC506">
        <f t="shared" si="411"/>
        <v>-1.6002894582040608</v>
      </c>
      <c r="BD506">
        <f t="shared" si="399"/>
        <v>-271.68983205914077</v>
      </c>
      <c r="BF506">
        <f t="shared" si="400"/>
        <v>-61.010035320348109</v>
      </c>
      <c r="BG506">
        <f t="shared" si="401"/>
        <v>-189.41273022496983</v>
      </c>
      <c r="BH506">
        <f t="shared" si="412"/>
        <v>-9.4127302249698346</v>
      </c>
      <c r="BI506">
        <f t="shared" si="413"/>
        <v>-9.4127302249698346</v>
      </c>
      <c r="BJ506">
        <f t="shared" si="402"/>
        <v>0</v>
      </c>
      <c r="BK506">
        <f t="shared" si="414"/>
        <v>0</v>
      </c>
      <c r="BM506">
        <f t="shared" si="415"/>
        <v>-66.045190811911652</v>
      </c>
      <c r="BN506">
        <f t="shared" si="403"/>
        <v>-97.722898165829108</v>
      </c>
      <c r="BQ506" s="47">
        <f t="shared" si="416"/>
        <v>21.937116291848685</v>
      </c>
    </row>
    <row r="507" spans="1:69">
      <c r="A507">
        <f t="shared" si="420"/>
        <v>1465000</v>
      </c>
      <c r="B507">
        <f t="shared" si="404"/>
        <v>1465</v>
      </c>
      <c r="C507">
        <f t="shared" si="373"/>
        <v>7.431481860486314</v>
      </c>
      <c r="D507">
        <f t="shared" si="374"/>
        <v>1.4358242271504251</v>
      </c>
      <c r="F507">
        <f t="shared" si="375"/>
        <v>4.4571989664748468E-6</v>
      </c>
      <c r="G507">
        <f t="shared" si="376"/>
        <v>6.3652877868976819E-4</v>
      </c>
      <c r="H507">
        <f t="shared" si="377"/>
        <v>-3.1409561212213104</v>
      </c>
      <c r="J507">
        <f t="shared" si="378"/>
        <v>15</v>
      </c>
      <c r="M507">
        <f t="shared" si="379"/>
        <v>1.0279705242225018E-3</v>
      </c>
      <c r="N507">
        <f t="shared" si="380"/>
        <v>-1.5707963250000001</v>
      </c>
      <c r="O507">
        <f t="shared" si="381"/>
        <v>713.838094761261</v>
      </c>
      <c r="P507">
        <f t="shared" si="382"/>
        <v>1.5693954484522925</v>
      </c>
      <c r="Q507">
        <f t="shared" si="383"/>
        <v>557.10887149559358</v>
      </c>
      <c r="R507">
        <f t="shared" si="384"/>
        <v>1.5690013445424884</v>
      </c>
      <c r="S507">
        <f t="shared" si="385"/>
        <v>0.12631045162803001</v>
      </c>
      <c r="T507">
        <f t="shared" si="386"/>
        <v>-1.444147574237902</v>
      </c>
      <c r="U507">
        <f t="shared" si="387"/>
        <v>8.1423914347306087E-2</v>
      </c>
      <c r="V507">
        <f t="shared" si="388"/>
        <v>-1.4892821715179176</v>
      </c>
      <c r="X507">
        <f t="shared" si="405"/>
        <v>-53.601191519238817</v>
      </c>
      <c r="Y507">
        <f t="shared" si="389"/>
        <v>-175.95311439557457</v>
      </c>
      <c r="Z507">
        <f t="shared" si="406"/>
        <v>4.0468856044254267</v>
      </c>
      <c r="AC507">
        <v>1</v>
      </c>
      <c r="AD507">
        <f t="shared" si="390"/>
        <v>713.83739432197501</v>
      </c>
      <c r="AE507">
        <f t="shared" si="391"/>
        <v>-0.53880378715223376</v>
      </c>
      <c r="AF507">
        <f t="shared" si="392"/>
        <v>4.4017671433239008E-2</v>
      </c>
      <c r="AG507">
        <f t="shared" si="421"/>
        <v>105.67310533341657</v>
      </c>
      <c r="AH507">
        <f t="shared" si="422"/>
        <v>-1316.2229501770469</v>
      </c>
      <c r="AJ507">
        <f t="shared" si="393"/>
        <v>22100</v>
      </c>
      <c r="AK507">
        <f t="shared" si="394"/>
        <v>173564.38469200194</v>
      </c>
      <c r="AL507">
        <v>1</v>
      </c>
      <c r="AM507">
        <f t="shared" si="395"/>
        <v>557.10797400422643</v>
      </c>
      <c r="AN507">
        <f t="shared" si="423"/>
        <v>311.61552625008261</v>
      </c>
      <c r="AO507">
        <f t="shared" si="424"/>
        <v>-39.1098054424628</v>
      </c>
      <c r="AQ507">
        <f t="shared" si="396"/>
        <v>1.1648357971745975E-3</v>
      </c>
      <c r="AR507">
        <f t="shared" si="397"/>
        <v>-3.412968885721571</v>
      </c>
      <c r="AT507">
        <f t="shared" si="418"/>
        <v>-4492.1048838110237</v>
      </c>
      <c r="AU507">
        <f t="shared" si="419"/>
        <v>-362.19220416995796</v>
      </c>
      <c r="AV507">
        <f t="shared" si="407"/>
        <v>-3.0611380797403425</v>
      </c>
      <c r="AW507">
        <f t="shared" si="408"/>
        <v>279.76490156232705</v>
      </c>
      <c r="AX507">
        <f t="shared" si="409"/>
        <v>-2517.3293260644359</v>
      </c>
      <c r="AY507">
        <f t="shared" si="417"/>
        <v>-1.4601149168105925</v>
      </c>
      <c r="BA507">
        <f t="shared" si="398"/>
        <v>1.7793089701821849</v>
      </c>
      <c r="BB507">
        <f t="shared" si="410"/>
        <v>5.0050273640871428</v>
      </c>
      <c r="BC507">
        <f t="shared" si="411"/>
        <v>-1.60102316292975</v>
      </c>
      <c r="BD507">
        <f t="shared" si="399"/>
        <v>-271.7318702433796</v>
      </c>
      <c r="BF507">
        <f t="shared" si="400"/>
        <v>-61.070398590737049</v>
      </c>
      <c r="BG507">
        <f t="shared" si="401"/>
        <v>-189.42873139842439</v>
      </c>
      <c r="BH507">
        <f t="shared" si="412"/>
        <v>-9.4287313984243895</v>
      </c>
      <c r="BI507">
        <f t="shared" si="413"/>
        <v>-9.4287313984243895</v>
      </c>
      <c r="BJ507">
        <f t="shared" si="402"/>
        <v>0</v>
      </c>
      <c r="BK507">
        <f t="shared" si="414"/>
        <v>0</v>
      </c>
      <c r="BM507">
        <f t="shared" si="415"/>
        <v>-66.075425954824183</v>
      </c>
      <c r="BN507">
        <f t="shared" si="403"/>
        <v>-97.696861155044829</v>
      </c>
      <c r="BQ507" s="47">
        <f t="shared" si="416"/>
        <v>21.906988164372279</v>
      </c>
    </row>
    <row r="508" spans="1:69">
      <c r="A508">
        <f t="shared" si="420"/>
        <v>1470000</v>
      </c>
      <c r="B508">
        <f t="shared" si="404"/>
        <v>1470</v>
      </c>
      <c r="C508">
        <f t="shared" si="373"/>
        <v>7.4563867885209572</v>
      </c>
      <c r="D508">
        <f t="shared" si="374"/>
        <v>1.436277788484194</v>
      </c>
      <c r="F508">
        <f t="shared" si="375"/>
        <v>4.4269293212126932E-6</v>
      </c>
      <c r="G508">
        <f t="shared" si="376"/>
        <v>6.3436369585098597E-4</v>
      </c>
      <c r="H508">
        <f t="shared" si="377"/>
        <v>-3.1409582863041492</v>
      </c>
      <c r="J508">
        <f t="shared" si="378"/>
        <v>15</v>
      </c>
      <c r="M508">
        <f t="shared" si="379"/>
        <v>1.0244740258407924E-3</v>
      </c>
      <c r="N508">
        <f t="shared" si="380"/>
        <v>-1.5707963250000001</v>
      </c>
      <c r="O508">
        <f t="shared" si="381"/>
        <v>716.27439747889173</v>
      </c>
      <c r="P508">
        <f t="shared" si="382"/>
        <v>1.5694002133384122</v>
      </c>
      <c r="Q508">
        <f t="shared" si="383"/>
        <v>559.01026084565149</v>
      </c>
      <c r="R508">
        <f t="shared" si="384"/>
        <v>1.5690074499112521</v>
      </c>
      <c r="S508">
        <f t="shared" si="385"/>
        <v>0.12588764428106672</v>
      </c>
      <c r="T508">
        <f t="shared" si="386"/>
        <v>-1.4445737837390125</v>
      </c>
      <c r="U508">
        <f t="shared" si="387"/>
        <v>8.1148789113750466E-2</v>
      </c>
      <c r="V508">
        <f t="shared" si="388"/>
        <v>-1.4895582102226623</v>
      </c>
      <c r="X508">
        <f t="shared" si="405"/>
        <v>-53.660248288110139</v>
      </c>
      <c r="Y508">
        <f t="shared" si="389"/>
        <v>-175.96686433416306</v>
      </c>
      <c r="Z508">
        <f t="shared" si="406"/>
        <v>4.0331356658369373</v>
      </c>
      <c r="AC508">
        <v>1</v>
      </c>
      <c r="AD508">
        <f t="shared" si="390"/>
        <v>716.27369942205007</v>
      </c>
      <c r="AE508">
        <f t="shared" si="391"/>
        <v>-0.54248790488288134</v>
      </c>
      <c r="AF508">
        <f t="shared" si="392"/>
        <v>4.4167902393762004E-2</v>
      </c>
      <c r="AG508">
        <f t="shared" si="421"/>
        <v>104.96018899388781</v>
      </c>
      <c r="AH508">
        <f t="shared" si="422"/>
        <v>-1311.804045092902</v>
      </c>
      <c r="AJ508">
        <f t="shared" si="393"/>
        <v>22100</v>
      </c>
      <c r="AK508">
        <f t="shared" si="394"/>
        <v>174156.75460562654</v>
      </c>
      <c r="AL508">
        <v>1</v>
      </c>
      <c r="AM508">
        <f t="shared" si="395"/>
        <v>559.00936640697125</v>
      </c>
      <c r="AN508">
        <f t="shared" si="423"/>
        <v>311.61504950268466</v>
      </c>
      <c r="AO508">
        <f t="shared" si="424"/>
        <v>-38.976779746182075</v>
      </c>
      <c r="AQ508">
        <f t="shared" si="396"/>
        <v>1.1569252213284719E-3</v>
      </c>
      <c r="AR508">
        <f t="shared" si="397"/>
        <v>-3.401360150705707</v>
      </c>
      <c r="AT508">
        <f t="shared" si="418"/>
        <v>-4461.7965734236668</v>
      </c>
      <c r="AU508">
        <f t="shared" si="419"/>
        <v>-358.52506343955844</v>
      </c>
      <c r="AV508">
        <f t="shared" si="407"/>
        <v>-3.0614105144327386</v>
      </c>
      <c r="AW508">
        <f t="shared" si="408"/>
        <v>279.98524968991347</v>
      </c>
      <c r="AX508">
        <f t="shared" si="409"/>
        <v>-2508.8206441069374</v>
      </c>
      <c r="AY508">
        <f t="shared" si="417"/>
        <v>-1.459655863880891</v>
      </c>
      <c r="BA508">
        <f t="shared" si="398"/>
        <v>1.7731682254286276</v>
      </c>
      <c r="BB508">
        <f t="shared" si="410"/>
        <v>4.9749988057531063</v>
      </c>
      <c r="BC508">
        <f t="shared" si="411"/>
        <v>-1.6017546505518476</v>
      </c>
      <c r="BD508">
        <f t="shared" si="399"/>
        <v>-271.77378139693974</v>
      </c>
      <c r="BF508">
        <f t="shared" si="400"/>
        <v>-61.130555682607266</v>
      </c>
      <c r="BG508">
        <f t="shared" si="401"/>
        <v>-189.44477945188865</v>
      </c>
      <c r="BH508">
        <f t="shared" si="412"/>
        <v>-9.4447794518886496</v>
      </c>
      <c r="BI508">
        <f t="shared" si="413"/>
        <v>-9.4447794518886496</v>
      </c>
      <c r="BJ508">
        <f t="shared" si="402"/>
        <v>0</v>
      </c>
      <c r="BK508">
        <f t="shared" si="414"/>
        <v>0</v>
      </c>
      <c r="BM508">
        <f t="shared" si="415"/>
        <v>-66.105554488360369</v>
      </c>
      <c r="BN508">
        <f t="shared" si="403"/>
        <v>-97.670998054948939</v>
      </c>
      <c r="BQ508" s="47">
        <f t="shared" si="416"/>
        <v>21.876959606038241</v>
      </c>
    </row>
    <row r="509" spans="1:69">
      <c r="A509">
        <f t="shared" si="420"/>
        <v>1475000</v>
      </c>
      <c r="B509">
        <f t="shared" si="404"/>
        <v>1475</v>
      </c>
      <c r="C509">
        <f t="shared" si="373"/>
        <v>7.4812932402548622</v>
      </c>
      <c r="D509">
        <f t="shared" si="374"/>
        <v>1.4367283299500531</v>
      </c>
      <c r="F509">
        <f t="shared" si="375"/>
        <v>4.396966982569868E-6</v>
      </c>
      <c r="G509">
        <f t="shared" si="376"/>
        <v>6.3221329173181705E-4</v>
      </c>
      <c r="H509">
        <f t="shared" si="377"/>
        <v>-3.1409604367082684</v>
      </c>
      <c r="J509">
        <f t="shared" si="378"/>
        <v>15</v>
      </c>
      <c r="M509">
        <f t="shared" si="379"/>
        <v>1.0210012325328577E-3</v>
      </c>
      <c r="N509">
        <f t="shared" si="380"/>
        <v>-1.5707963250000001</v>
      </c>
      <c r="O509">
        <f t="shared" si="381"/>
        <v>718.71070021267462</v>
      </c>
      <c r="P509">
        <f t="shared" si="382"/>
        <v>1.5694049459202819</v>
      </c>
      <c r="Q509">
        <f t="shared" si="383"/>
        <v>560.91165021640563</v>
      </c>
      <c r="R509">
        <f t="shared" si="384"/>
        <v>1.569013513887817</v>
      </c>
      <c r="S509">
        <f t="shared" si="385"/>
        <v>0.12546763550867671</v>
      </c>
      <c r="T509">
        <f t="shared" si="386"/>
        <v>-1.4449971493245588</v>
      </c>
      <c r="U509">
        <f t="shared" si="387"/>
        <v>8.0875510773299394E-2</v>
      </c>
      <c r="V509">
        <f t="shared" si="388"/>
        <v>-1.4898323897608798</v>
      </c>
      <c r="X509">
        <f t="shared" si="405"/>
        <v>-53.719105419472854</v>
      </c>
      <c r="Y509">
        <f t="shared" si="389"/>
        <v>-175.98052121314961</v>
      </c>
      <c r="Z509">
        <f t="shared" si="406"/>
        <v>4.0194787868503852</v>
      </c>
      <c r="AC509">
        <v>1</v>
      </c>
      <c r="AD509">
        <f t="shared" si="390"/>
        <v>718.71000452212502</v>
      </c>
      <c r="AE509">
        <f t="shared" si="391"/>
        <v>-0.5461845749737696</v>
      </c>
      <c r="AF509">
        <f t="shared" si="392"/>
        <v>4.4318133354285007E-2</v>
      </c>
      <c r="AG509">
        <f t="shared" si="421"/>
        <v>104.2544471273886</v>
      </c>
      <c r="AH509">
        <f t="shared" si="422"/>
        <v>-1307.4145165411348</v>
      </c>
      <c r="AJ509">
        <f t="shared" si="393"/>
        <v>22100</v>
      </c>
      <c r="AK509">
        <f t="shared" si="394"/>
        <v>174749.12451925111</v>
      </c>
      <c r="AL509">
        <v>1</v>
      </c>
      <c r="AM509">
        <f t="shared" si="395"/>
        <v>560.91075880971607</v>
      </c>
      <c r="AN509">
        <f t="shared" si="423"/>
        <v>311.61457759532254</v>
      </c>
      <c r="AO509">
        <f t="shared" si="424"/>
        <v>-38.844655910399801</v>
      </c>
      <c r="AQ509">
        <f t="shared" si="396"/>
        <v>1.1490949555765637E-3</v>
      </c>
      <c r="AR509">
        <f t="shared" si="397"/>
        <v>-3.3898301189508624</v>
      </c>
      <c r="AT509">
        <f t="shared" si="418"/>
        <v>-4431.7933078654287</v>
      </c>
      <c r="AU509">
        <f t="shared" si="419"/>
        <v>-354.9072083327971</v>
      </c>
      <c r="AV509">
        <f t="shared" si="407"/>
        <v>-3.061681114392528</v>
      </c>
      <c r="AW509">
        <f t="shared" si="408"/>
        <v>280.20330028129843</v>
      </c>
      <c r="AX509">
        <f t="shared" si="409"/>
        <v>-2500.3691100922906</v>
      </c>
      <c r="AY509">
        <f t="shared" si="417"/>
        <v>-1.4591971712268155</v>
      </c>
      <c r="BA509">
        <f t="shared" si="398"/>
        <v>1.7670687906514218</v>
      </c>
      <c r="BB509">
        <f t="shared" si="410"/>
        <v>4.9450691318307891</v>
      </c>
      <c r="BC509">
        <f t="shared" si="411"/>
        <v>-1.6024839431657125</v>
      </c>
      <c r="BD509">
        <f t="shared" si="399"/>
        <v>-271.81556678579199</v>
      </c>
      <c r="BF509">
        <f t="shared" si="400"/>
        <v>-61.190508040241134</v>
      </c>
      <c r="BG509">
        <f t="shared" si="401"/>
        <v>-189.46087392530248</v>
      </c>
      <c r="BH509">
        <f t="shared" si="412"/>
        <v>-9.4608739253024794</v>
      </c>
      <c r="BI509">
        <f t="shared" si="413"/>
        <v>-9.4608739253024794</v>
      </c>
      <c r="BJ509">
        <f t="shared" si="402"/>
        <v>0</v>
      </c>
      <c r="BK509">
        <f t="shared" si="414"/>
        <v>0</v>
      </c>
      <c r="BM509">
        <f t="shared" si="415"/>
        <v>-66.135577172071919</v>
      </c>
      <c r="BN509">
        <f t="shared" si="403"/>
        <v>-97.645307139510507</v>
      </c>
      <c r="BQ509" s="47">
        <f t="shared" si="416"/>
        <v>21.847029932115927</v>
      </c>
    </row>
    <row r="510" spans="1:69">
      <c r="A510">
        <f t="shared" si="420"/>
        <v>1480000</v>
      </c>
      <c r="B510">
        <f t="shared" si="404"/>
        <v>1480</v>
      </c>
      <c r="C510">
        <f t="shared" si="373"/>
        <v>7.506201200520592</v>
      </c>
      <c r="D510">
        <f t="shared" si="374"/>
        <v>1.437175881426821</v>
      </c>
      <c r="F510">
        <f t="shared" si="375"/>
        <v>4.3673078047475748E-6</v>
      </c>
      <c r="G510">
        <f t="shared" si="376"/>
        <v>6.3007741755887446E-4</v>
      </c>
      <c r="H510">
        <f t="shared" si="377"/>
        <v>-3.1409625725824415</v>
      </c>
      <c r="J510">
        <f t="shared" si="378"/>
        <v>15</v>
      </c>
      <c r="M510">
        <f t="shared" si="379"/>
        <v>1.017551904044571E-3</v>
      </c>
      <c r="N510">
        <f t="shared" si="380"/>
        <v>-1.5707963250000001</v>
      </c>
      <c r="O510">
        <f t="shared" si="381"/>
        <v>721.14700296244598</v>
      </c>
      <c r="P510">
        <f t="shared" si="382"/>
        <v>1.5694096465253087</v>
      </c>
      <c r="Q510">
        <f t="shared" si="383"/>
        <v>562.81303960764603</v>
      </c>
      <c r="R510">
        <f t="shared" si="384"/>
        <v>1.569019536891697</v>
      </c>
      <c r="S510">
        <f t="shared" si="385"/>
        <v>0.1250503978421543</v>
      </c>
      <c r="T510">
        <f t="shared" si="386"/>
        <v>-1.4454176992139989</v>
      </c>
      <c r="U510">
        <f t="shared" si="387"/>
        <v>8.060406085231811E-2</v>
      </c>
      <c r="V510">
        <f t="shared" si="388"/>
        <v>-1.4901047288114142</v>
      </c>
      <c r="X510">
        <f t="shared" si="405"/>
        <v>-53.777764255399461</v>
      </c>
      <c r="Y510">
        <f t="shared" si="389"/>
        <v>-175.99408597340746</v>
      </c>
      <c r="Z510">
        <f t="shared" si="406"/>
        <v>4.005914026592535</v>
      </c>
      <c r="AC510">
        <v>1</v>
      </c>
      <c r="AD510">
        <f t="shared" si="390"/>
        <v>721.14630962220008</v>
      </c>
      <c r="AE510">
        <f t="shared" si="391"/>
        <v>-0.54989379742489852</v>
      </c>
      <c r="AF510">
        <f t="shared" si="392"/>
        <v>4.4468364314808002E-2</v>
      </c>
      <c r="AG510">
        <f t="shared" si="421"/>
        <v>103.55578399810152</v>
      </c>
      <c r="AH510">
        <f t="shared" si="422"/>
        <v>-1303.0540745285061</v>
      </c>
      <c r="AJ510">
        <f t="shared" si="393"/>
        <v>22100</v>
      </c>
      <c r="AK510">
        <f t="shared" si="394"/>
        <v>175341.49443287568</v>
      </c>
      <c r="AL510">
        <v>1</v>
      </c>
      <c r="AM510">
        <f t="shared" si="395"/>
        <v>562.81215121246078</v>
      </c>
      <c r="AN510">
        <f t="shared" si="423"/>
        <v>311.61411046270155</v>
      </c>
      <c r="AO510">
        <f t="shared" si="424"/>
        <v>-38.713424794753962</v>
      </c>
      <c r="AQ510">
        <f t="shared" si="396"/>
        <v>1.1413439164828438E-3</v>
      </c>
      <c r="AR510">
        <f t="shared" si="397"/>
        <v>-3.3783779927892175</v>
      </c>
      <c r="AT510">
        <f t="shared" si="418"/>
        <v>-4402.0910160373433</v>
      </c>
      <c r="AU510">
        <f t="shared" si="419"/>
        <v>-351.33781452603131</v>
      </c>
      <c r="AV510">
        <f t="shared" si="407"/>
        <v>-3.0619498980509139</v>
      </c>
      <c r="AW510">
        <f t="shared" si="408"/>
        <v>280.41908533903211</v>
      </c>
      <c r="AX510">
        <f t="shared" si="409"/>
        <v>-2491.9741519708004</v>
      </c>
      <c r="AY510">
        <f t="shared" si="417"/>
        <v>-1.4587388354865394</v>
      </c>
      <c r="BA510">
        <f t="shared" si="398"/>
        <v>1.7610102476931604</v>
      </c>
      <c r="BB510">
        <f t="shared" si="410"/>
        <v>4.9152376645317108</v>
      </c>
      <c r="BC510">
        <f t="shared" si="411"/>
        <v>-1.6032110625643745</v>
      </c>
      <c r="BD510">
        <f t="shared" si="399"/>
        <v>-271.85722765858497</v>
      </c>
      <c r="BF510">
        <f t="shared" si="400"/>
        <v>-61.25025709280316</v>
      </c>
      <c r="BG510">
        <f t="shared" si="401"/>
        <v>-189.47701436390838</v>
      </c>
      <c r="BH510">
        <f t="shared" si="412"/>
        <v>-9.4770143639083813</v>
      </c>
      <c r="BI510">
        <f t="shared" si="413"/>
        <v>-9.4770143639083813</v>
      </c>
      <c r="BJ510">
        <f t="shared" si="402"/>
        <v>0</v>
      </c>
      <c r="BK510">
        <f t="shared" si="414"/>
        <v>0</v>
      </c>
      <c r="BM510">
        <f t="shared" si="415"/>
        <v>-66.165494757334869</v>
      </c>
      <c r="BN510">
        <f t="shared" si="403"/>
        <v>-97.619786705323392</v>
      </c>
      <c r="BQ510" s="47">
        <f t="shared" si="416"/>
        <v>21.817198464816848</v>
      </c>
    </row>
    <row r="511" spans="1:69">
      <c r="A511">
        <f t="shared" si="420"/>
        <v>1485000</v>
      </c>
      <c r="B511">
        <f t="shared" si="404"/>
        <v>1485</v>
      </c>
      <c r="C511">
        <f t="shared" si="373"/>
        <v>7.531110654350452</v>
      </c>
      <c r="D511">
        <f t="shared" si="374"/>
        <v>1.4376204724028414</v>
      </c>
      <c r="F511">
        <f t="shared" si="375"/>
        <v>4.3379477116245025E-6</v>
      </c>
      <c r="G511">
        <f t="shared" si="376"/>
        <v>6.2795592656249657E-4</v>
      </c>
      <c r="H511">
        <f t="shared" si="377"/>
        <v>-3.1409646940734377</v>
      </c>
      <c r="J511">
        <f t="shared" si="378"/>
        <v>15</v>
      </c>
      <c r="M511">
        <f t="shared" si="379"/>
        <v>1.0141258033575522E-3</v>
      </c>
      <c r="N511">
        <f t="shared" si="380"/>
        <v>-1.5707963250000001</v>
      </c>
      <c r="O511">
        <f t="shared" si="381"/>
        <v>723.58330572804437</v>
      </c>
      <c r="P511">
        <f t="shared" si="382"/>
        <v>1.5694143154764904</v>
      </c>
      <c r="Q511">
        <f t="shared" si="383"/>
        <v>564.71442901916589</v>
      </c>
      <c r="R511">
        <f t="shared" si="384"/>
        <v>1.5690255193367562</v>
      </c>
      <c r="S511">
        <f t="shared" si="385"/>
        <v>0.12463590416809935</v>
      </c>
      <c r="T511">
        <f t="shared" si="386"/>
        <v>-1.4458354612566582</v>
      </c>
      <c r="U511">
        <f t="shared" si="387"/>
        <v>8.0334421121913246E-2</v>
      </c>
      <c r="V511">
        <f t="shared" si="388"/>
        <v>-1.4903752458042687</v>
      </c>
      <c r="X511">
        <f t="shared" si="405"/>
        <v>-53.836226124506808</v>
      </c>
      <c r="Y511">
        <f t="shared" si="389"/>
        <v>-176.00755954317941</v>
      </c>
      <c r="Z511">
        <f t="shared" si="406"/>
        <v>3.9924404568205887</v>
      </c>
      <c r="AC511">
        <v>1</v>
      </c>
      <c r="AD511">
        <f t="shared" si="390"/>
        <v>723.58261472227503</v>
      </c>
      <c r="AE511">
        <f t="shared" si="391"/>
        <v>-0.55361557223626823</v>
      </c>
      <c r="AF511">
        <f t="shared" si="392"/>
        <v>4.4618595275331005E-2</v>
      </c>
      <c r="AG511">
        <f t="shared" si="421"/>
        <v>102.86410545827596</v>
      </c>
      <c r="AH511">
        <f t="shared" si="422"/>
        <v>-1298.7224328394191</v>
      </c>
      <c r="AJ511">
        <f t="shared" si="393"/>
        <v>22100</v>
      </c>
      <c r="AK511">
        <f t="shared" si="394"/>
        <v>175933.86434650025</v>
      </c>
      <c r="AL511">
        <v>1</v>
      </c>
      <c r="AM511">
        <f t="shared" si="395"/>
        <v>564.71354361520559</v>
      </c>
      <c r="AN511">
        <f t="shared" si="423"/>
        <v>311.61364804062401</v>
      </c>
      <c r="AO511">
        <f t="shared" si="424"/>
        <v>-38.583077381983117</v>
      </c>
      <c r="AQ511">
        <f t="shared" si="396"/>
        <v>1.133671038820184E-3</v>
      </c>
      <c r="AR511">
        <f t="shared" si="397"/>
        <v>-3.3670029852959464</v>
      </c>
      <c r="AT511">
        <f t="shared" si="418"/>
        <v>-4372.6856943838457</v>
      </c>
      <c r="AU511">
        <f t="shared" si="419"/>
        <v>-347.81607416738836</v>
      </c>
      <c r="AV511">
        <f t="shared" si="407"/>
        <v>-3.0622168835935946</v>
      </c>
      <c r="AW511">
        <f t="shared" si="408"/>
        <v>280.63263630778113</v>
      </c>
      <c r="AX511">
        <f t="shared" si="409"/>
        <v>-2483.6352052789562</v>
      </c>
      <c r="AY511">
        <f t="shared" si="417"/>
        <v>-1.4582808533499285</v>
      </c>
      <c r="BA511">
        <f t="shared" si="398"/>
        <v>1.7549921840216243</v>
      </c>
      <c r="BB511">
        <f t="shared" si="410"/>
        <v>4.8855037329161979</v>
      </c>
      <c r="BC511">
        <f t="shared" si="411"/>
        <v>-1.603936030243666</v>
      </c>
      <c r="BD511">
        <f t="shared" si="399"/>
        <v>-271.89876524693926</v>
      </c>
      <c r="BF511">
        <f t="shared" si="400"/>
        <v>-61.309804254551203</v>
      </c>
      <c r="BG511">
        <f t="shared" si="401"/>
        <v>-189.49320031817848</v>
      </c>
      <c r="BH511">
        <f t="shared" si="412"/>
        <v>-9.4932003181784808</v>
      </c>
      <c r="BI511">
        <f t="shared" si="413"/>
        <v>-9.4932003181784808</v>
      </c>
      <c r="BJ511">
        <f t="shared" si="402"/>
        <v>0</v>
      </c>
      <c r="BK511">
        <f t="shared" si="414"/>
        <v>0</v>
      </c>
      <c r="BM511">
        <f t="shared" si="415"/>
        <v>-66.195307987467402</v>
      </c>
      <c r="BN511">
        <f t="shared" si="403"/>
        <v>-97.594435071239218</v>
      </c>
      <c r="BQ511" s="47">
        <f t="shared" si="416"/>
        <v>21.787464533201334</v>
      </c>
    </row>
    <row r="512" spans="1:69">
      <c r="A512">
        <f t="shared" si="420"/>
        <v>1490000</v>
      </c>
      <c r="B512">
        <f t="shared" si="404"/>
        <v>1490</v>
      </c>
      <c r="C512">
        <f t="shared" si="373"/>
        <v>7.5560215869732321</v>
      </c>
      <c r="D512">
        <f t="shared" si="374"/>
        <v>1.4380621319823024</v>
      </c>
      <c r="F512">
        <f t="shared" si="375"/>
        <v>4.3088826953562671E-6</v>
      </c>
      <c r="G512">
        <f t="shared" si="376"/>
        <v>6.2584867394312627E-4</v>
      </c>
      <c r="H512">
        <f t="shared" si="377"/>
        <v>-3.1409668013260572</v>
      </c>
      <c r="J512">
        <f t="shared" si="378"/>
        <v>15</v>
      </c>
      <c r="M512">
        <f t="shared" si="379"/>
        <v>1.010722696634876E-3</v>
      </c>
      <c r="N512">
        <f t="shared" si="380"/>
        <v>-1.5707963250000001</v>
      </c>
      <c r="O512">
        <f t="shared" si="381"/>
        <v>726.01960850931016</v>
      </c>
      <c r="P512">
        <f t="shared" si="382"/>
        <v>1.5694189530924889</v>
      </c>
      <c r="Q512">
        <f t="shared" si="383"/>
        <v>566.61581845076114</v>
      </c>
      <c r="R512">
        <f t="shared" si="384"/>
        <v>1.5690314616313026</v>
      </c>
      <c r="S512">
        <f t="shared" si="385"/>
        <v>0.12422412772274101</v>
      </c>
      <c r="T512">
        <f t="shared" si="386"/>
        <v>-1.4462504629377457</v>
      </c>
      <c r="U512">
        <f t="shared" si="387"/>
        <v>8.0066573593906842E-2</v>
      </c>
      <c r="V512">
        <f t="shared" si="388"/>
        <v>-1.4906439589247273</v>
      </c>
      <c r="X512">
        <f t="shared" si="405"/>
        <v>-53.894492342134861</v>
      </c>
      <c r="Y512">
        <f t="shared" si="389"/>
        <v>-176.02094283828887</v>
      </c>
      <c r="Z512">
        <f t="shared" si="406"/>
        <v>3.9790571617111254</v>
      </c>
      <c r="AC512">
        <v>1</v>
      </c>
      <c r="AD512">
        <f t="shared" si="390"/>
        <v>726.01891982234997</v>
      </c>
      <c r="AE512">
        <f t="shared" si="391"/>
        <v>-0.5573498994078786</v>
      </c>
      <c r="AF512">
        <f t="shared" si="392"/>
        <v>4.4768826235854001E-2</v>
      </c>
      <c r="AG512">
        <f t="shared" si="421"/>
        <v>102.17931891679052</v>
      </c>
      <c r="AH512">
        <f t="shared" si="422"/>
        <v>-1294.4193089750615</v>
      </c>
      <c r="AJ512">
        <f t="shared" si="393"/>
        <v>22100</v>
      </c>
      <c r="AK512">
        <f t="shared" si="394"/>
        <v>176526.23426012485</v>
      </c>
      <c r="AL512">
        <v>1</v>
      </c>
      <c r="AM512">
        <f t="shared" si="395"/>
        <v>566.61493601795041</v>
      </c>
      <c r="AN512">
        <f t="shared" si="423"/>
        <v>311.61319026596772</v>
      </c>
      <c r="AO512">
        <f t="shared" si="424"/>
        <v>-38.453604775860995</v>
      </c>
      <c r="AQ512">
        <f t="shared" si="396"/>
        <v>1.1260752752043517E-3</v>
      </c>
      <c r="AR512">
        <f t="shared" si="397"/>
        <v>-3.355704320108968</v>
      </c>
      <c r="AT512">
        <f t="shared" si="418"/>
        <v>-4343.5734055554094</v>
      </c>
      <c r="AU512">
        <f t="shared" si="419"/>
        <v>-344.34119549444983</v>
      </c>
      <c r="AV512">
        <f t="shared" si="407"/>
        <v>-3.062482088964829</v>
      </c>
      <c r="AW512">
        <f t="shared" si="408"/>
        <v>280.8439840860047</v>
      </c>
      <c r="AX512">
        <f t="shared" si="409"/>
        <v>-2475.3517130144774</v>
      </c>
      <c r="AY512">
        <f t="shared" si="417"/>
        <v>-1.457823221557579</v>
      </c>
      <c r="BA512">
        <f t="shared" si="398"/>
        <v>1.7490141926355556</v>
      </c>
      <c r="BB512">
        <f t="shared" si="410"/>
        <v>4.8558666728016249</v>
      </c>
      <c r="BC512">
        <f t="shared" si="411"/>
        <v>-1.6046588674072499</v>
      </c>
      <c r="BD512">
        <f t="shared" si="399"/>
        <v>-271.94018076573514</v>
      </c>
      <c r="BF512">
        <f t="shared" si="400"/>
        <v>-61.369150925043876</v>
      </c>
      <c r="BG512">
        <f t="shared" si="401"/>
        <v>-189.50943134374239</v>
      </c>
      <c r="BH512">
        <f t="shared" si="412"/>
        <v>-9.5094313437423921</v>
      </c>
      <c r="BI512">
        <f t="shared" si="413"/>
        <v>-9.5094313437423921</v>
      </c>
      <c r="BJ512">
        <f t="shared" si="402"/>
        <v>0</v>
      </c>
      <c r="BK512">
        <f t="shared" si="414"/>
        <v>0</v>
      </c>
      <c r="BM512">
        <f t="shared" si="415"/>
        <v>-66.225017597845508</v>
      </c>
      <c r="BN512">
        <f t="shared" si="403"/>
        <v>-97.569250578007242</v>
      </c>
      <c r="BQ512" s="47">
        <f t="shared" si="416"/>
        <v>21.757827473086763</v>
      </c>
    </row>
    <row r="513" spans="1:69">
      <c r="A513">
        <f t="shared" si="420"/>
        <v>1495000</v>
      </c>
      <c r="B513">
        <f t="shared" si="404"/>
        <v>1495</v>
      </c>
      <c r="C513">
        <f t="shared" si="373"/>
        <v>7.5809339838109988</v>
      </c>
      <c r="D513">
        <f t="shared" si="374"/>
        <v>1.4385008888914326</v>
      </c>
      <c r="F513">
        <f t="shared" si="375"/>
        <v>4.2801088150075905E-6</v>
      </c>
      <c r="G513">
        <f t="shared" si="376"/>
        <v>6.2375551683836565E-4</v>
      </c>
      <c r="H513">
        <f t="shared" si="377"/>
        <v>-3.1409688944831617</v>
      </c>
      <c r="J513">
        <f t="shared" si="378"/>
        <v>15</v>
      </c>
      <c r="M513">
        <f t="shared" si="379"/>
        <v>1.0073423531678696E-3</v>
      </c>
      <c r="N513">
        <f t="shared" si="380"/>
        <v>-1.5707963250000001</v>
      </c>
      <c r="O513">
        <f t="shared" si="381"/>
        <v>728.45591130608648</v>
      </c>
      <c r="P513">
        <f t="shared" si="382"/>
        <v>1.5694235596877031</v>
      </c>
      <c r="Q513">
        <f t="shared" si="383"/>
        <v>568.51720790223021</v>
      </c>
      <c r="R513">
        <f t="shared" si="384"/>
        <v>1.569037364178183</v>
      </c>
      <c r="S513">
        <f t="shared" si="385"/>
        <v>0.12381504208636906</v>
      </c>
      <c r="T513">
        <f t="shared" si="386"/>
        <v>-1.4466627313842528</v>
      </c>
      <c r="U513">
        <f t="shared" si="387"/>
        <v>7.9800500516889444E-2</v>
      </c>
      <c r="V513">
        <f t="shared" si="388"/>
        <v>-1.490910886117395</v>
      </c>
      <c r="X513">
        <f t="shared" si="405"/>
        <v>-53.952564210522588</v>
      </c>
      <c r="Y513">
        <f t="shared" si="389"/>
        <v>-176.03423676234675</v>
      </c>
      <c r="Z513">
        <f t="shared" si="406"/>
        <v>3.965763237653249</v>
      </c>
      <c r="AC513">
        <v>1</v>
      </c>
      <c r="AD513">
        <f t="shared" si="390"/>
        <v>728.45522492242503</v>
      </c>
      <c r="AE513">
        <f t="shared" si="391"/>
        <v>-0.56109677893972965</v>
      </c>
      <c r="AF513">
        <f t="shared" si="392"/>
        <v>4.4919057196377003E-2</v>
      </c>
      <c r="AG513">
        <f t="shared" si="421"/>
        <v>101.50133330843782</v>
      </c>
      <c r="AH513">
        <f t="shared" si="422"/>
        <v>-1290.1444240937128</v>
      </c>
      <c r="AJ513">
        <f t="shared" si="393"/>
        <v>22100</v>
      </c>
      <c r="AK513">
        <f t="shared" si="394"/>
        <v>177118.60417374942</v>
      </c>
      <c r="AL513">
        <v>1</v>
      </c>
      <c r="AM513">
        <f t="shared" si="395"/>
        <v>568.51632842069512</v>
      </c>
      <c r="AN513">
        <f t="shared" si="423"/>
        <v>311.61273707666425</v>
      </c>
      <c r="AO513">
        <f t="shared" si="424"/>
        <v>-38.324998199172562</v>
      </c>
      <c r="AQ513">
        <f t="shared" si="396"/>
        <v>1.1185555957365582E-3</v>
      </c>
      <c r="AR513">
        <f t="shared" si="397"/>
        <v>-3.3444812312523093</v>
      </c>
      <c r="AT513">
        <f t="shared" si="418"/>
        <v>-4314.7502771018953</v>
      </c>
      <c r="AU513">
        <f t="shared" si="419"/>
        <v>-340.91240246203353</v>
      </c>
      <c r="AV513">
        <f t="shared" si="407"/>
        <v>-3.0627455318714198</v>
      </c>
      <c r="AW513">
        <f t="shared" si="408"/>
        <v>281.05315903734544</v>
      </c>
      <c r="AX513">
        <f t="shared" si="409"/>
        <v>-2467.1231255138146</v>
      </c>
      <c r="AY513">
        <f t="shared" si="417"/>
        <v>-1.4573659368998781</v>
      </c>
      <c r="BA513">
        <f t="shared" si="398"/>
        <v>1.7430758719723098</v>
      </c>
      <c r="BB513">
        <f t="shared" si="410"/>
        <v>4.8263258266721536</v>
      </c>
      <c r="BC513">
        <f t="shared" si="411"/>
        <v>-1.6053795949715417</v>
      </c>
      <c r="BD513">
        <f t="shared" si="399"/>
        <v>-271.981475413395</v>
      </c>
      <c r="BF513">
        <f t="shared" si="400"/>
        <v>-61.428298489344471</v>
      </c>
      <c r="BG513">
        <f t="shared" si="401"/>
        <v>-189.52570700131625</v>
      </c>
      <c r="BH513">
        <f t="shared" si="412"/>
        <v>-9.525707001316249</v>
      </c>
      <c r="BI513">
        <f t="shared" si="413"/>
        <v>-9.525707001316249</v>
      </c>
      <c r="BJ513">
        <f t="shared" si="402"/>
        <v>0</v>
      </c>
      <c r="BK513">
        <f t="shared" si="414"/>
        <v>0</v>
      </c>
      <c r="BM513">
        <f t="shared" si="415"/>
        <v>-66.254624316016631</v>
      </c>
      <c r="BN513">
        <f t="shared" si="403"/>
        <v>-97.54423158792126</v>
      </c>
      <c r="BQ513" s="47">
        <f t="shared" si="416"/>
        <v>21.728286626957289</v>
      </c>
    </row>
    <row r="514" spans="1:69">
      <c r="A514">
        <f t="shared" si="420"/>
        <v>1500000</v>
      </c>
      <c r="B514">
        <f t="shared" si="404"/>
        <v>1500</v>
      </c>
      <c r="C514">
        <f t="shared" si="373"/>
        <v>7.6058478304759669</v>
      </c>
      <c r="D514">
        <f t="shared" si="374"/>
        <v>1.43893677148458</v>
      </c>
      <c r="F514">
        <f t="shared" si="375"/>
        <v>4.2516221952163392E-6</v>
      </c>
      <c r="G514">
        <f t="shared" si="376"/>
        <v>6.2167631429068933E-4</v>
      </c>
      <c r="H514">
        <f t="shared" si="377"/>
        <v>-3.1409709736857097</v>
      </c>
      <c r="J514">
        <f t="shared" si="378"/>
        <v>15</v>
      </c>
      <c r="M514">
        <f t="shared" si="379"/>
        <v>1.0039845453239766E-3</v>
      </c>
      <c r="N514">
        <f t="shared" si="380"/>
        <v>-1.5707963250000001</v>
      </c>
      <c r="O514">
        <f t="shared" si="381"/>
        <v>730.89221411821813</v>
      </c>
      <c r="P514">
        <f t="shared" si="382"/>
        <v>1.5694281355723403</v>
      </c>
      <c r="Q514">
        <f t="shared" si="383"/>
        <v>570.41859737337438</v>
      </c>
      <c r="R514">
        <f t="shared" si="384"/>
        <v>1.5690432273748722</v>
      </c>
      <c r="S514">
        <f t="shared" si="385"/>
        <v>0.12340862117787028</v>
      </c>
      <c r="T514">
        <f t="shared" si="386"/>
        <v>-1.4470722933707398</v>
      </c>
      <c r="U514">
        <f t="shared" si="387"/>
        <v>7.9536184372350119E-2</v>
      </c>
      <c r="V514">
        <f t="shared" si="388"/>
        <v>-1.4911760450901561</v>
      </c>
      <c r="X514">
        <f t="shared" si="405"/>
        <v>-54.010443018980972</v>
      </c>
      <c r="Y514">
        <f t="shared" si="389"/>
        <v>-176.04744220695397</v>
      </c>
      <c r="Z514">
        <f t="shared" si="406"/>
        <v>3.9525577930460258</v>
      </c>
      <c r="AC514">
        <v>1</v>
      </c>
      <c r="AD514">
        <f t="shared" si="390"/>
        <v>730.89153002250009</v>
      </c>
      <c r="AE514">
        <f t="shared" si="391"/>
        <v>-0.56485621083182147</v>
      </c>
      <c r="AF514">
        <f t="shared" si="392"/>
        <v>4.5069288156900006E-2</v>
      </c>
      <c r="AG514">
        <f t="shared" si="421"/>
        <v>100.83005906391209</v>
      </c>
      <c r="AH514">
        <f t="shared" si="422"/>
        <v>-1285.8975029521837</v>
      </c>
      <c r="AJ514">
        <f t="shared" si="393"/>
        <v>22100</v>
      </c>
      <c r="AK514">
        <f t="shared" si="394"/>
        <v>177710.97408737399</v>
      </c>
      <c r="AL514">
        <v>1</v>
      </c>
      <c r="AM514">
        <f t="shared" si="395"/>
        <v>570.41772082343994</v>
      </c>
      <c r="AN514">
        <f t="shared" si="423"/>
        <v>311.61228841167792</v>
      </c>
      <c r="AO514">
        <f t="shared" si="424"/>
        <v>-38.197248991730454</v>
      </c>
      <c r="AQ514">
        <f t="shared" si="396"/>
        <v>1.1111109876543346E-3</v>
      </c>
      <c r="AR514">
        <f t="shared" si="397"/>
        <v>-3.333332962963004</v>
      </c>
      <c r="AT514">
        <f t="shared" si="418"/>
        <v>-4286.2125001958184</v>
      </c>
      <c r="AU514">
        <f t="shared" si="419"/>
        <v>-337.52893437977218</v>
      </c>
      <c r="AV514">
        <f t="shared" si="407"/>
        <v>-3.0630072297866215</v>
      </c>
      <c r="AW514">
        <f t="shared" si="408"/>
        <v>281.2601910017442</v>
      </c>
      <c r="AX514">
        <f t="shared" si="409"/>
        <v>-2458.9489003320455</v>
      </c>
      <c r="AY514">
        <f t="shared" si="417"/>
        <v>-1.4569089962160837</v>
      </c>
      <c r="BA514">
        <f t="shared" si="398"/>
        <v>1.7371768258173554</v>
      </c>
      <c r="BB514">
        <f t="shared" si="410"/>
        <v>4.7968805435899773</v>
      </c>
      <c r="BC514">
        <f t="shared" si="411"/>
        <v>-1.6060982335705378</v>
      </c>
      <c r="BD514">
        <f t="shared" si="399"/>
        <v>-272.02265037215977</v>
      </c>
      <c r="BF514">
        <f t="shared" si="400"/>
        <v>-61.487248318221226</v>
      </c>
      <c r="BG514">
        <f t="shared" si="401"/>
        <v>-189.54202685663273</v>
      </c>
      <c r="BH514">
        <f t="shared" si="412"/>
        <v>-9.5420268566327309</v>
      </c>
      <c r="BI514">
        <f t="shared" si="413"/>
        <v>-9.5420268566327309</v>
      </c>
      <c r="BJ514">
        <f t="shared" si="402"/>
        <v>0</v>
      </c>
      <c r="BK514">
        <f t="shared" si="414"/>
        <v>0</v>
      </c>
      <c r="BM514">
        <f t="shared" si="415"/>
        <v>-66.284128861811212</v>
      </c>
      <c r="BN514">
        <f t="shared" si="403"/>
        <v>-97.519376484473028</v>
      </c>
      <c r="BQ514" s="47">
        <f t="shared" si="416"/>
        <v>21.698841343875117</v>
      </c>
    </row>
    <row r="515" spans="1:69">
      <c r="A515">
        <f t="shared" si="420"/>
        <v>1505000</v>
      </c>
      <c r="B515">
        <f t="shared" si="404"/>
        <v>1505</v>
      </c>
      <c r="C515">
        <f t="shared" si="373"/>
        <v>7.6307631127674194</v>
      </c>
      <c r="D515">
        <f t="shared" si="374"/>
        <v>1.4393698077501733</v>
      </c>
      <c r="F515">
        <f t="shared" si="375"/>
        <v>4.2234190248885821E-6</v>
      </c>
      <c r="G515">
        <f t="shared" si="376"/>
        <v>6.1961092721580027E-4</v>
      </c>
      <c r="H515">
        <f t="shared" si="377"/>
        <v>-3.1409730390727844</v>
      </c>
      <c r="J515">
        <f t="shared" si="378"/>
        <v>15</v>
      </c>
      <c r="M515">
        <f t="shared" si="379"/>
        <v>1.0006490484956577E-3</v>
      </c>
      <c r="N515">
        <f t="shared" si="380"/>
        <v>-1.5707963250000001</v>
      </c>
      <c r="O515">
        <f t="shared" si="381"/>
        <v>733.32851694555188</v>
      </c>
      <c r="P515">
        <f t="shared" si="382"/>
        <v>1.5694326810524852</v>
      </c>
      <c r="Q515">
        <f t="shared" si="383"/>
        <v>572.31998686399766</v>
      </c>
      <c r="R515">
        <f t="shared" si="384"/>
        <v>1.5690490516135631</v>
      </c>
      <c r="S515">
        <f t="shared" si="385"/>
        <v>0.12300483924936786</v>
      </c>
      <c r="T515">
        <f t="shared" si="386"/>
        <v>-1.4474791753250096</v>
      </c>
      <c r="U515">
        <f t="shared" si="387"/>
        <v>7.9273607870882057E-2</v>
      </c>
      <c r="V515">
        <f t="shared" si="388"/>
        <v>-1.4914394533180586</v>
      </c>
      <c r="X515">
        <f t="shared" si="405"/>
        <v>-54.068130044063132</v>
      </c>
      <c r="Y515">
        <f t="shared" si="389"/>
        <v>-176.0605600519003</v>
      </c>
      <c r="Z515">
        <f t="shared" si="406"/>
        <v>3.9394399480997038</v>
      </c>
      <c r="AC515">
        <v>1</v>
      </c>
      <c r="AD515">
        <f t="shared" si="390"/>
        <v>733.32783512257504</v>
      </c>
      <c r="AE515">
        <f t="shared" si="391"/>
        <v>-0.56862819508415408</v>
      </c>
      <c r="AF515">
        <f t="shared" si="392"/>
        <v>4.5219519117423002E-2</v>
      </c>
      <c r="AG515">
        <f t="shared" si="421"/>
        <v>100.16540808048209</v>
      </c>
      <c r="AH515">
        <f t="shared" si="422"/>
        <v>-1281.6782738483741</v>
      </c>
      <c r="AJ515">
        <f t="shared" si="393"/>
        <v>22100</v>
      </c>
      <c r="AK515">
        <f t="shared" si="394"/>
        <v>178303.34400099859</v>
      </c>
      <c r="AL515">
        <v>1</v>
      </c>
      <c r="AM515">
        <f t="shared" si="395"/>
        <v>572.31911322618475</v>
      </c>
      <c r="AN515">
        <f t="shared" si="423"/>
        <v>311.61184421098511</v>
      </c>
      <c r="AO515">
        <f t="shared" si="424"/>
        <v>-38.070348608431118</v>
      </c>
      <c r="AQ515">
        <f t="shared" si="396"/>
        <v>1.1037404549905129E-3</v>
      </c>
      <c r="AR515">
        <f t="shared" si="397"/>
        <v>-3.3222587695214436</v>
      </c>
      <c r="AT515">
        <f t="shared" si="418"/>
        <v>-4257.9563283847783</v>
      </c>
      <c r="AU515">
        <f t="shared" si="419"/>
        <v>-334.19004555920458</v>
      </c>
      <c r="AV515">
        <f t="shared" si="407"/>
        <v>-3.0632671999539682</v>
      </c>
      <c r="AW515">
        <f t="shared" si="408"/>
        <v>281.46510930628358</v>
      </c>
      <c r="AX515">
        <f t="shared" si="409"/>
        <v>-2450.8285021251177</v>
      </c>
      <c r="AY515">
        <f t="shared" si="417"/>
        <v>-1.4564523963934264</v>
      </c>
      <c r="BA515">
        <f t="shared" si="398"/>
        <v>1.7313166632155761</v>
      </c>
      <c r="BB515">
        <f t="shared" si="410"/>
        <v>4.7675301791080624</v>
      </c>
      <c r="BC515">
        <f t="shared" si="411"/>
        <v>-1.6068148035605418</v>
      </c>
      <c r="BD515">
        <f t="shared" si="399"/>
        <v>-272.0637068083596</v>
      </c>
      <c r="BF515">
        <f t="shared" si="400"/>
        <v>-61.546001768344205</v>
      </c>
      <c r="BG515">
        <f t="shared" si="401"/>
        <v>-189.55839048037225</v>
      </c>
      <c r="BH515">
        <f t="shared" si="412"/>
        <v>-9.5583904803722533</v>
      </c>
      <c r="BI515">
        <f t="shared" si="413"/>
        <v>-9.5583904803722533</v>
      </c>
      <c r="BJ515">
        <f t="shared" si="402"/>
        <v>0</v>
      </c>
      <c r="BK515">
        <f t="shared" si="414"/>
        <v>0</v>
      </c>
      <c r="BM515">
        <f t="shared" si="415"/>
        <v>-66.313531947452262</v>
      </c>
      <c r="BN515">
        <f t="shared" si="403"/>
        <v>-97.49468367201267</v>
      </c>
      <c r="BQ515" s="47">
        <f t="shared" si="416"/>
        <v>21.669490979393199</v>
      </c>
    </row>
    <row r="516" spans="1:69">
      <c r="A516">
        <f t="shared" si="420"/>
        <v>1510000</v>
      </c>
      <c r="B516">
        <f t="shared" si="404"/>
        <v>1510</v>
      </c>
      <c r="C516">
        <f t="shared" si="373"/>
        <v>7.6556798166686875</v>
      </c>
      <c r="D516">
        <f t="shared" si="374"/>
        <v>1.4398000253165708</v>
      </c>
      <c r="F516">
        <f t="shared" si="375"/>
        <v>4.1954955559238461E-6</v>
      </c>
      <c r="G516">
        <f t="shared" si="376"/>
        <v>6.1755921837161642E-4</v>
      </c>
      <c r="H516">
        <f t="shared" si="377"/>
        <v>-3.1409750907816285</v>
      </c>
      <c r="J516">
        <f t="shared" si="378"/>
        <v>15</v>
      </c>
      <c r="M516">
        <f t="shared" si="379"/>
        <v>9.9733564105030791E-4</v>
      </c>
      <c r="N516">
        <f t="shared" si="380"/>
        <v>-1.5707963250000001</v>
      </c>
      <c r="O516">
        <f t="shared" si="381"/>
        <v>735.76481978793709</v>
      </c>
      <c r="P516">
        <f t="shared" si="382"/>
        <v>1.5694371964301683</v>
      </c>
      <c r="Q516">
        <f t="shared" si="383"/>
        <v>574.22137637390631</v>
      </c>
      <c r="R516">
        <f t="shared" si="384"/>
        <v>1.5690548372812543</v>
      </c>
      <c r="S516">
        <f t="shared" si="385"/>
        <v>0.12260367088096111</v>
      </c>
      <c r="T516">
        <f t="shared" si="386"/>
        <v>-1.4478834033336743</v>
      </c>
      <c r="U516">
        <f t="shared" si="387"/>
        <v>7.9012753948461786E-2</v>
      </c>
      <c r="V516">
        <f t="shared" si="388"/>
        <v>-1.4917011280471184</v>
      </c>
      <c r="X516">
        <f t="shared" si="405"/>
        <v>-54.125626549731706</v>
      </c>
      <c r="Y516">
        <f t="shared" si="389"/>
        <v>-176.07359116535903</v>
      </c>
      <c r="Z516">
        <f t="shared" si="406"/>
        <v>3.9264088346409665</v>
      </c>
      <c r="AC516">
        <v>1</v>
      </c>
      <c r="AD516">
        <f t="shared" si="390"/>
        <v>735.76414022264998</v>
      </c>
      <c r="AE516">
        <f t="shared" si="391"/>
        <v>-0.57241273169672713</v>
      </c>
      <c r="AF516">
        <f t="shared" si="392"/>
        <v>4.5369750077946004E-2</v>
      </c>
      <c r="AG516">
        <f t="shared" si="421"/>
        <v>99.507293693331221</v>
      </c>
      <c r="AH516">
        <f t="shared" si="422"/>
        <v>-1277.4864685649197</v>
      </c>
      <c r="AJ516">
        <f t="shared" si="393"/>
        <v>22100</v>
      </c>
      <c r="AK516">
        <f t="shared" si="394"/>
        <v>178895.71391462316</v>
      </c>
      <c r="AL516">
        <v>1</v>
      </c>
      <c r="AM516">
        <f t="shared" si="395"/>
        <v>574.22050562892957</v>
      </c>
      <c r="AN516">
        <f t="shared" si="423"/>
        <v>311.61140441555443</v>
      </c>
      <c r="AO516">
        <f t="shared" si="424"/>
        <v>-37.944288617349464</v>
      </c>
      <c r="AQ516">
        <f t="shared" si="396"/>
        <v>1.096443018240097E-3</v>
      </c>
      <c r="AR516">
        <f t="shared" si="397"/>
        <v>-3.3112579150850934</v>
      </c>
      <c r="AT516">
        <f t="shared" si="418"/>
        <v>-4229.9780763722611</v>
      </c>
      <c r="AU516">
        <f t="shared" si="419"/>
        <v>-330.89500497009419</v>
      </c>
      <c r="AV516">
        <f t="shared" si="407"/>
        <v>-3.0635254593910308</v>
      </c>
      <c r="AW516">
        <f t="shared" si="408"/>
        <v>281.66794277577162</v>
      </c>
      <c r="AX516">
        <f t="shared" si="409"/>
        <v>-2442.7614025343819</v>
      </c>
      <c r="AY516">
        <f t="shared" si="417"/>
        <v>-1.4559961343662291</v>
      </c>
      <c r="BA516">
        <f t="shared" si="398"/>
        <v>1.7254949983843262</v>
      </c>
      <c r="BB516">
        <f t="shared" si="410"/>
        <v>4.7382740951842948</v>
      </c>
      <c r="BC516">
        <f t="shared" si="411"/>
        <v>-1.6075293250248017</v>
      </c>
      <c r="BD516">
        <f t="shared" si="399"/>
        <v>-272.10464587268001</v>
      </c>
      <c r="BF516">
        <f t="shared" si="400"/>
        <v>-61.604560182478771</v>
      </c>
      <c r="BG516">
        <f t="shared" si="401"/>
        <v>-189.57479744809521</v>
      </c>
      <c r="BH516">
        <f t="shared" si="412"/>
        <v>-9.5747974480952109</v>
      </c>
      <c r="BI516">
        <f t="shared" si="413"/>
        <v>-9.5747974480952109</v>
      </c>
      <c r="BJ516">
        <f t="shared" si="402"/>
        <v>0</v>
      </c>
      <c r="BK516">
        <f t="shared" si="414"/>
        <v>0</v>
      </c>
      <c r="BM516">
        <f t="shared" si="415"/>
        <v>-66.342834277663073</v>
      </c>
      <c r="BN516">
        <f t="shared" si="403"/>
        <v>-97.470151575415215</v>
      </c>
      <c r="BQ516" s="47">
        <f t="shared" si="416"/>
        <v>21.640234895469433</v>
      </c>
    </row>
    <row r="517" spans="1:69">
      <c r="A517">
        <f t="shared" si="420"/>
        <v>1515000</v>
      </c>
      <c r="B517">
        <f t="shared" si="404"/>
        <v>1515</v>
      </c>
      <c r="C517">
        <f t="shared" si="373"/>
        <v>7.6805979283441941</v>
      </c>
      <c r="D517">
        <f t="shared" si="374"/>
        <v>1.4402274514577968</v>
      </c>
      <c r="F517">
        <f t="shared" si="375"/>
        <v>4.1678481019697723E-6</v>
      </c>
      <c r="G517">
        <f t="shared" si="376"/>
        <v>6.1552105232787029E-4</v>
      </c>
      <c r="H517">
        <f t="shared" si="377"/>
        <v>-3.1409771289476724</v>
      </c>
      <c r="J517">
        <f t="shared" si="378"/>
        <v>15</v>
      </c>
      <c r="M517">
        <f t="shared" si="379"/>
        <v>9.9404410428116522E-4</v>
      </c>
      <c r="N517">
        <f t="shared" si="380"/>
        <v>-1.5707963250000001</v>
      </c>
      <c r="O517">
        <f t="shared" si="381"/>
        <v>738.20112264522436</v>
      </c>
      <c r="P517">
        <f t="shared" si="382"/>
        <v>1.5694416820034331</v>
      </c>
      <c r="Q517">
        <f t="shared" si="383"/>
        <v>576.12276590290969</v>
      </c>
      <c r="R517">
        <f t="shared" si="384"/>
        <v>1.5690605847598351</v>
      </c>
      <c r="S517">
        <f t="shared" si="385"/>
        <v>0.12220509097556376</v>
      </c>
      <c r="T517">
        <f t="shared" si="386"/>
        <v>-1.4482850031476149</v>
      </c>
      <c r="U517">
        <f t="shared" si="387"/>
        <v>7.8753605762800369E-2</v>
      </c>
      <c r="V517">
        <f t="shared" si="388"/>
        <v>-1.491961086298053</v>
      </c>
      <c r="X517">
        <f t="shared" si="405"/>
        <v>-54.182933787523446</v>
      </c>
      <c r="Y517">
        <f t="shared" si="389"/>
        <v>-176.0865364040782</v>
      </c>
      <c r="Z517">
        <f t="shared" si="406"/>
        <v>3.9134635959217974</v>
      </c>
      <c r="AC517">
        <v>1</v>
      </c>
      <c r="AD517">
        <f t="shared" si="390"/>
        <v>738.20044532272505</v>
      </c>
      <c r="AE517">
        <f t="shared" si="391"/>
        <v>-0.57620982066954107</v>
      </c>
      <c r="AF517">
        <f t="shared" si="392"/>
        <v>4.5519981038469007E-2</v>
      </c>
      <c r="AG517">
        <f t="shared" si="421"/>
        <v>98.855630647546761</v>
      </c>
      <c r="AH517">
        <f t="shared" si="422"/>
        <v>-1273.3218223138952</v>
      </c>
      <c r="AJ517">
        <f t="shared" si="393"/>
        <v>22100</v>
      </c>
      <c r="AK517">
        <f t="shared" si="394"/>
        <v>179488.08382824773</v>
      </c>
      <c r="AL517">
        <v>1</v>
      </c>
      <c r="AM517">
        <f t="shared" si="395"/>
        <v>576.12189803167439</v>
      </c>
      <c r="AN517">
        <f t="shared" si="423"/>
        <v>311.61096896732693</v>
      </c>
      <c r="AO517">
        <f t="shared" si="424"/>
        <v>-37.81906069787123</v>
      </c>
      <c r="AQ517">
        <f t="shared" si="396"/>
        <v>1.0892177140348208E-3</v>
      </c>
      <c r="AR517">
        <f t="shared" si="397"/>
        <v>-3.300329673525507</v>
      </c>
      <c r="AT517">
        <f t="shared" si="418"/>
        <v>-4202.2741188260879</v>
      </c>
      <c r="AU517">
        <f t="shared" si="419"/>
        <v>-327.64309590570747</v>
      </c>
      <c r="AV517">
        <f t="shared" si="407"/>
        <v>-3.0637820248930954</v>
      </c>
      <c r="AW517">
        <f t="shared" si="408"/>
        <v>281.86871974306899</v>
      </c>
      <c r="AX517">
        <f t="shared" si="409"/>
        <v>-2434.7470800733608</v>
      </c>
      <c r="AY517">
        <f t="shared" si="417"/>
        <v>-1.4555402071150483</v>
      </c>
      <c r="BA517">
        <f t="shared" si="398"/>
        <v>1.719711450628205</v>
      </c>
      <c r="BB517">
        <f t="shared" si="410"/>
        <v>4.7091116600970491</v>
      </c>
      <c r="BC517">
        <f t="shared" si="411"/>
        <v>-1.6082418177780471</v>
      </c>
      <c r="BD517">
        <f t="shared" si="399"/>
        <v>-272.14546870042125</v>
      </c>
      <c r="BF517">
        <f t="shared" si="400"/>
        <v>-61.662924889675764</v>
      </c>
      <c r="BG517">
        <f t="shared" si="401"/>
        <v>-189.59124734017504</v>
      </c>
      <c r="BH517">
        <f t="shared" si="412"/>
        <v>-9.5912473401750447</v>
      </c>
      <c r="BI517">
        <f t="shared" si="413"/>
        <v>-9.5912473401750447</v>
      </c>
      <c r="BJ517">
        <f t="shared" si="402"/>
        <v>0</v>
      </c>
      <c r="BK517">
        <f t="shared" si="414"/>
        <v>0</v>
      </c>
      <c r="BM517">
        <f t="shared" si="415"/>
        <v>-66.372036549772815</v>
      </c>
      <c r="BN517">
        <f t="shared" si="403"/>
        <v>-97.445778639753811</v>
      </c>
      <c r="BQ517" s="47">
        <f t="shared" si="416"/>
        <v>21.611072460382186</v>
      </c>
    </row>
    <row r="518" spans="1:69">
      <c r="A518">
        <f>A517+5000</f>
        <v>1520000</v>
      </c>
      <c r="B518">
        <f t="shared" si="404"/>
        <v>1520</v>
      </c>
      <c r="C518">
        <f t="shared" si="373"/>
        <v>7.7055174341365564</v>
      </c>
      <c r="D518">
        <f t="shared" si="374"/>
        <v>1.4406521130991707</v>
      </c>
      <c r="F518">
        <f t="shared" si="375"/>
        <v>4.1404730372053995E-6</v>
      </c>
      <c r="G518">
        <f t="shared" si="376"/>
        <v>6.1349629543630752E-4</v>
      </c>
      <c r="H518">
        <f t="shared" si="377"/>
        <v>-3.1409791537045639</v>
      </c>
      <c r="J518">
        <f t="shared" si="378"/>
        <v>15</v>
      </c>
      <c r="M518">
        <f t="shared" si="379"/>
        <v>9.9077422235918752E-4</v>
      </c>
      <c r="N518">
        <f t="shared" si="380"/>
        <v>-1.5707963250000001</v>
      </c>
      <c r="O518">
        <f t="shared" si="381"/>
        <v>740.63742551726693</v>
      </c>
      <c r="P518">
        <f t="shared" si="382"/>
        <v>1.5694461380664015</v>
      </c>
      <c r="Q518">
        <f t="shared" si="383"/>
        <v>578.02415545081919</v>
      </c>
      <c r="R518">
        <f t="shared" si="384"/>
        <v>1.5690662944261704</v>
      </c>
      <c r="S518">
        <f t="shared" si="385"/>
        <v>0.12180907475383874</v>
      </c>
      <c r="T518">
        <f t="shared" si="386"/>
        <v>-1.4486840001873356</v>
      </c>
      <c r="U518">
        <f t="shared" si="387"/>
        <v>7.849614668976522E-2</v>
      </c>
      <c r="V518">
        <f t="shared" si="388"/>
        <v>-1.4922193448699401</v>
      </c>
      <c r="X518">
        <f t="shared" si="405"/>
        <v>-54.240052996711221</v>
      </c>
      <c r="Y518">
        <f t="shared" si="389"/>
        <v>-176.09939661356714</v>
      </c>
      <c r="Z518">
        <f t="shared" si="406"/>
        <v>3.9006033864328629</v>
      </c>
      <c r="AC518">
        <v>1</v>
      </c>
      <c r="AD518">
        <f t="shared" si="390"/>
        <v>740.63675042280011</v>
      </c>
      <c r="AE518">
        <f t="shared" si="391"/>
        <v>-0.58001946200259569</v>
      </c>
      <c r="AF518">
        <f t="shared" si="392"/>
        <v>4.5670211998992009E-2</v>
      </c>
      <c r="AG518">
        <f t="shared" si="421"/>
        <v>98.210335070743469</v>
      </c>
      <c r="AH518">
        <f t="shared" si="422"/>
        <v>-1269.1840736825704</v>
      </c>
      <c r="AJ518">
        <f t="shared" si="393"/>
        <v>22100</v>
      </c>
      <c r="AK518">
        <f t="shared" si="394"/>
        <v>180080.45374187233</v>
      </c>
      <c r="AL518">
        <v>1</v>
      </c>
      <c r="AM518">
        <f t="shared" si="395"/>
        <v>578.02329043441921</v>
      </c>
      <c r="AN518">
        <f t="shared" si="423"/>
        <v>311.6105378091973</v>
      </c>
      <c r="AO518">
        <f t="shared" si="424"/>
        <v>-37.694656638862284</v>
      </c>
      <c r="AQ518">
        <f t="shared" si="396"/>
        <v>1.0820635948251822E-3</v>
      </c>
      <c r="AR518">
        <f t="shared" si="397"/>
        <v>-3.2894733282685542</v>
      </c>
      <c r="AT518">
        <f t="shared" si="418"/>
        <v>-4174.8408892138314</v>
      </c>
      <c r="AU518">
        <f t="shared" si="419"/>
        <v>-324.43361565679226</v>
      </c>
      <c r="AV518">
        <f t="shared" si="407"/>
        <v>-3.0640369130367753</v>
      </c>
      <c r="AW518">
        <f t="shared" si="408"/>
        <v>282.06746805917004</v>
      </c>
      <c r="AX518">
        <f t="shared" si="409"/>
        <v>-2426.785020016715</v>
      </c>
      <c r="AY518">
        <f t="shared" si="417"/>
        <v>-1.4550846116658314</v>
      </c>
      <c r="BA518">
        <f t="shared" si="398"/>
        <v>1.7139656442555169</v>
      </c>
      <c r="BB518">
        <f t="shared" si="410"/>
        <v>4.6800422483621693</v>
      </c>
      <c r="BC518">
        <f t="shared" si="411"/>
        <v>-1.6089523013709439</v>
      </c>
      <c r="BD518">
        <f t="shared" si="399"/>
        <v>-272.18617641175405</v>
      </c>
      <c r="BF518">
        <f t="shared" si="400"/>
        <v>-61.721097205458364</v>
      </c>
      <c r="BG518">
        <f t="shared" si="401"/>
        <v>-189.60773974173279</v>
      </c>
      <c r="BH518">
        <f t="shared" si="412"/>
        <v>-9.6077397417327859</v>
      </c>
      <c r="BI518">
        <f t="shared" si="413"/>
        <v>-9.6077397417327859</v>
      </c>
      <c r="BJ518">
        <f t="shared" si="402"/>
        <v>0</v>
      </c>
      <c r="BK518">
        <f t="shared" si="414"/>
        <v>0</v>
      </c>
      <c r="BM518">
        <f t="shared" si="415"/>
        <v>-66.401139453820534</v>
      </c>
      <c r="BN518">
        <f t="shared" si="403"/>
        <v>-97.421563329978753</v>
      </c>
      <c r="BQ518" s="47">
        <f t="shared" si="416"/>
        <v>21.582003048647309</v>
      </c>
    </row>
    <row r="519" spans="1:69">
      <c r="A519">
        <f t="shared" si="420"/>
        <v>1525000</v>
      </c>
      <c r="B519">
        <f t="shared" si="404"/>
        <v>1525</v>
      </c>
      <c r="C519">
        <f t="shared" si="373"/>
        <v>7.7304383205637288</v>
      </c>
      <c r="D519">
        <f t="shared" si="374"/>
        <v>1.4410740368228292</v>
      </c>
      <c r="F519">
        <f t="shared" si="375"/>
        <v>4.1133667951523272E-6</v>
      </c>
      <c r="G519">
        <f t="shared" si="376"/>
        <v>6.1148481580147393E-4</v>
      </c>
      <c r="H519">
        <f t="shared" si="377"/>
        <v>-3.1409811651841988</v>
      </c>
      <c r="J519">
        <f t="shared" si="378"/>
        <v>15</v>
      </c>
      <c r="M519">
        <f t="shared" si="379"/>
        <v>9.8752578228587882E-4</v>
      </c>
      <c r="N519">
        <f t="shared" si="380"/>
        <v>-1.5707963250000001</v>
      </c>
      <c r="O519">
        <f t="shared" si="381"/>
        <v>743.0737284039194</v>
      </c>
      <c r="P519">
        <f t="shared" si="382"/>
        <v>1.569450564909338</v>
      </c>
      <c r="Q519">
        <f t="shared" si="383"/>
        <v>579.92554501744894</v>
      </c>
      <c r="R519">
        <f t="shared" si="384"/>
        <v>1.5690719666521826</v>
      </c>
      <c r="S519">
        <f t="shared" si="385"/>
        <v>0.12141559774922688</v>
      </c>
      <c r="T519">
        <f t="shared" si="386"/>
        <v>-1.4490804195482196</v>
      </c>
      <c r="U519">
        <f t="shared" si="387"/>
        <v>7.8240360319870514E-2</v>
      </c>
      <c r="V519">
        <f t="shared" si="388"/>
        <v>-1.4924759203438056</v>
      </c>
      <c r="X519">
        <f t="shared" si="405"/>
        <v>-54.296985404463307</v>
      </c>
      <c r="Y519">
        <f t="shared" si="389"/>
        <v>-176.11217262828055</v>
      </c>
      <c r="Z519">
        <f t="shared" si="406"/>
        <v>3.8878273717194531</v>
      </c>
      <c r="AC519">
        <v>1</v>
      </c>
      <c r="AD519">
        <f t="shared" si="390"/>
        <v>743.07305552287505</v>
      </c>
      <c r="AE519">
        <f t="shared" si="391"/>
        <v>-0.58384165569589108</v>
      </c>
      <c r="AF519">
        <f t="shared" si="392"/>
        <v>4.5820442959515005E-2</v>
      </c>
      <c r="AG519">
        <f t="shared" si="421"/>
        <v>97.571324446302924</v>
      </c>
      <c r="AH519">
        <f t="shared" si="422"/>
        <v>-1265.0729645801753</v>
      </c>
      <c r="AJ519">
        <f t="shared" si="393"/>
        <v>22100</v>
      </c>
      <c r="AK519">
        <f t="shared" si="394"/>
        <v>180672.8236554969</v>
      </c>
      <c r="AL519">
        <v>1</v>
      </c>
      <c r="AM519">
        <f t="shared" si="395"/>
        <v>579.92468283716403</v>
      </c>
      <c r="AN519">
        <f t="shared" si="423"/>
        <v>311.61011088499413</v>
      </c>
      <c r="AO519">
        <f t="shared" si="424"/>
        <v>-37.571068336873886</v>
      </c>
      <c r="AQ519">
        <f t="shared" si="396"/>
        <v>1.0749797285697685E-3</v>
      </c>
      <c r="AR519">
        <f t="shared" si="397"/>
        <v>-3.2786881721377941</v>
      </c>
      <c r="AT519">
        <f t="shared" si="418"/>
        <v>-4147.6748786644457</v>
      </c>
      <c r="AU519">
        <f t="shared" si="419"/>
        <v>-321.26587519399794</v>
      </c>
      <c r="AV519">
        <f t="shared" si="407"/>
        <v>-3.0642901401835503</v>
      </c>
      <c r="AW519">
        <f t="shared" si="408"/>
        <v>282.26421510304056</v>
      </c>
      <c r="AX519">
        <f t="shared" si="409"/>
        <v>-2418.8747142913344</v>
      </c>
      <c r="AY519">
        <f t="shared" si="417"/>
        <v>-1.4546293450890961</v>
      </c>
      <c r="BA519">
        <f t="shared" si="398"/>
        <v>1.7082572084963645</v>
      </c>
      <c r="BB519">
        <f t="shared" si="410"/>
        <v>4.6510652406512785</v>
      </c>
      <c r="BC519">
        <f t="shared" si="411"/>
        <v>-1.6096607950944541</v>
      </c>
      <c r="BD519">
        <f t="shared" si="399"/>
        <v>-272.22677011196907</v>
      </c>
      <c r="BF519">
        <f t="shared" si="400"/>
        <v>-61.779078432005818</v>
      </c>
      <c r="BG519">
        <f t="shared" si="401"/>
        <v>-189.62427424257191</v>
      </c>
      <c r="BH519">
        <f t="shared" si="412"/>
        <v>-9.6242742425719143</v>
      </c>
      <c r="BI519">
        <f t="shared" si="413"/>
        <v>-9.6242742425719143</v>
      </c>
      <c r="BJ519">
        <f t="shared" si="402"/>
        <v>0</v>
      </c>
      <c r="BK519">
        <f t="shared" si="414"/>
        <v>0</v>
      </c>
      <c r="BM519">
        <f t="shared" si="415"/>
        <v>-66.430143672657096</v>
      </c>
      <c r="BN519">
        <f t="shared" si="403"/>
        <v>-97.39750413060284</v>
      </c>
      <c r="BQ519" s="47">
        <f t="shared" si="416"/>
        <v>21.553026040936416</v>
      </c>
    </row>
    <row r="520" spans="1:69">
      <c r="A520">
        <f t="shared" si="420"/>
        <v>1530000</v>
      </c>
      <c r="B520">
        <f t="shared" si="404"/>
        <v>1530</v>
      </c>
      <c r="C520">
        <f t="shared" si="373"/>
        <v>7.7553605743162173</v>
      </c>
      <c r="D520">
        <f t="shared" si="374"/>
        <v>1.441493248873144</v>
      </c>
      <c r="F520">
        <f t="shared" si="375"/>
        <v>4.0865258675130365E-6</v>
      </c>
      <c r="G520">
        <f t="shared" si="376"/>
        <v>6.0948648325207422E-4</v>
      </c>
      <c r="H520">
        <f t="shared" si="377"/>
        <v>-3.140983163516748</v>
      </c>
      <c r="J520">
        <f t="shared" si="378"/>
        <v>15</v>
      </c>
      <c r="M520">
        <f t="shared" si="379"/>
        <v>9.8429857384703607E-4</v>
      </c>
      <c r="N520">
        <f t="shared" si="380"/>
        <v>-1.5707963250000001</v>
      </c>
      <c r="O520">
        <f t="shared" si="381"/>
        <v>745.51003130503875</v>
      </c>
      <c r="P520">
        <f t="shared" si="382"/>
        <v>1.5694549628187127</v>
      </c>
      <c r="Q520">
        <f t="shared" si="383"/>
        <v>581.82693460261521</v>
      </c>
      <c r="R520">
        <f t="shared" si="384"/>
        <v>1.5690776018049319</v>
      </c>
      <c r="S520">
        <f t="shared" si="385"/>
        <v>0.12102463580306799</v>
      </c>
      <c r="T520">
        <f t="shared" si="386"/>
        <v>-1.4494742860056828</v>
      </c>
      <c r="U520">
        <f t="shared" si="387"/>
        <v>7.7986230454835048E-2</v>
      </c>
      <c r="V520">
        <f t="shared" si="388"/>
        <v>-1.4927308290861441</v>
      </c>
      <c r="X520">
        <f t="shared" si="405"/>
        <v>-54.353732226000197</v>
      </c>
      <c r="Y520">
        <f t="shared" si="389"/>
        <v>-176.1248652717982</v>
      </c>
      <c r="Z520">
        <f t="shared" si="406"/>
        <v>3.8751347282018003</v>
      </c>
      <c r="AC520">
        <v>1</v>
      </c>
      <c r="AD520">
        <f t="shared" si="390"/>
        <v>745.50936062295</v>
      </c>
      <c r="AE520">
        <f t="shared" si="391"/>
        <v>-0.58767640174942715</v>
      </c>
      <c r="AF520">
        <f t="shared" si="392"/>
        <v>4.5970673920038008E-2</v>
      </c>
      <c r="AG520">
        <f t="shared" si="421"/>
        <v>96.93851758721479</v>
      </c>
      <c r="AH520">
        <f t="shared" si="422"/>
        <v>-1260.9882401856689</v>
      </c>
      <c r="AJ520">
        <f t="shared" si="393"/>
        <v>22100</v>
      </c>
      <c r="AK520">
        <f t="shared" si="394"/>
        <v>181265.1935691215</v>
      </c>
      <c r="AL520">
        <v>1</v>
      </c>
      <c r="AM520">
        <f t="shared" si="395"/>
        <v>581.82607523990885</v>
      </c>
      <c r="AN520">
        <f t="shared" si="423"/>
        <v>311.60968813946329</v>
      </c>
      <c r="AO520">
        <f t="shared" si="424"/>
        <v>-37.448287794383162</v>
      </c>
      <c r="AQ520">
        <f t="shared" si="396"/>
        <v>1.0679651984316718E-3</v>
      </c>
      <c r="AR520">
        <f t="shared" si="397"/>
        <v>-3.2679735072009155</v>
      </c>
      <c r="AT520">
        <f t="shared" si="418"/>
        <v>-4120.7726348554997</v>
      </c>
      <c r="AU520">
        <f t="shared" si="419"/>
        <v>-318.13919885849782</v>
      </c>
      <c r="AV520">
        <f t="shared" si="407"/>
        <v>-3.0645417224832374</v>
      </c>
      <c r="AW520">
        <f t="shared" si="408"/>
        <v>282.45898779122484</v>
      </c>
      <c r="AX520">
        <f t="shared" si="409"/>
        <v>-2411.0156613695403</v>
      </c>
      <c r="AY520">
        <f t="shared" si="417"/>
        <v>-1.4541744044991236</v>
      </c>
      <c r="BA520">
        <f t="shared" si="398"/>
        <v>1.702585777422345</v>
      </c>
      <c r="BB520">
        <f t="shared" si="410"/>
        <v>4.6221800237114143</v>
      </c>
      <c r="BC520">
        <f t="shared" si="411"/>
        <v>-1.6103673179841138</v>
      </c>
      <c r="BD520">
        <f t="shared" si="399"/>
        <v>-272.2672508917222</v>
      </c>
      <c r="BF520">
        <f t="shared" si="400"/>
        <v>-61.836869858334069</v>
      </c>
      <c r="BG520">
        <f t="shared" si="401"/>
        <v>-189.64085043711481</v>
      </c>
      <c r="BH520">
        <f t="shared" si="412"/>
        <v>-9.6408504371148069</v>
      </c>
      <c r="BI520">
        <f t="shared" si="413"/>
        <v>-9.6408504371148069</v>
      </c>
      <c r="BJ520">
        <f t="shared" si="402"/>
        <v>0</v>
      </c>
      <c r="BK520">
        <f t="shared" si="414"/>
        <v>0</v>
      </c>
      <c r="BM520">
        <f t="shared" si="415"/>
        <v>-66.459049882045477</v>
      </c>
      <c r="BN520">
        <f t="shared" si="403"/>
        <v>-97.373599545392594</v>
      </c>
      <c r="BQ520" s="47">
        <f t="shared" si="416"/>
        <v>21.524140823996554</v>
      </c>
    </row>
    <row r="521" spans="1:69">
      <c r="A521">
        <f t="shared" si="420"/>
        <v>1535000</v>
      </c>
      <c r="B521">
        <f t="shared" si="404"/>
        <v>1535</v>
      </c>
      <c r="C521">
        <f t="shared" ref="C521:C584" si="425">SQRT((A521/Fesr)^2+1)</f>
        <v>7.7802841822543352</v>
      </c>
      <c r="D521">
        <f t="shared" ref="D521:D584" si="426">ATAN(A521/Fesr)</f>
        <v>1.4419097751620391</v>
      </c>
      <c r="F521">
        <f t="shared" ref="F521:F584" si="427">(Ro/(Ro+Rdcr))/SQRT((A521/(Q*Fo))^2+(1-(A521^2/Fo^2))^2)</f>
        <v>4.0599468030356384E-6</v>
      </c>
      <c r="G521">
        <f t="shared" ref="G521:G584" si="428">-ATAN(A521*Fo/(Q*(Fo^2-A521^2)))</f>
        <v>6.0750116931288975E-4</v>
      </c>
      <c r="H521">
        <f t="shared" ref="H521:H584" si="429">IF(G521&gt;0,G521-Pi,G521)</f>
        <v>-3.1409851488306875</v>
      </c>
      <c r="J521">
        <f t="shared" ref="J521:J584" si="430">Vin/Vramp</f>
        <v>15</v>
      </c>
      <c r="M521">
        <f t="shared" ref="M521:M584" si="431">1/(2*Pi*_Rfb1*(Cc1ea_u+Cc2ea_u)*A521)</f>
        <v>9.8109238956740397E-4</v>
      </c>
      <c r="N521">
        <f t="shared" ref="N521:N584" si="432">-Pi/2</f>
        <v>-1.5707963250000001</v>
      </c>
      <c r="O521">
        <f t="shared" ref="O521:O584" si="433">SQRT(1+(A521/Fz1_u)^2)</f>
        <v>747.94633422048344</v>
      </c>
      <c r="P521">
        <f t="shared" ref="P521:P584" si="434">ATAN2(Fz1_u,A521)</f>
        <v>1.5694593320772634</v>
      </c>
      <c r="Q521">
        <f t="shared" ref="Q521:Q584" si="435">SQRT(1+(A521/Fz2_u)^2)</f>
        <v>583.72832420613713</v>
      </c>
      <c r="R521">
        <f t="shared" ref="R521:R584" si="436">ATAN2(Fz2_u,A521)</f>
        <v>1.5690832002466963</v>
      </c>
      <c r="S521">
        <f t="shared" ref="S521:S584" si="437">1/SQRT(1+(A521/Fp1_u)^2)</f>
        <v>0.12063616505981217</v>
      </c>
      <c r="T521">
        <f t="shared" ref="T521:T584" si="438">-ATAN2(Fp1_u,A521)</f>
        <v>-1.4498656240202306</v>
      </c>
      <c r="U521">
        <f t="shared" ref="U521:U584" si="439">1/SQRT(1+(A521/Fp2_u)^2)</f>
        <v>7.7733741104205903E-2</v>
      </c>
      <c r="V521">
        <f t="shared" ref="V521:V584" si="440">-ATAN2(Fp2_u,A521)</f>
        <v>-1.4929840872523688</v>
      </c>
      <c r="X521">
        <f t="shared" si="405"/>
        <v>-54.410294664748804</v>
      </c>
      <c r="Y521">
        <f t="shared" ref="Y521:Y584" si="441">(180/Pi)*(D521+H521+N521+P521+R521+T521+V521)</f>
        <v>-176.13747535700142</v>
      </c>
      <c r="Z521">
        <f t="shared" si="406"/>
        <v>3.8625246429985793</v>
      </c>
      <c r="AC521">
        <v>1</v>
      </c>
      <c r="AD521">
        <f t="shared" ref="AD521:AD584" si="442">Rcea1_u*Cc1ea_u*A521*2*Pi</f>
        <v>747.94566572302506</v>
      </c>
      <c r="AE521">
        <f t="shared" ref="AE521:AE584" si="443">-Rcea1_u*Cc1ea_u*Cc2ea_u*(A521*2*Pi)^2</f>
        <v>-0.59152370016320388</v>
      </c>
      <c r="AF521">
        <f t="shared" ref="AF521:AF584" si="444">(Cc2ea_u+Cc1ea_u)*A521*2*Pi</f>
        <v>4.6120904880561003E-2</v>
      </c>
      <c r="AG521">
        <f t="shared" si="421"/>
        <v>96.311834610503297</v>
      </c>
      <c r="AH521">
        <f t="shared" si="422"/>
        <v>-1256.9296488964787</v>
      </c>
      <c r="AJ521">
        <f t="shared" ref="AJ521:AJ584" si="445">_Rfb1</f>
        <v>22100</v>
      </c>
      <c r="AK521">
        <f t="shared" ref="AK521:AK584" si="446">_Rfb1*Rcea2_u*Cc3ea_u*A521*2*Pi</f>
        <v>181857.56348274605</v>
      </c>
      <c r="AL521">
        <v>1</v>
      </c>
      <c r="AM521">
        <f t="shared" ref="AM521:AM584" si="447">(_Rfb1+Rcea2_u)*Cc3ea_u*A521*2*Pi</f>
        <v>583.72746764265355</v>
      </c>
      <c r="AN521">
        <f t="shared" si="423"/>
        <v>311.60926951824814</v>
      </c>
      <c r="AO521">
        <f t="shared" si="424"/>
        <v>-37.326307118067938</v>
      </c>
      <c r="AQ521">
        <f t="shared" ref="AQ521:AQ584" si="448">Eadcg/(1+(Eadcg*A521/GBP)^2)</f>
        <v>1.0610191024818191E-3</v>
      </c>
      <c r="AR521">
        <f t="shared" ref="AR521:AR584" si="449">-(A521*Eadcg*Eadcg/GBP)/(1+(Eadcg*A521/GBP)^2)</f>
        <v>-3.2573286446191849</v>
      </c>
      <c r="AT521">
        <f t="shared" si="418"/>
        <v>-4094.1307609253186</v>
      </c>
      <c r="AU521">
        <f t="shared" si="419"/>
        <v>-315.05292406057276</v>
      </c>
      <c r="AV521">
        <f t="shared" si="407"/>
        <v>-3.0647916758773959</v>
      </c>
      <c r="AW521">
        <f t="shared" si="408"/>
        <v>282.6518125872206</v>
      </c>
      <c r="AX521">
        <f t="shared" si="409"/>
        <v>-2403.2073661643153</v>
      </c>
      <c r="AY521">
        <f t="shared" si="417"/>
        <v>-1.4537197870531717</v>
      </c>
      <c r="BA521">
        <f t="shared" ref="BA521:BA584" si="450">SQRT(AT521^2+AU521^2)/SQRT(AW521^2+AX521^2)</f>
        <v>1.6969509898678206</v>
      </c>
      <c r="BB521">
        <f t="shared" si="410"/>
        <v>4.5933859902860252</v>
      </c>
      <c r="BC521">
        <f t="shared" si="411"/>
        <v>-1.6110718888242241</v>
      </c>
      <c r="BD521">
        <f t="shared" ref="BD521:BD584" si="451">BC521*180/Pi-180</f>
        <v>-272.30761982727466</v>
      </c>
      <c r="BF521">
        <f t="shared" ref="BF521:BF584" si="452">20*LOG(BA521*J521*F521*C521)</f>
        <v>-61.894472760473256</v>
      </c>
      <c r="BG521">
        <f t="shared" ref="BG521:BG584" si="453">(180/Pi)*(D521+H521+BC521)</f>
        <v>-189.6574679243399</v>
      </c>
      <c r="BH521">
        <f t="shared" si="412"/>
        <v>-9.6574679243398975</v>
      </c>
      <c r="BI521">
        <f t="shared" si="413"/>
        <v>-9.6574679243398975</v>
      </c>
      <c r="BJ521">
        <f t="shared" ref="BJ521:BJ584" si="454">SUM((BF522&lt;0)*(BF521&gt;0))*A521</f>
        <v>0</v>
      </c>
      <c r="BK521">
        <f t="shared" si="414"/>
        <v>0</v>
      </c>
      <c r="BM521">
        <f t="shared" si="415"/>
        <v>-66.487858750759287</v>
      </c>
      <c r="BN521">
        <f t="shared" ref="BN521:BN584" si="455">(H521+D521)*180/Pi</f>
        <v>-97.349848097065248</v>
      </c>
      <c r="BQ521" s="47">
        <f t="shared" si="416"/>
        <v>21.495346790571162</v>
      </c>
    </row>
    <row r="522" spans="1:69">
      <c r="A522">
        <f t="shared" si="420"/>
        <v>1540000</v>
      </c>
      <c r="B522">
        <f t="shared" ref="B522:B585" si="456">A522/1000</f>
        <v>1540</v>
      </c>
      <c r="C522">
        <f t="shared" si="425"/>
        <v>7.805209131405519</v>
      </c>
      <c r="D522">
        <f t="shared" si="426"/>
        <v>1.4423236412742071</v>
      </c>
      <c r="F522">
        <f t="shared" si="427"/>
        <v>4.0336262064044034E-6</v>
      </c>
      <c r="G522">
        <f t="shared" si="428"/>
        <v>6.0552874717724481E-4</v>
      </c>
      <c r="H522">
        <f t="shared" si="429"/>
        <v>-3.1409871212528229</v>
      </c>
      <c r="J522">
        <f t="shared" si="430"/>
        <v>15</v>
      </c>
      <c r="M522">
        <f t="shared" si="431"/>
        <v>9.77907024666211E-4</v>
      </c>
      <c r="N522">
        <f t="shared" si="432"/>
        <v>-1.5707963250000001</v>
      </c>
      <c r="O522">
        <f t="shared" si="433"/>
        <v>750.38263715011419</v>
      </c>
      <c r="P522">
        <f t="shared" si="434"/>
        <v>1.5694636729640559</v>
      </c>
      <c r="Q522">
        <f t="shared" si="435"/>
        <v>585.62971382783564</v>
      </c>
      <c r="R522">
        <f t="shared" si="436"/>
        <v>1.5690887623350493</v>
      </c>
      <c r="S522">
        <f t="shared" si="437"/>
        <v>0.12025016196231957</v>
      </c>
      <c r="T522">
        <f t="shared" si="438"/>
        <v>-1.4502544577424212</v>
      </c>
      <c r="U522">
        <f t="shared" si="439"/>
        <v>7.748287648204652E-2</v>
      </c>
      <c r="V522">
        <f t="shared" si="440"/>
        <v>-1.4932357107901972</v>
      </c>
      <c r="X522">
        <f t="shared" ref="X522:X585" si="457">20*LOG(C522*J522*O522*Q522*F522*M522*S522*U522)</f>
        <v>-54.466673912494237</v>
      </c>
      <c r="Y522">
        <f t="shared" si="441"/>
        <v>-176.15000368624592</v>
      </c>
      <c r="Z522">
        <f t="shared" ref="Z522:Z585" si="458">Y522+180</f>
        <v>3.849996313754076</v>
      </c>
      <c r="AC522">
        <v>1</v>
      </c>
      <c r="AD522">
        <f t="shared" si="442"/>
        <v>750.38197082310012</v>
      </c>
      <c r="AE522">
        <f t="shared" si="443"/>
        <v>-0.59538355093722106</v>
      </c>
      <c r="AF522">
        <f t="shared" si="444"/>
        <v>4.6271135841084006E-2</v>
      </c>
      <c r="AG522">
        <f t="shared" si="421"/>
        <v>95.691196912224683</v>
      </c>
      <c r="AH522">
        <f t="shared" si="422"/>
        <v>-1252.8969422781956</v>
      </c>
      <c r="AJ522">
        <f t="shared" si="445"/>
        <v>22100</v>
      </c>
      <c r="AK522">
        <f t="shared" si="446"/>
        <v>182449.93339637064</v>
      </c>
      <c r="AL522">
        <v>1</v>
      </c>
      <c r="AM522">
        <f t="shared" si="447"/>
        <v>585.62886004539837</v>
      </c>
      <c r="AN522">
        <f t="shared" si="423"/>
        <v>311.6088549678737</v>
      </c>
      <c r="AO522">
        <f t="shared" si="424"/>
        <v>-37.205118517115224</v>
      </c>
      <c r="AQ522">
        <f t="shared" si="448"/>
        <v>1.0541405534090326E-3</v>
      </c>
      <c r="AR522">
        <f t="shared" si="449"/>
        <v>-3.2467529044998202</v>
      </c>
      <c r="AT522">
        <f t="shared" si="418"/>
        <v>-4067.7459144094059</v>
      </c>
      <c r="AU522">
        <f t="shared" si="419"/>
        <v>-312.00640098592731</v>
      </c>
      <c r="AV522">
        <f t="shared" ref="AV522:AV585" si="459">ATAN2(AT522,AU522)</f>
        <v>-3.0650400161026674</v>
      </c>
      <c r="AW522">
        <f t="shared" ref="AW522:AW585" si="460">AG522-AH522*AO522/_Rfb2+AG522*AN522/_Rfb2+AN522-AO522*AR522+AQ522*AN522</f>
        <v>282.84271551063574</v>
      </c>
      <c r="AX522">
        <f t="shared" ref="AX522:AX585" si="461">AH522+AH522*AN522/_Rfb2+AG522*AO522/_Rfb2+AO522+AO522*AQ522+AN522*AR522</f>
        <v>-2395.4493399265434</v>
      </c>
      <c r="AY522">
        <f t="shared" si="417"/>
        <v>-1.4532654899507045</v>
      </c>
      <c r="BA522">
        <f t="shared" si="450"/>
        <v>1.6913524893527068</v>
      </c>
      <c r="BB522">
        <f t="shared" ref="BB522:BB585" si="462">20*LOG(BA522)</f>
        <v>4.5646825390371548</v>
      </c>
      <c r="BC522">
        <f t="shared" ref="BC522:BC585" si="463">AV522-AY522</f>
        <v>-1.6117745261519629</v>
      </c>
      <c r="BD522">
        <f t="shared" si="451"/>
        <v>-272.34787798072841</v>
      </c>
      <c r="BF522">
        <f t="shared" si="452"/>
        <v>-61.951888401642314</v>
      </c>
      <c r="BG522">
        <f t="shared" si="453"/>
        <v>-189.67412630771977</v>
      </c>
      <c r="BH522">
        <f t="shared" ref="BH522:BH585" si="464">IF(BG522&gt;180,BG522-180,BG522+180)</f>
        <v>-9.6741263077197743</v>
      </c>
      <c r="BI522">
        <f t="shared" ref="BI522:BI585" si="465">IF(BH522&gt;180,BH522-360,BH522)</f>
        <v>-9.6741263077197743</v>
      </c>
      <c r="BJ522">
        <f t="shared" si="454"/>
        <v>0</v>
      </c>
      <c r="BK522">
        <f t="shared" ref="BK522:BK585" si="466">IF(BJ522&gt;0,BI522,0)</f>
        <v>0</v>
      </c>
      <c r="BM522">
        <f t="shared" ref="BM522:BM585" si="467">20*LOG(J522*F522*C522)</f>
        <v>-66.516570940679472</v>
      </c>
      <c r="BN522">
        <f t="shared" si="455"/>
        <v>-97.326248326991347</v>
      </c>
      <c r="BQ522" s="47">
        <f t="shared" ref="BQ522:BQ585" si="468">20*LOG(BA522*7)</f>
        <v>21.466643339322292</v>
      </c>
    </row>
    <row r="523" spans="1:69">
      <c r="A523">
        <f t="shared" si="420"/>
        <v>1545000</v>
      </c>
      <c r="B523">
        <f t="shared" si="456"/>
        <v>1545</v>
      </c>
      <c r="C523">
        <f t="shared" si="425"/>
        <v>7.8301354089616906</v>
      </c>
      <c r="D523">
        <f t="shared" si="426"/>
        <v>1.4427348724722295</v>
      </c>
      <c r="F523">
        <f t="shared" si="427"/>
        <v>4.0075607371553718E-6</v>
      </c>
      <c r="G523">
        <f t="shared" si="428"/>
        <v>6.0356909168000721E-4</v>
      </c>
      <c r="H523">
        <f t="shared" si="429"/>
        <v>-3.1409890809083203</v>
      </c>
      <c r="J523">
        <f t="shared" si="430"/>
        <v>15</v>
      </c>
      <c r="M523">
        <f t="shared" si="431"/>
        <v>9.7474227701356965E-4</v>
      </c>
      <c r="N523">
        <f t="shared" si="432"/>
        <v>-1.5707963250000001</v>
      </c>
      <c r="O523">
        <f t="shared" si="433"/>
        <v>752.81894009379289</v>
      </c>
      <c r="P523">
        <f t="shared" si="434"/>
        <v>1.5694679857545435</v>
      </c>
      <c r="Q523">
        <f t="shared" si="435"/>
        <v>587.53110346753454</v>
      </c>
      <c r="R523">
        <f t="shared" si="436"/>
        <v>1.5690942884229351</v>
      </c>
      <c r="S523">
        <f t="shared" si="437"/>
        <v>0.11986660324724641</v>
      </c>
      <c r="T523">
        <f t="shared" si="438"/>
        <v>-1.450640811017734</v>
      </c>
      <c r="U523">
        <f t="shared" si="439"/>
        <v>7.7233621003687497E-2</v>
      </c>
      <c r="V523">
        <f t="shared" si="440"/>
        <v>-1.4934857154429717</v>
      </c>
      <c r="X523">
        <f t="shared" si="457"/>
        <v>-54.522871149529102</v>
      </c>
      <c r="Y523">
        <f t="shared" si="441"/>
        <v>-176.16245105153183</v>
      </c>
      <c r="Z523">
        <f t="shared" si="458"/>
        <v>3.837548948468168</v>
      </c>
      <c r="AC523">
        <v>1</v>
      </c>
      <c r="AD523">
        <f t="shared" si="442"/>
        <v>752.81827592317507</v>
      </c>
      <c r="AE523">
        <f t="shared" si="443"/>
        <v>-0.59925595407147925</v>
      </c>
      <c r="AF523">
        <f t="shared" si="444"/>
        <v>4.6421366801607002E-2</v>
      </c>
      <c r="AG523">
        <f t="shared" si="421"/>
        <v>95.076527143020868</v>
      </c>
      <c r="AH523">
        <f t="shared" si="422"/>
        <v>-1248.8898750152027</v>
      </c>
      <c r="AJ523">
        <f t="shared" si="445"/>
        <v>22100</v>
      </c>
      <c r="AK523">
        <f t="shared" si="446"/>
        <v>183042.30330999524</v>
      </c>
      <c r="AL523">
        <v>1</v>
      </c>
      <c r="AM523">
        <f t="shared" si="447"/>
        <v>587.53025244814319</v>
      </c>
      <c r="AN523">
        <f t="shared" si="423"/>
        <v>311.60844443572853</v>
      </c>
      <c r="AO523">
        <f t="shared" si="424"/>
        <v>-37.084714301562478</v>
      </c>
      <c r="AQ523">
        <f t="shared" si="448"/>
        <v>1.0473286782366462E-3</v>
      </c>
      <c r="AR523">
        <f t="shared" si="449"/>
        <v>-3.2362456157512369</v>
      </c>
      <c r="AT523">
        <f t="shared" si="418"/>
        <v>-4041.6148062005559</v>
      </c>
      <c r="AU523">
        <f t="shared" si="419"/>
        <v>-308.99899230951758</v>
      </c>
      <c r="AV523">
        <f t="shared" si="459"/>
        <v>-3.0652867586940502</v>
      </c>
      <c r="AW523">
        <f t="shared" si="460"/>
        <v>283.0317221461263</v>
      </c>
      <c r="AX523">
        <f t="shared" si="461"/>
        <v>-2387.7411001442024</v>
      </c>
      <c r="AY523">
        <f t="shared" ref="AY523:AY586" si="469">ATAN2(AW523,AX523)</f>
        <v>-1.4528115104326382</v>
      </c>
      <c r="BA523">
        <f t="shared" si="450"/>
        <v>1.68578992400677</v>
      </c>
      <c r="BB523">
        <f t="shared" si="462"/>
        <v>4.5360690744689682</v>
      </c>
      <c r="BC523">
        <f t="shared" si="463"/>
        <v>-1.612475248261412</v>
      </c>
      <c r="BD523">
        <f t="shared" si="451"/>
        <v>-272.38802640025727</v>
      </c>
      <c r="BF523">
        <f t="shared" si="452"/>
        <v>-62.009118032420545</v>
      </c>
      <c r="BG523">
        <f t="shared" si="453"/>
        <v>-189.6908251951603</v>
      </c>
      <c r="BH523">
        <f t="shared" si="464"/>
        <v>-9.6908251951603006</v>
      </c>
      <c r="BI523">
        <f t="shared" si="465"/>
        <v>-9.6908251951603006</v>
      </c>
      <c r="BJ523">
        <f t="shared" si="454"/>
        <v>0</v>
      </c>
      <c r="BK523">
        <f t="shared" si="466"/>
        <v>0</v>
      </c>
      <c r="BM523">
        <f t="shared" si="467"/>
        <v>-66.545187106889514</v>
      </c>
      <c r="BN523">
        <f t="shared" si="455"/>
        <v>-97.302798794903069</v>
      </c>
      <c r="BQ523" s="47">
        <f t="shared" si="468"/>
        <v>21.438029874754108</v>
      </c>
    </row>
    <row r="524" spans="1:69">
      <c r="A524">
        <f t="shared" si="420"/>
        <v>1550000</v>
      </c>
      <c r="B524">
        <f t="shared" si="456"/>
        <v>1550</v>
      </c>
      <c r="C524">
        <f t="shared" si="425"/>
        <v>7.8550630022766628</v>
      </c>
      <c r="D524">
        <f t="shared" si="426"/>
        <v>1.443143493701601</v>
      </c>
      <c r="F524">
        <f t="shared" si="427"/>
        <v>3.9817471086164076E-6</v>
      </c>
      <c r="G524">
        <f t="shared" si="428"/>
        <v>6.0162207927110997E-4</v>
      </c>
      <c r="H524">
        <f t="shared" si="429"/>
        <v>-3.1409910279207289</v>
      </c>
      <c r="J524">
        <f t="shared" si="430"/>
        <v>15</v>
      </c>
      <c r="M524">
        <f t="shared" si="431"/>
        <v>9.7159794708771938E-4</v>
      </c>
      <c r="N524">
        <f t="shared" si="432"/>
        <v>-1.5707963250000001</v>
      </c>
      <c r="O524">
        <f t="shared" si="433"/>
        <v>755.25524305138401</v>
      </c>
      <c r="P524">
        <f t="shared" si="434"/>
        <v>1.5694722707206252</v>
      </c>
      <c r="Q524">
        <f t="shared" si="435"/>
        <v>589.43249312505941</v>
      </c>
      <c r="R524">
        <f t="shared" si="436"/>
        <v>1.569099778858744</v>
      </c>
      <c r="S524">
        <f t="shared" si="437"/>
        <v>0.11948546594051559</v>
      </c>
      <c r="T524">
        <f t="shared" si="438"/>
        <v>-1.451024707391348</v>
      </c>
      <c r="U524">
        <f t="shared" si="439"/>
        <v>7.6985959282539179E-2</v>
      </c>
      <c r="V524">
        <f t="shared" si="440"/>
        <v>-1.4937341167529157</v>
      </c>
      <c r="X524">
        <f t="shared" si="457"/>
        <v>-54.578887544800551</v>
      </c>
      <c r="Y524">
        <f t="shared" si="441"/>
        <v>-176.17481823466957</v>
      </c>
      <c r="Z524">
        <f t="shared" si="458"/>
        <v>3.8251817653304272</v>
      </c>
      <c r="AC524">
        <v>1</v>
      </c>
      <c r="AD524">
        <f t="shared" si="442"/>
        <v>755.25458102325001</v>
      </c>
      <c r="AE524">
        <f t="shared" si="443"/>
        <v>-0.6031409095659781</v>
      </c>
      <c r="AF524">
        <f t="shared" si="444"/>
        <v>4.6571597762130004E-2</v>
      </c>
      <c r="AG524">
        <f t="shared" si="421"/>
        <v>94.467749184215933</v>
      </c>
      <c r="AH524">
        <f t="shared" si="422"/>
        <v>-1244.9082048622211</v>
      </c>
      <c r="AJ524">
        <f t="shared" si="445"/>
        <v>22100</v>
      </c>
      <c r="AK524">
        <f t="shared" si="446"/>
        <v>183634.67322361981</v>
      </c>
      <c r="AL524">
        <v>1</v>
      </c>
      <c r="AM524">
        <f t="shared" si="447"/>
        <v>589.43164485088801</v>
      </c>
      <c r="AN524">
        <f t="shared" si="423"/>
        <v>311.60803787004852</v>
      </c>
      <c r="AO524">
        <f t="shared" si="424"/>
        <v>-36.965086880671102</v>
      </c>
      <c r="AQ524">
        <f t="shared" si="448"/>
        <v>1.0405826180455132E-3</v>
      </c>
      <c r="AR524">
        <f t="shared" si="449"/>
        <v>-3.2258061159410909</v>
      </c>
      <c r="AT524">
        <f t="shared" si="418"/>
        <v>-4015.7341995320303</v>
      </c>
      <c r="AU524">
        <f t="shared" si="419"/>
        <v>-306.03007291667461</v>
      </c>
      <c r="AV524">
        <f t="shared" si="459"/>
        <v>-3.0655319189881114</v>
      </c>
      <c r="AW524">
        <f t="shared" si="460"/>
        <v>283.21885765212687</v>
      </c>
      <c r="AX524">
        <f t="shared" si="461"/>
        <v>-2380.0821704434729</v>
      </c>
      <c r="AY524">
        <f t="shared" si="469"/>
        <v>-1.4523578457806035</v>
      </c>
      <c r="BA524">
        <f t="shared" si="450"/>
        <v>1.6802629464953802</v>
      </c>
      <c r="BB524">
        <f t="shared" si="462"/>
        <v>4.5075450068524683</v>
      </c>
      <c r="BC524">
        <f t="shared" si="463"/>
        <v>-1.6131740732075079</v>
      </c>
      <c r="BD524">
        <f t="shared" si="451"/>
        <v>-272.42806612033274</v>
      </c>
      <c r="BF524">
        <f t="shared" si="452"/>
        <v>-62.066162890916381</v>
      </c>
      <c r="BG524">
        <f t="shared" si="453"/>
        <v>-189.70756419894042</v>
      </c>
      <c r="BH524">
        <f t="shared" si="464"/>
        <v>-9.7075641989404176</v>
      </c>
      <c r="BI524">
        <f t="shared" si="465"/>
        <v>-9.7075641989404176</v>
      </c>
      <c r="BJ524">
        <f t="shared" si="454"/>
        <v>0</v>
      </c>
      <c r="BK524">
        <f t="shared" si="466"/>
        <v>0</v>
      </c>
      <c r="BM524">
        <f t="shared" si="467"/>
        <v>-66.573707897768855</v>
      </c>
      <c r="BN524">
        <f t="shared" si="455"/>
        <v>-97.279498078607688</v>
      </c>
      <c r="BQ524" s="47">
        <f t="shared" si="468"/>
        <v>21.409505807137602</v>
      </c>
    </row>
    <row r="525" spans="1:69">
      <c r="A525">
        <f t="shared" si="420"/>
        <v>1555000</v>
      </c>
      <c r="B525">
        <f t="shared" si="456"/>
        <v>1555</v>
      </c>
      <c r="C525">
        <f t="shared" si="425"/>
        <v>7.8799918988636097</v>
      </c>
      <c r="D525">
        <f t="shared" si="426"/>
        <v>1.4435495295956597</v>
      </c>
      <c r="F525">
        <f t="shared" si="427"/>
        <v>3.9561820868710852E-6</v>
      </c>
      <c r="G525">
        <f t="shared" si="428"/>
        <v>5.9968758798958628E-4</v>
      </c>
      <c r="H525">
        <f t="shared" si="429"/>
        <v>-3.1409929624120108</v>
      </c>
      <c r="J525">
        <f t="shared" si="430"/>
        <v>15</v>
      </c>
      <c r="M525">
        <f t="shared" si="431"/>
        <v>9.6847383793309658E-4</v>
      </c>
      <c r="N525">
        <f t="shared" si="432"/>
        <v>-1.5707963250000001</v>
      </c>
      <c r="O525">
        <f t="shared" si="433"/>
        <v>757.69154602275296</v>
      </c>
      <c r="P525">
        <f t="shared" si="434"/>
        <v>1.5694765281307033</v>
      </c>
      <c r="Q525">
        <f t="shared" si="435"/>
        <v>591.33388280023848</v>
      </c>
      <c r="R525">
        <f t="shared" si="436"/>
        <v>1.5691052339863851</v>
      </c>
      <c r="S525">
        <f t="shared" si="437"/>
        <v>0.1191067273528704</v>
      </c>
      <c r="T525">
        <f t="shared" si="438"/>
        <v>-1.4514061701128309</v>
      </c>
      <c r="U525">
        <f t="shared" si="439"/>
        <v>7.6739876126964313E-2</v>
      </c>
      <c r="V525">
        <f t="shared" si="440"/>
        <v>-1.4939809300643294</v>
      </c>
      <c r="X525">
        <f t="shared" si="457"/>
        <v>-54.634724256054774</v>
      </c>
      <c r="Y525">
        <f t="shared" si="441"/>
        <v>-176.18710600744376</v>
      </c>
      <c r="Z525">
        <f t="shared" si="458"/>
        <v>3.8128939925562406</v>
      </c>
      <c r="AC525">
        <v>1</v>
      </c>
      <c r="AD525">
        <f t="shared" si="442"/>
        <v>757.69088612332507</v>
      </c>
      <c r="AE525">
        <f t="shared" si="443"/>
        <v>-0.60703841742071774</v>
      </c>
      <c r="AF525">
        <f t="shared" si="444"/>
        <v>4.6721828722653007E-2</v>
      </c>
      <c r="AG525">
        <f t="shared" si="421"/>
        <v>93.864788124440423</v>
      </c>
      <c r="AH525">
        <f t="shared" si="422"/>
        <v>-1240.9516925967414</v>
      </c>
      <c r="AJ525">
        <f t="shared" si="445"/>
        <v>22100</v>
      </c>
      <c r="AK525">
        <f t="shared" si="446"/>
        <v>184227.04313724439</v>
      </c>
      <c r="AL525">
        <v>1</v>
      </c>
      <c r="AM525">
        <f t="shared" si="447"/>
        <v>591.33303725363282</v>
      </c>
      <c r="AN525">
        <f t="shared" si="423"/>
        <v>311.60763521990026</v>
      </c>
      <c r="AO525">
        <f t="shared" si="424"/>
        <v>-36.846228761331133</v>
      </c>
      <c r="AQ525">
        <f t="shared" si="448"/>
        <v>1.0339015277032364E-3</v>
      </c>
      <c r="AR525">
        <f t="shared" si="449"/>
        <v>-3.215433751157065</v>
      </c>
      <c r="AT525">
        <f t="shared" si="418"/>
        <v>-3990.10090898321</v>
      </c>
      <c r="AU525">
        <f t="shared" si="419"/>
        <v>-303.09902963131424</v>
      </c>
      <c r="AV525">
        <f t="shared" si="459"/>
        <v>-3.0657755121261405</v>
      </c>
      <c r="AW525">
        <f t="shared" si="460"/>
        <v>283.4041467693749</v>
      </c>
      <c r="AX525">
        <f t="shared" si="461"/>
        <v>-2372.472080491706</v>
      </c>
      <c r="AY525">
        <f t="shared" si="469"/>
        <v>-1.4519044933162228</v>
      </c>
      <c r="BA525">
        <f t="shared" si="450"/>
        <v>1.6747712139466959</v>
      </c>
      <c r="BB525">
        <f t="shared" si="462"/>
        <v>4.4791097521514187</v>
      </c>
      <c r="BC525">
        <f t="shared" si="463"/>
        <v>-1.6138710188099177</v>
      </c>
      <c r="BD525">
        <f t="shared" si="451"/>
        <v>-272.46799816194664</v>
      </c>
      <c r="BF525">
        <f t="shared" si="452"/>
        <v>-62.123024202933301</v>
      </c>
      <c r="BG525">
        <f t="shared" si="453"/>
        <v>-189.72434293565345</v>
      </c>
      <c r="BH525">
        <f t="shared" si="464"/>
        <v>-9.7243429356534534</v>
      </c>
      <c r="BI525">
        <f t="shared" si="465"/>
        <v>-9.7243429356534534</v>
      </c>
      <c r="BJ525">
        <f t="shared" si="454"/>
        <v>0</v>
      </c>
      <c r="BK525">
        <f t="shared" si="466"/>
        <v>0</v>
      </c>
      <c r="BM525">
        <f t="shared" si="467"/>
        <v>-66.602133955084724</v>
      </c>
      <c r="BN525">
        <f t="shared" si="455"/>
        <v>-97.2563447737068</v>
      </c>
      <c r="BQ525" s="47">
        <f t="shared" si="468"/>
        <v>21.381070552436555</v>
      </c>
    </row>
    <row r="526" spans="1:69">
      <c r="A526">
        <f t="shared" si="420"/>
        <v>1560000</v>
      </c>
      <c r="B526">
        <f t="shared" si="456"/>
        <v>1560</v>
      </c>
      <c r="C526">
        <f t="shared" si="425"/>
        <v>7.9049220863925678</v>
      </c>
      <c r="D526">
        <f t="shared" si="426"/>
        <v>1.4439530044804285</v>
      </c>
      <c r="F526">
        <f t="shared" si="427"/>
        <v>3.9308624897457682E-6</v>
      </c>
      <c r="G526">
        <f t="shared" si="428"/>
        <v>5.9776549743810177E-4</v>
      </c>
      <c r="H526">
        <f t="shared" si="429"/>
        <v>-3.1409948845025619</v>
      </c>
      <c r="J526">
        <f t="shared" si="430"/>
        <v>15</v>
      </c>
      <c r="M526">
        <f t="shared" si="431"/>
        <v>9.6536975511920826E-4</v>
      </c>
      <c r="N526">
        <f t="shared" si="432"/>
        <v>-1.5707963250000001</v>
      </c>
      <c r="O526">
        <f t="shared" si="433"/>
        <v>760.12784900776762</v>
      </c>
      <c r="P526">
        <f t="shared" si="434"/>
        <v>1.5694807582497383</v>
      </c>
      <c r="Q526">
        <f t="shared" si="435"/>
        <v>593.23527249290191</v>
      </c>
      <c r="R526">
        <f t="shared" si="436"/>
        <v>1.5691106541453592</v>
      </c>
      <c r="S526">
        <f t="shared" si="437"/>
        <v>0.11873036507550901</v>
      </c>
      <c r="T526">
        <f t="shared" si="438"/>
        <v>-1.4517852221407408</v>
      </c>
      <c r="U526">
        <f t="shared" si="439"/>
        <v>7.6495356537209624E-2</v>
      </c>
      <c r="V526">
        <f t="shared" si="440"/>
        <v>-1.4942261705267232</v>
      </c>
      <c r="X526">
        <f t="shared" si="457"/>
        <v>-54.690382429979429</v>
      </c>
      <c r="Y526">
        <f t="shared" si="441"/>
        <v>-176.19931513177241</v>
      </c>
      <c r="Z526">
        <f t="shared" si="458"/>
        <v>3.8006848682275916</v>
      </c>
      <c r="AC526">
        <v>1</v>
      </c>
      <c r="AD526">
        <f t="shared" si="442"/>
        <v>760.12719122340013</v>
      </c>
      <c r="AE526">
        <f t="shared" si="443"/>
        <v>-0.61094847763569804</v>
      </c>
      <c r="AF526">
        <f t="shared" si="444"/>
        <v>4.6872059683176003E-2</v>
      </c>
      <c r="AG526">
        <f t="shared" si="421"/>
        <v>93.267570236771377</v>
      </c>
      <c r="AH526">
        <f t="shared" si="422"/>
        <v>-1237.0201019723406</v>
      </c>
      <c r="AJ526">
        <f t="shared" si="445"/>
        <v>22100</v>
      </c>
      <c r="AK526">
        <f t="shared" si="446"/>
        <v>184819.41305086896</v>
      </c>
      <c r="AL526">
        <v>1</v>
      </c>
      <c r="AM526">
        <f t="shared" si="447"/>
        <v>593.23442965637764</v>
      </c>
      <c r="AN526">
        <f t="shared" si="423"/>
        <v>311.60723643516559</v>
      </c>
      <c r="AO526">
        <f t="shared" si="424"/>
        <v>-36.728132546496745</v>
      </c>
      <c r="AQ526">
        <f t="shared" si="448"/>
        <v>1.0272845755994642E-3</v>
      </c>
      <c r="AR526">
        <f t="shared" si="449"/>
        <v>-3.2051278758703283</v>
      </c>
      <c r="AT526">
        <f t="shared" si="418"/>
        <v>-3964.7117995071972</v>
      </c>
      <c r="AU526">
        <f t="shared" si="419"/>
        <v>-300.20526095103236</v>
      </c>
      <c r="AV526">
        <f t="shared" si="459"/>
        <v>-3.0660175530572404</v>
      </c>
      <c r="AW526">
        <f t="shared" si="460"/>
        <v>283.58761382923706</v>
      </c>
      <c r="AX526">
        <f t="shared" si="461"/>
        <v>-2364.9103659022371</v>
      </c>
      <c r="AY526">
        <f t="shared" si="469"/>
        <v>-1.4514514504004044</v>
      </c>
      <c r="BA526">
        <f t="shared" si="450"/>
        <v>1.6693143878802463</v>
      </c>
      <c r="BB526">
        <f t="shared" si="462"/>
        <v>4.4507627319494691</v>
      </c>
      <c r="BC526">
        <f t="shared" si="463"/>
        <v>-1.6145661026568361</v>
      </c>
      <c r="BD526">
        <f t="shared" si="451"/>
        <v>-272.5078235328283</v>
      </c>
      <c r="BF526">
        <f t="shared" si="452"/>
        <v>-62.179703182133011</v>
      </c>
      <c r="BG526">
        <f t="shared" si="453"/>
        <v>-189.74116102614846</v>
      </c>
      <c r="BH526">
        <f t="shared" si="464"/>
        <v>-9.7411610261484611</v>
      </c>
      <c r="BI526">
        <f t="shared" si="465"/>
        <v>-9.7411610261484611</v>
      </c>
      <c r="BJ526">
        <f t="shared" si="454"/>
        <v>0</v>
      </c>
      <c r="BK526">
        <f t="shared" si="466"/>
        <v>0</v>
      </c>
      <c r="BM526">
        <f t="shared" si="467"/>
        <v>-66.630465914082492</v>
      </c>
      <c r="BN526">
        <f t="shared" si="455"/>
        <v>-97.23333749332015</v>
      </c>
      <c r="BQ526" s="47">
        <f t="shared" si="468"/>
        <v>21.352723532234602</v>
      </c>
    </row>
    <row r="527" spans="1:69">
      <c r="A527">
        <f t="shared" si="420"/>
        <v>1565000</v>
      </c>
      <c r="B527">
        <f t="shared" si="456"/>
        <v>1565</v>
      </c>
      <c r="C527">
        <f t="shared" si="425"/>
        <v>7.9298535526879927</v>
      </c>
      <c r="D527">
        <f t="shared" si="426"/>
        <v>1.4443539423793657</v>
      </c>
      <c r="F527">
        <f t="shared" si="427"/>
        <v>3.9057851858193196E-6</v>
      </c>
      <c r="G527">
        <f t="shared" si="428"/>
        <v>5.9585568875797628E-4</v>
      </c>
      <c r="H527">
        <f t="shared" si="429"/>
        <v>-3.140996794311242</v>
      </c>
      <c r="J527">
        <f t="shared" si="430"/>
        <v>15</v>
      </c>
      <c r="M527">
        <f t="shared" si="431"/>
        <v>9.6228550670029718E-4</v>
      </c>
      <c r="N527">
        <f t="shared" si="432"/>
        <v>-1.5707963250000001</v>
      </c>
      <c r="O527">
        <f t="shared" si="433"/>
        <v>762.56415200629681</v>
      </c>
      <c r="P527">
        <f t="shared" si="434"/>
        <v>1.5694849613393054</v>
      </c>
      <c r="Q527">
        <f t="shared" si="435"/>
        <v>595.13666220288201</v>
      </c>
      <c r="R527">
        <f t="shared" si="436"/>
        <v>1.5691160396708275</v>
      </c>
      <c r="S527">
        <f t="shared" si="437"/>
        <v>0.11835635697579855</v>
      </c>
      <c r="T527">
        <f t="shared" si="438"/>
        <v>-1.4521618861471433</v>
      </c>
      <c r="U527">
        <f t="shared" si="439"/>
        <v>7.6252385702394926E-2</v>
      </c>
      <c r="V527">
        <f t="shared" si="440"/>
        <v>-1.4944698530978937</v>
      </c>
      <c r="X527">
        <f t="shared" si="457"/>
        <v>-54.745863202343671</v>
      </c>
      <c r="Y527">
        <f t="shared" si="441"/>
        <v>-176.21144635986477</v>
      </c>
      <c r="Z527">
        <f t="shared" si="458"/>
        <v>3.788553640135234</v>
      </c>
      <c r="AC527">
        <v>1</v>
      </c>
      <c r="AD527">
        <f t="shared" si="442"/>
        <v>762.56349632347508</v>
      </c>
      <c r="AE527">
        <f t="shared" si="443"/>
        <v>-0.61487109021091901</v>
      </c>
      <c r="AF527">
        <f t="shared" si="444"/>
        <v>4.7022290643699005E-2</v>
      </c>
      <c r="AG527">
        <f t="shared" si="421"/>
        <v>92.676022956374723</v>
      </c>
      <c r="AH527">
        <f t="shared" si="422"/>
        <v>-1233.1131996728473</v>
      </c>
      <c r="AJ527">
        <f t="shared" si="445"/>
        <v>22100</v>
      </c>
      <c r="AK527">
        <f t="shared" si="446"/>
        <v>185411.78296449356</v>
      </c>
      <c r="AL527">
        <v>1</v>
      </c>
      <c r="AM527">
        <f t="shared" si="447"/>
        <v>595.13582205912246</v>
      </c>
      <c r="AN527">
        <f t="shared" si="423"/>
        <v>311.6068414665254</v>
      </c>
      <c r="AO527">
        <f t="shared" si="424"/>
        <v>-36.610790933651707</v>
      </c>
      <c r="AQ527">
        <f t="shared" si="448"/>
        <v>1.0207309433870977E-3</v>
      </c>
      <c r="AR527">
        <f t="shared" si="449"/>
        <v>-3.1948878528016156</v>
      </c>
      <c r="AT527">
        <f t="shared" si="418"/>
        <v>-3939.5637854797715</v>
      </c>
      <c r="AU527">
        <f t="shared" si="419"/>
        <v>-297.34817678889044</v>
      </c>
      <c r="AV527">
        <f t="shared" si="459"/>
        <v>-3.0662580565413604</v>
      </c>
      <c r="AW527">
        <f t="shared" si="460"/>
        <v>283.76928276184168</v>
      </c>
      <c r="AX527">
        <f t="shared" si="461"/>
        <v>-2357.3965681409754</v>
      </c>
      <c r="AY527">
        <f t="shared" si="469"/>
        <v>-1.4509987144326497</v>
      </c>
      <c r="BA527">
        <f t="shared" si="450"/>
        <v>1.6638921341368782</v>
      </c>
      <c r="BB527">
        <f t="shared" si="462"/>
        <v>4.422503373378416</v>
      </c>
      <c r="BC527">
        <f t="shared" si="463"/>
        <v>-1.6152593421087107</v>
      </c>
      <c r="BD527">
        <f t="shared" si="451"/>
        <v>-272.54754322765808</v>
      </c>
      <c r="BF527">
        <f t="shared" si="452"/>
        <v>-62.236201030195922</v>
      </c>
      <c r="BG527">
        <f t="shared" si="453"/>
        <v>-189.7580180954732</v>
      </c>
      <c r="BH527">
        <f t="shared" si="464"/>
        <v>-9.7580180954732043</v>
      </c>
      <c r="BI527">
        <f t="shared" si="465"/>
        <v>-9.7580180954732043</v>
      </c>
      <c r="BJ527">
        <f t="shared" si="454"/>
        <v>0</v>
      </c>
      <c r="BK527">
        <f t="shared" si="466"/>
        <v>0</v>
      </c>
      <c r="BM527">
        <f t="shared" si="467"/>
        <v>-66.658704403574347</v>
      </c>
      <c r="BN527">
        <f t="shared" si="455"/>
        <v>-97.210474867815122</v>
      </c>
      <c r="BQ527" s="47">
        <f t="shared" si="468"/>
        <v>21.32446417366355</v>
      </c>
    </row>
    <row r="528" spans="1:69">
      <c r="A528">
        <f t="shared" si="420"/>
        <v>1570000</v>
      </c>
      <c r="B528">
        <f t="shared" si="456"/>
        <v>1570</v>
      </c>
      <c r="C528">
        <f t="shared" si="425"/>
        <v>7.9547862857263612</v>
      </c>
      <c r="D528">
        <f t="shared" si="426"/>
        <v>1.4447523670180269</v>
      </c>
      <c r="F528">
        <f t="shared" si="427"/>
        <v>3.8809470934548474E-6</v>
      </c>
      <c r="G528">
        <f t="shared" si="428"/>
        <v>5.9395804460468172E-4</v>
      </c>
      <c r="H528">
        <f t="shared" si="429"/>
        <v>-3.1409986919553954</v>
      </c>
      <c r="J528">
        <f t="shared" si="430"/>
        <v>15</v>
      </c>
      <c r="M528">
        <f t="shared" si="431"/>
        <v>9.5922090317577396E-4</v>
      </c>
      <c r="N528">
        <f t="shared" si="432"/>
        <v>-1.5707963250000001</v>
      </c>
      <c r="O528">
        <f t="shared" si="433"/>
        <v>765.00045501821182</v>
      </c>
      <c r="P528">
        <f t="shared" si="434"/>
        <v>1.5694891376576472</v>
      </c>
      <c r="Q528">
        <f t="shared" si="435"/>
        <v>597.03805193001347</v>
      </c>
      <c r="R528">
        <f t="shared" si="436"/>
        <v>1.5691213908936825</v>
      </c>
      <c r="S528">
        <f t="shared" si="437"/>
        <v>0.11798468119306676</v>
      </c>
      <c r="T528">
        <f t="shared" si="438"/>
        <v>-1.4525361845220441</v>
      </c>
      <c r="U528">
        <f t="shared" si="439"/>
        <v>7.6010948997558656E-2</v>
      </c>
      <c r="V528">
        <f t="shared" si="440"/>
        <v>-1.4947119925469399</v>
      </c>
      <c r="X528">
        <f t="shared" si="457"/>
        <v>-54.801167698136041</v>
      </c>
      <c r="Y528">
        <f t="shared" si="441"/>
        <v>-176.22350043437493</v>
      </c>
      <c r="Z528">
        <f t="shared" si="458"/>
        <v>3.7764995656250733</v>
      </c>
      <c r="AC528">
        <v>1</v>
      </c>
      <c r="AD528">
        <f t="shared" si="442"/>
        <v>764.99980142355002</v>
      </c>
      <c r="AE528">
        <f t="shared" si="443"/>
        <v>-0.61880625514638066</v>
      </c>
      <c r="AF528">
        <f t="shared" si="444"/>
        <v>4.7172521604222008E-2</v>
      </c>
      <c r="AG528">
        <f t="shared" si="421"/>
        <v>92.090074858637337</v>
      </c>
      <c r="AH528">
        <f t="shared" si="422"/>
        <v>-1229.2307552673508</v>
      </c>
      <c r="AJ528">
        <f t="shared" si="445"/>
        <v>22100</v>
      </c>
      <c r="AK528">
        <f t="shared" si="446"/>
        <v>186004.15287811813</v>
      </c>
      <c r="AL528">
        <v>1</v>
      </c>
      <c r="AM528">
        <f t="shared" si="447"/>
        <v>597.03721446186717</v>
      </c>
      <c r="AN528">
        <f t="shared" si="423"/>
        <v>311.60645026544466</v>
      </c>
      <c r="AO528">
        <f t="shared" si="424"/>
        <v>-36.494196713304177</v>
      </c>
      <c r="AQ528">
        <f t="shared" si="448"/>
        <v>1.0142398257292561E-3</v>
      </c>
      <c r="AR528">
        <f t="shared" si="449"/>
        <v>-3.1847130527898644</v>
      </c>
      <c r="AT528">
        <f t="shared" si="418"/>
        <v>-3914.6538297691995</v>
      </c>
      <c r="AU528">
        <f t="shared" si="419"/>
        <v>-294.52719822170144</v>
      </c>
      <c r="AV528">
        <f t="shared" si="459"/>
        <v>-3.0664970371522728</v>
      </c>
      <c r="AW528">
        <f t="shared" si="460"/>
        <v>283.94917710402228</v>
      </c>
      <c r="AX528">
        <f t="shared" si="461"/>
        <v>-2349.9302344347502</v>
      </c>
      <c r="AY528">
        <f t="shared" si="469"/>
        <v>-1.4505462828503768</v>
      </c>
      <c r="BA528">
        <f t="shared" si="450"/>
        <v>1.6585041228100459</v>
      </c>
      <c r="BB528">
        <f t="shared" si="462"/>
        <v>4.3943311090476458</v>
      </c>
      <c r="BC528">
        <f t="shared" si="463"/>
        <v>-1.6159507543018961</v>
      </c>
      <c r="BD528">
        <f t="shared" si="451"/>
        <v>-272.58715822827673</v>
      </c>
      <c r="BF528">
        <f t="shared" si="452"/>
        <v>-62.29251893697888</v>
      </c>
      <c r="BG528">
        <f t="shared" si="453"/>
        <v>-189.7749137728176</v>
      </c>
      <c r="BH528">
        <f t="shared" si="464"/>
        <v>-9.7749137728175981</v>
      </c>
      <c r="BI528">
        <f t="shared" si="465"/>
        <v>-9.7749137728175981</v>
      </c>
      <c r="BJ528">
        <f t="shared" si="454"/>
        <v>0</v>
      </c>
      <c r="BK528">
        <f t="shared" si="466"/>
        <v>0</v>
      </c>
      <c r="BM528">
        <f t="shared" si="467"/>
        <v>-66.686850046026521</v>
      </c>
      <c r="BN528">
        <f t="shared" si="455"/>
        <v>-97.187755544540849</v>
      </c>
      <c r="BQ528" s="47">
        <f t="shared" si="468"/>
        <v>21.29629190933278</v>
      </c>
    </row>
    <row r="529" spans="1:69">
      <c r="A529">
        <f t="shared" si="420"/>
        <v>1575000</v>
      </c>
      <c r="B529">
        <f t="shared" si="456"/>
        <v>1575</v>
      </c>
      <c r="C529">
        <f t="shared" si="425"/>
        <v>7.9797202736338111</v>
      </c>
      <c r="D529">
        <f t="shared" si="426"/>
        <v>1.4451483018286448</v>
      </c>
      <c r="F529">
        <f t="shared" si="427"/>
        <v>3.8563451798529295E-6</v>
      </c>
      <c r="G529">
        <f t="shared" si="428"/>
        <v>5.9207244912380793E-4</v>
      </c>
      <c r="H529">
        <f t="shared" si="429"/>
        <v>-3.1410005775508765</v>
      </c>
      <c r="J529">
        <f t="shared" si="430"/>
        <v>15</v>
      </c>
      <c r="M529">
        <f t="shared" si="431"/>
        <v>9.5617575745140636E-4</v>
      </c>
      <c r="N529">
        <f t="shared" si="432"/>
        <v>-1.5707963250000001</v>
      </c>
      <c r="O529">
        <f t="shared" si="433"/>
        <v>767.43675804338488</v>
      </c>
      <c r="P529">
        <f t="shared" si="434"/>
        <v>1.5694932874597274</v>
      </c>
      <c r="Q529">
        <f t="shared" si="435"/>
        <v>598.93944167413292</v>
      </c>
      <c r="R529">
        <f t="shared" si="436"/>
        <v>1.5691267081406144</v>
      </c>
      <c r="S529">
        <f t="shared" si="437"/>
        <v>0.11761531613446981</v>
      </c>
      <c r="T529">
        <f t="shared" si="438"/>
        <v>-1.452908139377741</v>
      </c>
      <c r="U529">
        <f t="shared" si="439"/>
        <v>7.5771031980758449E-2</v>
      </c>
      <c r="V529">
        <f t="shared" si="440"/>
        <v>-1.4949526034572242</v>
      </c>
      <c r="X529">
        <f t="shared" si="457"/>
        <v>-54.856297031700166</v>
      </c>
      <c r="Y529">
        <f t="shared" si="441"/>
        <v>-176.23547808855292</v>
      </c>
      <c r="Z529">
        <f t="shared" si="458"/>
        <v>3.7645219114470763</v>
      </c>
      <c r="AC529">
        <v>1</v>
      </c>
      <c r="AD529">
        <f t="shared" si="442"/>
        <v>767.43610652362509</v>
      </c>
      <c r="AE529">
        <f t="shared" si="443"/>
        <v>-0.62275397244208308</v>
      </c>
      <c r="AF529">
        <f t="shared" si="444"/>
        <v>4.7322752564745003E-2</v>
      </c>
      <c r="AG529">
        <f t="shared" si="421"/>
        <v>91.509655637777044</v>
      </c>
      <c r="AH529">
        <f t="shared" si="422"/>
        <v>-1225.3725411660273</v>
      </c>
      <c r="AJ529">
        <f t="shared" si="445"/>
        <v>22100</v>
      </c>
      <c r="AK529">
        <f t="shared" si="446"/>
        <v>186596.5227917427</v>
      </c>
      <c r="AL529">
        <v>1</v>
      </c>
      <c r="AM529">
        <f t="shared" si="447"/>
        <v>598.93860686461198</v>
      </c>
      <c r="AN529">
        <f t="shared" si="423"/>
        <v>311.60606278415764</v>
      </c>
      <c r="AO529">
        <f t="shared" si="424"/>
        <v>-36.378342767510119</v>
      </c>
      <c r="AQ529">
        <f t="shared" si="448"/>
        <v>1.007810430051859E-3</v>
      </c>
      <c r="AR529">
        <f t="shared" si="449"/>
        <v>-3.1746028546633553</v>
      </c>
      <c r="AT529">
        <f t="shared" si="418"/>
        <v>-3889.978942826358</v>
      </c>
      <c r="AU529">
        <f t="shared" si="419"/>
        <v>-291.7417572446339</v>
      </c>
      <c r="AV529">
        <f t="shared" si="459"/>
        <v>-3.0667345092804945</v>
      </c>
      <c r="AW529">
        <f t="shared" si="460"/>
        <v>284.12732000707888</v>
      </c>
      <c r="AX529">
        <f t="shared" si="461"/>
        <v>-2342.5109176813694</v>
      </c>
      <c r="AY529">
        <f t="shared" si="469"/>
        <v>-1.4500941531282572</v>
      </c>
      <c r="BA529">
        <f t="shared" si="450"/>
        <v>1.6531500281783955</v>
      </c>
      <c r="BB529">
        <f t="shared" si="462"/>
        <v>4.3662453769746339</v>
      </c>
      <c r="BC529">
        <f t="shared" si="463"/>
        <v>-1.6166403561522373</v>
      </c>
      <c r="BD529">
        <f t="shared" si="451"/>
        <v>-272.62666950389087</v>
      </c>
      <c r="BF529">
        <f t="shared" si="452"/>
        <v>-62.348658080670475</v>
      </c>
      <c r="BG529">
        <f t="shared" si="453"/>
        <v>-189.79184769145814</v>
      </c>
      <c r="BH529">
        <f t="shared" si="464"/>
        <v>-9.7918476914581447</v>
      </c>
      <c r="BI529">
        <f t="shared" si="465"/>
        <v>-9.7918476914581447</v>
      </c>
      <c r="BJ529">
        <f t="shared" si="454"/>
        <v>0</v>
      </c>
      <c r="BK529">
        <f t="shared" si="466"/>
        <v>0</v>
      </c>
      <c r="BM529">
        <f t="shared" si="467"/>
        <v>-66.714903457645107</v>
      </c>
      <c r="BN529">
        <f t="shared" si="455"/>
        <v>-97.165178187567264</v>
      </c>
      <c r="BQ529" s="47">
        <f t="shared" si="468"/>
        <v>21.268206177259771</v>
      </c>
    </row>
    <row r="530" spans="1:69">
      <c r="A530">
        <f t="shared" si="420"/>
        <v>1580000</v>
      </c>
      <c r="B530">
        <f t="shared" si="456"/>
        <v>1580</v>
      </c>
      <c r="C530">
        <f t="shared" si="425"/>
        <v>8.0046555046838339</v>
      </c>
      <c r="D530">
        <f t="shared" si="426"/>
        <v>1.4455417699546222</v>
      </c>
      <c r="F530">
        <f t="shared" si="427"/>
        <v>3.8319764601257874E-6</v>
      </c>
      <c r="G530">
        <f t="shared" si="428"/>
        <v>5.9019878792748487E-4</v>
      </c>
      <c r="H530">
        <f t="shared" si="429"/>
        <v>-3.1410024512120729</v>
      </c>
      <c r="J530">
        <f t="shared" si="430"/>
        <v>15</v>
      </c>
      <c r="M530">
        <f t="shared" si="431"/>
        <v>9.5314988480124381E-4</v>
      </c>
      <c r="N530">
        <f t="shared" si="432"/>
        <v>-1.5707963250000001</v>
      </c>
      <c r="O530">
        <f t="shared" si="433"/>
        <v>769.87306108169025</v>
      </c>
      <c r="P530">
        <f t="shared" si="434"/>
        <v>1.5694974109972817</v>
      </c>
      <c r="Q530">
        <f t="shared" si="435"/>
        <v>600.84083143507917</v>
      </c>
      <c r="R530">
        <f t="shared" si="436"/>
        <v>1.5691319917341782</v>
      </c>
      <c r="S530">
        <f t="shared" si="437"/>
        <v>0.11724824047093464</v>
      </c>
      <c r="T530">
        <f t="shared" si="438"/>
        <v>-1.4532777725530952</v>
      </c>
      <c r="U530">
        <f t="shared" si="439"/>
        <v>7.5532620390225694E-2</v>
      </c>
      <c r="V530">
        <f t="shared" si="440"/>
        <v>-1.4951917002292783</v>
      </c>
      <c r="X530">
        <f t="shared" si="457"/>
        <v>-54.911252306868363</v>
      </c>
      <c r="Y530">
        <f t="shared" si="441"/>
        <v>-176.24738004639323</v>
      </c>
      <c r="Z530">
        <f t="shared" si="458"/>
        <v>3.7526199536067679</v>
      </c>
      <c r="AC530">
        <v>1</v>
      </c>
      <c r="AD530">
        <f t="shared" si="442"/>
        <v>769.87241162370003</v>
      </c>
      <c r="AE530">
        <f t="shared" si="443"/>
        <v>-0.62671424209802618</v>
      </c>
      <c r="AF530">
        <f t="shared" si="444"/>
        <v>4.7472983525268006E-2</v>
      </c>
      <c r="AG530">
        <f t="shared" si="421"/>
        <v>90.934696085917963</v>
      </c>
      <c r="AH530">
        <f t="shared" si="422"/>
        <v>-1221.5383325767714</v>
      </c>
      <c r="AJ530">
        <f t="shared" si="445"/>
        <v>22100</v>
      </c>
      <c r="AK530">
        <f t="shared" si="446"/>
        <v>187188.8927053673</v>
      </c>
      <c r="AL530">
        <v>1</v>
      </c>
      <c r="AM530">
        <f t="shared" si="447"/>
        <v>600.8399992673568</v>
      </c>
      <c r="AN530">
        <f t="shared" si="423"/>
        <v>311.60567897565329</v>
      </c>
      <c r="AO530">
        <f t="shared" si="424"/>
        <v>-36.263222068424788</v>
      </c>
      <c r="AQ530">
        <f t="shared" si="448"/>
        <v>1.0014419763016767E-3</v>
      </c>
      <c r="AR530">
        <f t="shared" si="449"/>
        <v>-3.1645566451132985</v>
      </c>
      <c r="AT530">
        <f t="shared" si="418"/>
        <v>-3865.5361817946778</v>
      </c>
      <c r="AU530">
        <f t="shared" si="419"/>
        <v>-288.99129653195388</v>
      </c>
      <c r="AV530">
        <f t="shared" si="459"/>
        <v>-3.0669704871361509</v>
      </c>
      <c r="AW530">
        <f t="shared" si="460"/>
        <v>284.30373424435942</v>
      </c>
      <c r="AX530">
        <f t="shared" si="461"/>
        <v>-2335.138176361349</v>
      </c>
      <c r="AY530">
        <f t="shared" si="469"/>
        <v>-1.4496423227775659</v>
      </c>
      <c r="BA530">
        <f t="shared" si="450"/>
        <v>1.6478295286396414</v>
      </c>
      <c r="BB530">
        <f t="shared" si="462"/>
        <v>4.3382456205166111</v>
      </c>
      <c r="BC530">
        <f t="shared" si="463"/>
        <v>-1.6173281643585851</v>
      </c>
      <c r="BD530">
        <f t="shared" si="451"/>
        <v>-272.66607801127407</v>
      </c>
      <c r="BF530">
        <f t="shared" si="452"/>
        <v>-62.404619627943639</v>
      </c>
      <c r="BG530">
        <f t="shared" si="453"/>
        <v>-189.80881948870308</v>
      </c>
      <c r="BH530">
        <f t="shared" si="464"/>
        <v>-9.8088194887030795</v>
      </c>
      <c r="BI530">
        <f t="shared" si="465"/>
        <v>-9.8088194887030795</v>
      </c>
      <c r="BJ530">
        <f t="shared" si="454"/>
        <v>0</v>
      </c>
      <c r="BK530">
        <f t="shared" si="466"/>
        <v>0</v>
      </c>
      <c r="BM530">
        <f t="shared" si="467"/>
        <v>-66.742865248460248</v>
      </c>
      <c r="BN530">
        <f t="shared" si="455"/>
        <v>-97.142741477428999</v>
      </c>
      <c r="BQ530" s="47">
        <f t="shared" si="468"/>
        <v>21.240206420801748</v>
      </c>
    </row>
    <row r="531" spans="1:69">
      <c r="A531">
        <f t="shared" si="420"/>
        <v>1585000</v>
      </c>
      <c r="B531">
        <f t="shared" si="456"/>
        <v>1585</v>
      </c>
      <c r="C531">
        <f t="shared" si="425"/>
        <v>8.0295919672949978</v>
      </c>
      <c r="D531">
        <f t="shared" si="426"/>
        <v>1.4459327942549447</v>
      </c>
      <c r="F531">
        <f t="shared" si="427"/>
        <v>3.8078379963918615E-6</v>
      </c>
      <c r="G531">
        <f t="shared" si="428"/>
        <v>5.8833694807124896E-4</v>
      </c>
      <c r="H531">
        <f t="shared" si="429"/>
        <v>-3.141004313051929</v>
      </c>
      <c r="J531">
        <f t="shared" si="430"/>
        <v>15</v>
      </c>
      <c r="M531">
        <f t="shared" si="431"/>
        <v>9.5014310283026186E-4</v>
      </c>
      <c r="N531">
        <f t="shared" si="432"/>
        <v>-1.5707963250000001</v>
      </c>
      <c r="O531">
        <f t="shared" si="433"/>
        <v>772.30936413300356</v>
      </c>
      <c r="P531">
        <f t="shared" si="434"/>
        <v>1.5695015085188702</v>
      </c>
      <c r="Q531">
        <f t="shared" si="435"/>
        <v>602.74222121269281</v>
      </c>
      <c r="R531">
        <f t="shared" si="436"/>
        <v>1.5691372419928586</v>
      </c>
      <c r="S531">
        <f t="shared" si="437"/>
        <v>0.11688343313317411</v>
      </c>
      <c r="T531">
        <f t="shared" si="438"/>
        <v>-1.4536451056177255</v>
      </c>
      <c r="U531">
        <f t="shared" si="439"/>
        <v>7.5295700141572844E-2</v>
      </c>
      <c r="V531">
        <f t="shared" si="440"/>
        <v>-1.4954292970836516</v>
      </c>
      <c r="X531">
        <f t="shared" si="457"/>
        <v>-54.966034617093101</v>
      </c>
      <c r="Y531">
        <f t="shared" si="441"/>
        <v>-176.25920702277992</v>
      </c>
      <c r="Z531">
        <f t="shared" si="458"/>
        <v>3.7407929772200816</v>
      </c>
      <c r="AC531">
        <v>1</v>
      </c>
      <c r="AD531">
        <f t="shared" si="442"/>
        <v>772.30871672377509</v>
      </c>
      <c r="AE531">
        <f t="shared" si="443"/>
        <v>-0.63068706411421005</v>
      </c>
      <c r="AF531">
        <f t="shared" si="444"/>
        <v>4.7623214485791009E-2</v>
      </c>
      <c r="AG531">
        <f t="shared" si="421"/>
        <v>90.365128072620422</v>
      </c>
      <c r="AH531">
        <f t="shared" si="422"/>
        <v>-1217.7279074626144</v>
      </c>
      <c r="AJ531">
        <f t="shared" si="445"/>
        <v>22100</v>
      </c>
      <c r="AK531">
        <f t="shared" si="446"/>
        <v>187781.26261899187</v>
      </c>
      <c r="AL531">
        <v>1</v>
      </c>
      <c r="AM531">
        <f t="shared" si="447"/>
        <v>602.74139167010162</v>
      </c>
      <c r="AN531">
        <f t="shared" si="423"/>
        <v>311.60529879366044</v>
      </c>
      <c r="AO531">
        <f t="shared" si="424"/>
        <v>-36.148827676881659</v>
      </c>
      <c r="AQ531">
        <f t="shared" si="448"/>
        <v>9.9513369670971991E-4</v>
      </c>
      <c r="AR531">
        <f t="shared" si="449"/>
        <v>-3.1545738185698116</v>
      </c>
      <c r="AT531">
        <f t="shared" si="418"/>
        <v>-3841.3226496394132</v>
      </c>
      <c r="AU531">
        <f t="shared" si="419"/>
        <v>-286.27526920373617</v>
      </c>
      <c r="AV531">
        <f t="shared" si="459"/>
        <v>-3.0672049847517893</v>
      </c>
      <c r="AW531">
        <f t="shared" si="460"/>
        <v>284.47844221866728</v>
      </c>
      <c r="AX531">
        <f t="shared" si="461"/>
        <v>-2327.8115744512884</v>
      </c>
      <c r="AY531">
        <f t="shared" si="469"/>
        <v>-1.4491907893455476</v>
      </c>
      <c r="BA531">
        <f t="shared" si="450"/>
        <v>1.642542306645679</v>
      </c>
      <c r="BB531">
        <f t="shared" si="462"/>
        <v>4.310331288303245</v>
      </c>
      <c r="BC531">
        <f t="shared" si="463"/>
        <v>-1.6180141954062417</v>
      </c>
      <c r="BD531">
        <f t="shared" si="451"/>
        <v>-272.70538469496466</v>
      </c>
      <c r="BF531">
        <f t="shared" si="452"/>
        <v>-62.46040473410585</v>
      </c>
      <c r="BG531">
        <f t="shared" si="453"/>
        <v>-189.82582880583854</v>
      </c>
      <c r="BH531">
        <f t="shared" si="464"/>
        <v>-9.8258288058385403</v>
      </c>
      <c r="BI531">
        <f t="shared" si="465"/>
        <v>-9.8258288058385403</v>
      </c>
      <c r="BJ531">
        <f t="shared" si="454"/>
        <v>0</v>
      </c>
      <c r="BK531">
        <f t="shared" si="466"/>
        <v>0</v>
      </c>
      <c r="BM531">
        <f t="shared" si="467"/>
        <v>-66.770736022409096</v>
      </c>
      <c r="BN531">
        <f t="shared" si="455"/>
        <v>-97.120444110873876</v>
      </c>
      <c r="BQ531" s="47">
        <f t="shared" si="468"/>
        <v>21.212292088588384</v>
      </c>
    </row>
    <row r="532" spans="1:69">
      <c r="A532">
        <f t="shared" si="420"/>
        <v>1590000</v>
      </c>
      <c r="B532">
        <f t="shared" si="456"/>
        <v>1590</v>
      </c>
      <c r="C532">
        <f t="shared" si="425"/>
        <v>8.0545296500287336</v>
      </c>
      <c r="D532">
        <f t="shared" si="426"/>
        <v>1.4463213973085129</v>
      </c>
      <c r="F532">
        <f t="shared" si="427"/>
        <v>3.7839268968902973E-6</v>
      </c>
      <c r="G532">
        <f t="shared" si="428"/>
        <v>5.8648681803134882E-4</v>
      </c>
      <c r="H532">
        <f t="shared" si="429"/>
        <v>-3.1410061631819688</v>
      </c>
      <c r="J532">
        <f t="shared" si="430"/>
        <v>15</v>
      </c>
      <c r="M532">
        <f t="shared" si="431"/>
        <v>9.4715523143771392E-4</v>
      </c>
      <c r="N532">
        <f t="shared" si="432"/>
        <v>-1.5707963250000001</v>
      </c>
      <c r="O532">
        <f t="shared" si="433"/>
        <v>774.74566719720224</v>
      </c>
      <c r="P532">
        <f t="shared" si="434"/>
        <v>1.5695055802699256</v>
      </c>
      <c r="Q532">
        <f t="shared" si="435"/>
        <v>604.64361100681674</v>
      </c>
      <c r="R532">
        <f t="shared" si="436"/>
        <v>1.5691424592311352</v>
      </c>
      <c r="S532">
        <f t="shared" si="437"/>
        <v>0.11652087330777386</v>
      </c>
      <c r="T532">
        <f t="shared" si="438"/>
        <v>-1.4540101598761239</v>
      </c>
      <c r="U532">
        <f t="shared" si="439"/>
        <v>7.5060257325052296E-2</v>
      </c>
      <c r="V532">
        <f t="shared" si="440"/>
        <v>-1.4956654080637108</v>
      </c>
      <c r="X532">
        <f t="shared" si="457"/>
        <v>-55.020645045576501</v>
      </c>
      <c r="Y532">
        <f t="shared" si="441"/>
        <v>-176.27095972362974</v>
      </c>
      <c r="Z532">
        <f t="shared" si="458"/>
        <v>3.7290402763702559</v>
      </c>
      <c r="AC532">
        <v>1</v>
      </c>
      <c r="AD532">
        <f t="shared" si="442"/>
        <v>774.74502182385004</v>
      </c>
      <c r="AE532">
        <f t="shared" si="443"/>
        <v>-0.63467243849063448</v>
      </c>
      <c r="AF532">
        <f t="shared" si="444"/>
        <v>4.7773445446314004E-2</v>
      </c>
      <c r="AG532">
        <f t="shared" si="421"/>
        <v>89.800884524853771</v>
      </c>
      <c r="AH532">
        <f t="shared" si="422"/>
        <v>-1213.9410464999107</v>
      </c>
      <c r="AJ532">
        <f t="shared" si="445"/>
        <v>22100</v>
      </c>
      <c r="AK532">
        <f t="shared" si="446"/>
        <v>188373.63253261644</v>
      </c>
      <c r="AL532">
        <v>1</v>
      </c>
      <c r="AM532">
        <f t="shared" si="447"/>
        <v>604.64278407284644</v>
      </c>
      <c r="AN532">
        <f t="shared" si="423"/>
        <v>311.60492219263489</v>
      </c>
      <c r="AO532">
        <f t="shared" si="424"/>
        <v>-36.035152740998122</v>
      </c>
      <c r="AQ532">
        <f t="shared" si="448"/>
        <v>9.8888483555982401E-4</v>
      </c>
      <c r="AR532">
        <f t="shared" si="449"/>
        <v>-3.1446537770802405</v>
      </c>
      <c r="AT532">
        <f t="shared" si="418"/>
        <v>-3817.3354942957576</v>
      </c>
      <c r="AU532">
        <f t="shared" si="419"/>
        <v>-283.59313859837533</v>
      </c>
      <c r="AV532">
        <f t="shared" si="459"/>
        <v>-3.0674380159851391</v>
      </c>
      <c r="AW532">
        <f t="shared" si="460"/>
        <v>284.65146596950069</v>
      </c>
      <c r="AX532">
        <f t="shared" si="461"/>
        <v>-2320.5306813388424</v>
      </c>
      <c r="AY532">
        <f t="shared" si="469"/>
        <v>-1.4487395504147924</v>
      </c>
      <c r="BA532">
        <f t="shared" si="450"/>
        <v>1.6372880486389294</v>
      </c>
      <c r="BB532">
        <f t="shared" si="462"/>
        <v>4.2825018341704171</v>
      </c>
      <c r="BC532">
        <f t="shared" si="463"/>
        <v>-1.6186984655703467</v>
      </c>
      <c r="BD532">
        <f t="shared" si="451"/>
        <v>-272.74459048745939</v>
      </c>
      <c r="BF532">
        <f t="shared" si="452"/>
        <v>-62.516014543246818</v>
      </c>
      <c r="BG532">
        <f t="shared" si="453"/>
        <v>-189.84287528807545</v>
      </c>
      <c r="BH532">
        <f t="shared" si="464"/>
        <v>-9.8428752880754473</v>
      </c>
      <c r="BI532">
        <f t="shared" si="465"/>
        <v>-9.8428752880754473</v>
      </c>
      <c r="BJ532">
        <f t="shared" si="454"/>
        <v>0</v>
      </c>
      <c r="BK532">
        <f t="shared" si="466"/>
        <v>0</v>
      </c>
      <c r="BM532">
        <f t="shared" si="467"/>
        <v>-66.798516377417229</v>
      </c>
      <c r="BN532">
        <f t="shared" si="455"/>
        <v>-97.098284800616028</v>
      </c>
      <c r="BQ532" s="47">
        <f t="shared" si="468"/>
        <v>21.184462634455553</v>
      </c>
    </row>
    <row r="533" spans="1:69">
      <c r="A533">
        <f t="shared" si="420"/>
        <v>1595000</v>
      </c>
      <c r="B533">
        <f t="shared" si="456"/>
        <v>1595</v>
      </c>
      <c r="C533">
        <f t="shared" si="425"/>
        <v>8.0794685415871292</v>
      </c>
      <c r="D533">
        <f t="shared" si="426"/>
        <v>1.4467076014183959</v>
      </c>
      <c r="F533">
        <f t="shared" si="427"/>
        <v>3.7602403151148198E-6</v>
      </c>
      <c r="G533">
        <f t="shared" si="428"/>
        <v>5.8464828768247615E-4</v>
      </c>
      <c r="H533">
        <f t="shared" si="429"/>
        <v>-3.1410080017123176</v>
      </c>
      <c r="J533">
        <f t="shared" si="430"/>
        <v>15</v>
      </c>
      <c r="M533">
        <f t="shared" si="431"/>
        <v>9.4418609278116921E-4</v>
      </c>
      <c r="N533">
        <f t="shared" si="432"/>
        <v>-1.5707963250000001</v>
      </c>
      <c r="O533">
        <f t="shared" si="433"/>
        <v>777.18197027416488</v>
      </c>
      <c r="P533">
        <f t="shared" si="434"/>
        <v>1.5695096264928037</v>
      </c>
      <c r="Q533">
        <f t="shared" si="435"/>
        <v>606.54500081729554</v>
      </c>
      <c r="R533">
        <f t="shared" si="436"/>
        <v>1.5691476437595429</v>
      </c>
      <c r="S533">
        <f t="shared" si="437"/>
        <v>0.11616054043334867</v>
      </c>
      <c r="T533">
        <f t="shared" si="438"/>
        <v>-1.4543729563716985</v>
      </c>
      <c r="U533">
        <f t="shared" si="439"/>
        <v>7.4826278202865887E-2</v>
      </c>
      <c r="V533">
        <f t="shared" si="440"/>
        <v>-1.4959000470383856</v>
      </c>
      <c r="X533">
        <f t="shared" si="457"/>
        <v>-55.075084665397767</v>
      </c>
      <c r="Y533">
        <f t="shared" si="441"/>
        <v>-176.282638846032</v>
      </c>
      <c r="Z533">
        <f t="shared" si="458"/>
        <v>3.7173611539679996</v>
      </c>
      <c r="AC533">
        <v>1</v>
      </c>
      <c r="AD533">
        <f t="shared" si="442"/>
        <v>777.1813269239251</v>
      </c>
      <c r="AE533">
        <f t="shared" si="443"/>
        <v>-0.63867036522729981</v>
      </c>
      <c r="AF533">
        <f t="shared" si="444"/>
        <v>4.7923676406837007E-2</v>
      </c>
      <c r="AG533">
        <f t="shared" si="421"/>
        <v>89.241899407401377</v>
      </c>
      <c r="AH533">
        <f t="shared" si="422"/>
        <v>-1210.1775330372814</v>
      </c>
      <c r="AJ533">
        <f t="shared" si="445"/>
        <v>22100</v>
      </c>
      <c r="AK533">
        <f t="shared" si="446"/>
        <v>188966.00244624104</v>
      </c>
      <c r="AL533">
        <v>1</v>
      </c>
      <c r="AM533">
        <f t="shared" si="447"/>
        <v>606.54417647559126</v>
      </c>
      <c r="AN533">
        <f t="shared" si="423"/>
        <v>311.60454912774475</v>
      </c>
      <c r="AO533">
        <f t="shared" si="424"/>
        <v>-35.922190494807381</v>
      </c>
      <c r="AQ533">
        <f t="shared" si="448"/>
        <v>9.8269464896230891E-4</v>
      </c>
      <c r="AR533">
        <f t="shared" si="449"/>
        <v>-3.1347959301897652</v>
      </c>
      <c r="AT533">
        <f t="shared" si="418"/>
        <v>-3793.5719078353486</v>
      </c>
      <c r="AU533">
        <f t="shared" si="419"/>
        <v>-280.94437805073642</v>
      </c>
      <c r="AV533">
        <f t="shared" si="459"/>
        <v>-3.0676695945218193</v>
      </c>
      <c r="AW533">
        <f t="shared" si="460"/>
        <v>284.82282718012584</v>
      </c>
      <c r="AX533">
        <f t="shared" si="461"/>
        <v>-2313.2950717392678</v>
      </c>
      <c r="AY533">
        <f t="shared" si="469"/>
        <v>-1.4482886036026279</v>
      </c>
      <c r="BA533">
        <f t="shared" si="450"/>
        <v>1.6320664449898734</v>
      </c>
      <c r="BB533">
        <f t="shared" si="462"/>
        <v>4.2547567170950167</v>
      </c>
      <c r="BC533">
        <f t="shared" si="463"/>
        <v>-1.6193809909191914</v>
      </c>
      <c r="BD533">
        <f t="shared" si="451"/>
        <v>-272.78369630940358</v>
      </c>
      <c r="BF533">
        <f t="shared" si="452"/>
        <v>-62.571450188383821</v>
      </c>
      <c r="BG533">
        <f t="shared" si="453"/>
        <v>-189.85995858449704</v>
      </c>
      <c r="BH533">
        <f t="shared" si="464"/>
        <v>-9.8599585844970363</v>
      </c>
      <c r="BI533">
        <f t="shared" si="465"/>
        <v>-9.8599585844970363</v>
      </c>
      <c r="BJ533">
        <f t="shared" si="454"/>
        <v>0</v>
      </c>
      <c r="BK533">
        <f t="shared" si="466"/>
        <v>0</v>
      </c>
      <c r="BM533">
        <f t="shared" si="467"/>
        <v>-66.826206905478841</v>
      </c>
      <c r="BN533">
        <f t="shared" si="455"/>
        <v>-97.076262275093455</v>
      </c>
      <c r="BQ533" s="47">
        <f t="shared" si="468"/>
        <v>21.156717517380152</v>
      </c>
    </row>
    <row r="534" spans="1:69">
      <c r="A534">
        <f t="shared" si="420"/>
        <v>1600000</v>
      </c>
      <c r="B534">
        <f t="shared" si="456"/>
        <v>1600</v>
      </c>
      <c r="C534">
        <f t="shared" si="425"/>
        <v>8.1044086308108003</v>
      </c>
      <c r="D534">
        <f t="shared" si="426"/>
        <v>1.4470914286160081</v>
      </c>
      <c r="F534">
        <f t="shared" si="427"/>
        <v>3.7367754489665351E-6</v>
      </c>
      <c r="G534">
        <f t="shared" si="428"/>
        <v>5.8282124827591477E-4</v>
      </c>
      <c r="H534">
        <f t="shared" si="429"/>
        <v>-3.1410098287517241</v>
      </c>
      <c r="J534">
        <f t="shared" si="430"/>
        <v>15</v>
      </c>
      <c r="M534">
        <f t="shared" si="431"/>
        <v>9.4123551124122818E-4</v>
      </c>
      <c r="N534">
        <f t="shared" si="432"/>
        <v>-1.5707963250000001</v>
      </c>
      <c r="O534">
        <f t="shared" si="433"/>
        <v>779.618273363772</v>
      </c>
      <c r="P534">
        <f t="shared" si="434"/>
        <v>1.5695136474268303</v>
      </c>
      <c r="Q534">
        <f t="shared" si="435"/>
        <v>608.44639064397586</v>
      </c>
      <c r="R534">
        <f t="shared" si="436"/>
        <v>1.5691527958847358</v>
      </c>
      <c r="S534">
        <f t="shared" si="437"/>
        <v>0.11580241419676812</v>
      </c>
      <c r="T534">
        <f t="shared" si="438"/>
        <v>-1.4547335158907415</v>
      </c>
      <c r="U534">
        <f t="shared" si="439"/>
        <v>7.4593749206523716E-2</v>
      </c>
      <c r="V534">
        <f t="shared" si="440"/>
        <v>-1.4961332277048625</v>
      </c>
      <c r="X534">
        <f t="shared" si="457"/>
        <v>-55.129354539638655</v>
      </c>
      <c r="Y534">
        <f t="shared" si="441"/>
        <v>-176.29424507838584</v>
      </c>
      <c r="Z534">
        <f t="shared" si="458"/>
        <v>3.7057549216141581</v>
      </c>
      <c r="AC534">
        <v>1</v>
      </c>
      <c r="AD534">
        <f t="shared" si="442"/>
        <v>779.61763202400005</v>
      </c>
      <c r="AE534">
        <f t="shared" si="443"/>
        <v>-0.64268084432420569</v>
      </c>
      <c r="AF534">
        <f t="shared" si="444"/>
        <v>4.8073907367360003E-2</v>
      </c>
      <c r="AG534">
        <f t="shared" si="421"/>
        <v>88.688107703687024</v>
      </c>
      <c r="AH534">
        <f t="shared" si="422"/>
        <v>-1206.437153055293</v>
      </c>
      <c r="AJ534">
        <f t="shared" si="445"/>
        <v>22100</v>
      </c>
      <c r="AK534">
        <f t="shared" si="446"/>
        <v>189558.37235986561</v>
      </c>
      <c r="AL534">
        <v>1</v>
      </c>
      <c r="AM534">
        <f t="shared" si="447"/>
        <v>608.44556887833608</v>
      </c>
      <c r="AN534">
        <f t="shared" si="423"/>
        <v>311.60417955485764</v>
      </c>
      <c r="AO534">
        <f t="shared" si="424"/>
        <v>-35.809934256916122</v>
      </c>
      <c r="AQ534">
        <f t="shared" si="448"/>
        <v>9.7656240463257771E-4</v>
      </c>
      <c r="AR534">
        <f t="shared" si="449"/>
        <v>-3.1249996948242487</v>
      </c>
      <c r="AT534">
        <f t="shared" ref="AT534:AT597" si="470">-AR534*AH534+AG534*AQ534</f>
        <v>-3770.0291256507048</v>
      </c>
      <c r="AU534">
        <f t="shared" ref="AU534:AU597" si="471">AQ534*AH534+AG534*AR534</f>
        <v>-278.3284706757878</v>
      </c>
      <c r="AV534">
        <f t="shared" si="459"/>
        <v>-3.0678997338779976</v>
      </c>
      <c r="AW534">
        <f t="shared" si="460"/>
        <v>284.99254718448964</v>
      </c>
      <c r="AX534">
        <f t="shared" si="461"/>
        <v>-2306.1043256135035</v>
      </c>
      <c r="AY534">
        <f t="shared" si="469"/>
        <v>-1.4478379465605213</v>
      </c>
      <c r="BA534">
        <f t="shared" si="450"/>
        <v>1.6268771899357586</v>
      </c>
      <c r="BB534">
        <f t="shared" si="462"/>
        <v>4.2270954011307662</v>
      </c>
      <c r="BC534">
        <f t="shared" si="463"/>
        <v>-1.6200617873174763</v>
      </c>
      <c r="BD534">
        <f t="shared" si="451"/>
        <v>-272.82270306977762</v>
      </c>
      <c r="BF534">
        <f t="shared" si="452"/>
        <v>-62.626712791604653</v>
      </c>
      <c r="BG534">
        <f t="shared" si="453"/>
        <v>-189.87707834800753</v>
      </c>
      <c r="BH534">
        <f t="shared" si="464"/>
        <v>-9.8770783480075295</v>
      </c>
      <c r="BI534">
        <f t="shared" si="465"/>
        <v>-9.8770783480075295</v>
      </c>
      <c r="BJ534">
        <f t="shared" si="454"/>
        <v>0</v>
      </c>
      <c r="BK534">
        <f t="shared" si="466"/>
        <v>0</v>
      </c>
      <c r="BM534">
        <f t="shared" si="467"/>
        <v>-66.853808192735428</v>
      </c>
      <c r="BN534">
        <f t="shared" si="455"/>
        <v>-97.054375278229941</v>
      </c>
      <c r="BQ534" s="47">
        <f t="shared" si="468"/>
        <v>21.129056201415906</v>
      </c>
    </row>
    <row r="535" spans="1:69">
      <c r="A535">
        <f t="shared" si="420"/>
        <v>1605000</v>
      </c>
      <c r="B535">
        <f t="shared" si="456"/>
        <v>1605</v>
      </c>
      <c r="C535">
        <f t="shared" si="425"/>
        <v>8.1293499066767669</v>
      </c>
      <c r="D535">
        <f t="shared" si="426"/>
        <v>1.4474729006652101</v>
      </c>
      <c r="F535">
        <f t="shared" si="427"/>
        <v>3.7135295399251762E-6</v>
      </c>
      <c r="G535">
        <f t="shared" si="428"/>
        <v>5.81005592418097E-4</v>
      </c>
      <c r="H535">
        <f t="shared" si="429"/>
        <v>-3.1410116444075822</v>
      </c>
      <c r="J535">
        <f t="shared" si="430"/>
        <v>15</v>
      </c>
      <c r="M535">
        <f t="shared" si="431"/>
        <v>9.3830331338689416E-4</v>
      </c>
      <c r="N535">
        <f t="shared" si="432"/>
        <v>-1.5707963250000001</v>
      </c>
      <c r="O535">
        <f t="shared" si="433"/>
        <v>782.05457646590548</v>
      </c>
      <c r="P535">
        <f t="shared" si="434"/>
        <v>1.5695176433083498</v>
      </c>
      <c r="Q535">
        <f t="shared" si="435"/>
        <v>610.3477804867066</v>
      </c>
      <c r="R535">
        <f t="shared" si="436"/>
        <v>1.5691579159095468</v>
      </c>
      <c r="S535">
        <f t="shared" si="437"/>
        <v>0.11544647452944835</v>
      </c>
      <c r="T535">
        <f t="shared" si="438"/>
        <v>-1.4550918589663266</v>
      </c>
      <c r="U535">
        <f t="shared" si="439"/>
        <v>7.4362656934251509E-2</v>
      </c>
      <c r="V535">
        <f t="shared" si="440"/>
        <v>-1.4963649635912306</v>
      </c>
      <c r="X535">
        <f t="shared" si="457"/>
        <v>-55.183455721507009</v>
      </c>
      <c r="Y535">
        <f t="shared" si="441"/>
        <v>-176.30577910053549</v>
      </c>
      <c r="Z535">
        <f t="shared" si="458"/>
        <v>3.6942208994645114</v>
      </c>
      <c r="AC535">
        <v>1</v>
      </c>
      <c r="AD535">
        <f t="shared" si="442"/>
        <v>782.05393712407499</v>
      </c>
      <c r="AE535">
        <f t="shared" si="443"/>
        <v>-0.64670387578135236</v>
      </c>
      <c r="AF535">
        <f t="shared" si="444"/>
        <v>4.8224138327883005E-2</v>
      </c>
      <c r="AG535">
        <f t="shared" si="421"/>
        <v>88.139445397012636</v>
      </c>
      <c r="AH535">
        <f t="shared" si="422"/>
        <v>-1202.7196951268595</v>
      </c>
      <c r="AJ535">
        <f t="shared" si="445"/>
        <v>22100</v>
      </c>
      <c r="AK535">
        <f t="shared" si="446"/>
        <v>190150.74227349018</v>
      </c>
      <c r="AL535">
        <v>1</v>
      </c>
      <c r="AM535">
        <f t="shared" si="447"/>
        <v>610.34696128108078</v>
      </c>
      <c r="AN535">
        <f t="shared" si="423"/>
        <v>311.60381343052762</v>
      </c>
      <c r="AO535">
        <f t="shared" si="424"/>
        <v>-35.698377429187111</v>
      </c>
      <c r="AQ535">
        <f t="shared" si="448"/>
        <v>9.7048738167453911E-4</v>
      </c>
      <c r="AR535">
        <f t="shared" si="449"/>
        <v>-3.1152644951752704</v>
      </c>
      <c r="AT535">
        <f t="shared" si="470"/>
        <v>-3746.7044256571457</v>
      </c>
      <c r="AU535">
        <f t="shared" si="471"/>
        <v>-275.74490915756496</v>
      </c>
      <c r="AV535">
        <f t="shared" si="459"/>
        <v>-3.0681284474030006</v>
      </c>
      <c r="AW535">
        <f t="shared" si="460"/>
        <v>285.16064697397684</v>
      </c>
      <c r="AX535">
        <f t="shared" si="461"/>
        <v>-2298.9580280877499</v>
      </c>
      <c r="AY535">
        <f t="shared" si="469"/>
        <v>-1.4473875769734954</v>
      </c>
      <c r="BA535">
        <f t="shared" si="450"/>
        <v>1.6217199815204457</v>
      </c>
      <c r="BB535">
        <f t="shared" si="462"/>
        <v>4.1995173553450211</v>
      </c>
      <c r="BC535">
        <f t="shared" si="463"/>
        <v>-1.6207408704295052</v>
      </c>
      <c r="BD535">
        <f t="shared" si="451"/>
        <v>-272.86161166607991</v>
      </c>
      <c r="BF535">
        <f t="shared" si="452"/>
        <v>-62.681803464208329</v>
      </c>
      <c r="BG535">
        <f t="shared" si="453"/>
        <v>-189.89423423528123</v>
      </c>
      <c r="BH535">
        <f t="shared" si="464"/>
        <v>-9.8942342352812318</v>
      </c>
      <c r="BI535">
        <f t="shared" si="465"/>
        <v>-9.8942342352812318</v>
      </c>
      <c r="BJ535">
        <f t="shared" si="454"/>
        <v>0</v>
      </c>
      <c r="BK535">
        <f t="shared" si="466"/>
        <v>0</v>
      </c>
      <c r="BM535">
        <f t="shared" si="467"/>
        <v>-66.881320819553338</v>
      </c>
      <c r="BN535">
        <f t="shared" si="455"/>
        <v>-97.032622569201308</v>
      </c>
      <c r="BQ535" s="47">
        <f t="shared" si="468"/>
        <v>21.101478155630158</v>
      </c>
    </row>
    <row r="536" spans="1:69">
      <c r="A536">
        <f t="shared" si="420"/>
        <v>1610000</v>
      </c>
      <c r="B536">
        <f t="shared" si="456"/>
        <v>1610</v>
      </c>
      <c r="C536">
        <f t="shared" si="425"/>
        <v>8.1542923582963969</v>
      </c>
      <c r="D536">
        <f t="shared" si="426"/>
        <v>1.4478520390663376</v>
      </c>
      <c r="F536">
        <f t="shared" si="427"/>
        <v>3.6904998722383305E-6</v>
      </c>
      <c r="G536">
        <f t="shared" si="428"/>
        <v>5.7920121404956193E-4</v>
      </c>
      <c r="H536">
        <f t="shared" si="429"/>
        <v>-3.1410134487859507</v>
      </c>
      <c r="J536">
        <f t="shared" si="430"/>
        <v>15</v>
      </c>
      <c r="M536">
        <f t="shared" si="431"/>
        <v>9.3538932794159316E-4</v>
      </c>
      <c r="N536">
        <f t="shared" si="432"/>
        <v>-1.5707963250000001</v>
      </c>
      <c r="O536">
        <f t="shared" si="433"/>
        <v>784.49087958044845</v>
      </c>
      <c r="P536">
        <f t="shared" si="434"/>
        <v>1.5695216143707698</v>
      </c>
      <c r="Q536">
        <f t="shared" si="435"/>
        <v>612.24917034533803</v>
      </c>
      <c r="R536">
        <f t="shared" si="436"/>
        <v>1.5691630041330464</v>
      </c>
      <c r="S536">
        <f t="shared" si="437"/>
        <v>0.11509270160371053</v>
      </c>
      <c r="T536">
        <f t="shared" si="438"/>
        <v>-1.4554480058821344</v>
      </c>
      <c r="U536">
        <f t="shared" si="439"/>
        <v>7.413298814844517E-2</v>
      </c>
      <c r="V536">
        <f t="shared" si="440"/>
        <v>-1.4965952680590786</v>
      </c>
      <c r="X536">
        <f t="shared" si="457"/>
        <v>-55.237389254458463</v>
      </c>
      <c r="Y536">
        <f t="shared" si="441"/>
        <v>-176.31724158390227</v>
      </c>
      <c r="Z536">
        <f t="shared" si="458"/>
        <v>3.6827584160977267</v>
      </c>
      <c r="AC536">
        <v>1</v>
      </c>
      <c r="AD536">
        <f t="shared" si="442"/>
        <v>784.49024222415005</v>
      </c>
      <c r="AE536">
        <f t="shared" si="443"/>
        <v>-0.65073945959873969</v>
      </c>
      <c r="AF536">
        <f t="shared" si="444"/>
        <v>4.8374369288406001E-2</v>
      </c>
      <c r="AG536">
        <f t="shared" si="421"/>
        <v>87.595849452197143</v>
      </c>
      <c r="AH536">
        <f t="shared" si="422"/>
        <v>-1199.0249503783573</v>
      </c>
      <c r="AJ536">
        <f t="shared" si="445"/>
        <v>22100</v>
      </c>
      <c r="AK536">
        <f t="shared" si="446"/>
        <v>190743.11218711475</v>
      </c>
      <c r="AL536">
        <v>1</v>
      </c>
      <c r="AM536">
        <f t="shared" si="447"/>
        <v>612.2483536838256</v>
      </c>
      <c r="AN536">
        <f t="shared" si="423"/>
        <v>311.60345071198219</v>
      </c>
      <c r="AO536">
        <f t="shared" si="424"/>
        <v>-35.587513495446451</v>
      </c>
      <c r="AQ536">
        <f t="shared" si="448"/>
        <v>9.6446887036872903E-4</v>
      </c>
      <c r="AR536">
        <f t="shared" si="449"/>
        <v>-3.1055897625873072</v>
      </c>
      <c r="AT536">
        <f t="shared" si="470"/>
        <v>-3723.5951275118105</v>
      </c>
      <c r="AU536">
        <f t="shared" si="471"/>
        <v>-273.19319554331781</v>
      </c>
      <c r="AV536">
        <f t="shared" si="459"/>
        <v>-3.0683557482818751</v>
      </c>
      <c r="AW536">
        <f t="shared" si="460"/>
        <v>285.32714720401299</v>
      </c>
      <c r="AX536">
        <f t="shared" si="461"/>
        <v>-2291.8557693745315</v>
      </c>
      <c r="AY536">
        <f t="shared" si="469"/>
        <v>-1.4469374925595557</v>
      </c>
      <c r="BA536">
        <f t="shared" si="450"/>
        <v>1.6165945215353799</v>
      </c>
      <c r="BB536">
        <f t="shared" si="462"/>
        <v>4.1720220537565771</v>
      </c>
      <c r="BC536">
        <f t="shared" si="463"/>
        <v>-1.6214182557223193</v>
      </c>
      <c r="BD536">
        <f t="shared" si="451"/>
        <v>-272.90042298450675</v>
      </c>
      <c r="BF536">
        <f t="shared" si="452"/>
        <v>-62.736723306843359</v>
      </c>
      <c r="BG536">
        <f t="shared" si="453"/>
        <v>-189.91142590671257</v>
      </c>
      <c r="BH536">
        <f t="shared" si="464"/>
        <v>-9.9114259067125658</v>
      </c>
      <c r="BI536">
        <f t="shared" si="465"/>
        <v>-9.9114259067125658</v>
      </c>
      <c r="BJ536">
        <f t="shared" si="454"/>
        <v>0</v>
      </c>
      <c r="BK536">
        <f t="shared" si="466"/>
        <v>0</v>
      </c>
      <c r="BM536">
        <f t="shared" si="467"/>
        <v>-66.908745360599951</v>
      </c>
      <c r="BN536">
        <f t="shared" si="455"/>
        <v>-97.011002922205833</v>
      </c>
      <c r="BQ536" s="47">
        <f t="shared" si="468"/>
        <v>21.073982854041713</v>
      </c>
    </row>
    <row r="537" spans="1:69">
      <c r="A537">
        <f t="shared" si="420"/>
        <v>1615000</v>
      </c>
      <c r="B537">
        <f t="shared" si="456"/>
        <v>1615</v>
      </c>
      <c r="C537">
        <f t="shared" si="425"/>
        <v>8.1792359749133592</v>
      </c>
      <c r="D537">
        <f t="shared" si="426"/>
        <v>1.4482288650601567</v>
      </c>
      <c r="F537">
        <f t="shared" si="427"/>
        <v>3.6676837721282209E-6</v>
      </c>
      <c r="G537">
        <f t="shared" si="428"/>
        <v>5.7740800842430234E-4</v>
      </c>
      <c r="H537">
        <f t="shared" si="429"/>
        <v>-3.141015241991576</v>
      </c>
      <c r="J537">
        <f t="shared" si="430"/>
        <v>15</v>
      </c>
      <c r="M537">
        <f t="shared" si="431"/>
        <v>9.3249338574982364E-4</v>
      </c>
      <c r="N537">
        <f t="shared" si="432"/>
        <v>-1.5707963250000001</v>
      </c>
      <c r="O537">
        <f t="shared" si="433"/>
        <v>786.92718270728574</v>
      </c>
      <c r="P537">
        <f t="shared" si="434"/>
        <v>1.5695255608446079</v>
      </c>
      <c r="Q537">
        <f t="shared" si="435"/>
        <v>614.15056021972237</v>
      </c>
      <c r="R537">
        <f t="shared" si="436"/>
        <v>1.5691680608506022</v>
      </c>
      <c r="S537">
        <f t="shared" si="437"/>
        <v>0.11474107582920298</v>
      </c>
      <c r="T537">
        <f t="shared" si="438"/>
        <v>-1.4558019766762107</v>
      </c>
      <c r="U537">
        <f t="shared" si="439"/>
        <v>7.3904729773171821E-2</v>
      </c>
      <c r="V537">
        <f t="shared" si="440"/>
        <v>-1.4968241543060437</v>
      </c>
      <c r="X537">
        <f t="shared" si="457"/>
        <v>-55.291156172316121</v>
      </c>
      <c r="Y537">
        <f t="shared" si="441"/>
        <v>-176.32863319161487</v>
      </c>
      <c r="Z537">
        <f t="shared" si="458"/>
        <v>3.6713668083851303</v>
      </c>
      <c r="AC537">
        <v>1</v>
      </c>
      <c r="AD537">
        <f t="shared" si="442"/>
        <v>786.92654732422511</v>
      </c>
      <c r="AE537">
        <f t="shared" si="443"/>
        <v>-0.65478759577636769</v>
      </c>
      <c r="AF537">
        <f t="shared" si="444"/>
        <v>4.8524600248929003E-2</v>
      </c>
      <c r="AG537">
        <f t="shared" si="421"/>
        <v>87.057257797606766</v>
      </c>
      <c r="AH537">
        <f t="shared" si="422"/>
        <v>-1195.3527124514248</v>
      </c>
      <c r="AJ537">
        <f t="shared" si="445"/>
        <v>22100</v>
      </c>
      <c r="AK537">
        <f t="shared" si="446"/>
        <v>191335.48210073935</v>
      </c>
      <c r="AL537">
        <v>1</v>
      </c>
      <c r="AM537">
        <f t="shared" si="447"/>
        <v>614.14974608657042</v>
      </c>
      <c r="AN537">
        <f t="shared" si="423"/>
        <v>311.60309135711009</v>
      </c>
      <c r="AO537">
        <f t="shared" si="424"/>
        <v>-35.47733602021485</v>
      </c>
      <c r="AQ537">
        <f t="shared" si="448"/>
        <v>9.5850617196501723E-4</v>
      </c>
      <c r="AR537">
        <f t="shared" si="449"/>
        <v>-3.0959749354470056</v>
      </c>
      <c r="AT537">
        <f t="shared" si="470"/>
        <v>-3700.6985918492896</v>
      </c>
      <c r="AU537">
        <f t="shared" si="471"/>
        <v>-270.67284104269874</v>
      </c>
      <c r="AV537">
        <f t="shared" si="459"/>
        <v>-3.0685816495379008</v>
      </c>
      <c r="AW537">
        <f t="shared" si="460"/>
        <v>285.49206820052109</v>
      </c>
      <c r="AX537">
        <f t="shared" si="461"/>
        <v>-2284.7971446951819</v>
      </c>
      <c r="AY537">
        <f t="shared" si="469"/>
        <v>-1.4464876910691293</v>
      </c>
      <c r="BA537">
        <f t="shared" si="450"/>
        <v>1.6115005154616495</v>
      </c>
      <c r="BB537">
        <f t="shared" si="462"/>
        <v>4.1446089752744095</v>
      </c>
      <c r="BC537">
        <f t="shared" si="463"/>
        <v>-1.6220939584687715</v>
      </c>
      <c r="BD537">
        <f t="shared" si="451"/>
        <v>-272.93913790012812</v>
      </c>
      <c r="BF537">
        <f t="shared" si="452"/>
        <v>-62.791473409644105</v>
      </c>
      <c r="BG537">
        <f t="shared" si="453"/>
        <v>-189.92865302636682</v>
      </c>
      <c r="BH537">
        <f t="shared" si="464"/>
        <v>-9.9286530263668169</v>
      </c>
      <c r="BI537">
        <f t="shared" si="465"/>
        <v>-9.9286530263668169</v>
      </c>
      <c r="BJ537">
        <f t="shared" si="454"/>
        <v>0</v>
      </c>
      <c r="BK537">
        <f t="shared" si="466"/>
        <v>0</v>
      </c>
      <c r="BM537">
        <f t="shared" si="467"/>
        <v>-66.936082384918507</v>
      </c>
      <c r="BN537">
        <f t="shared" si="455"/>
        <v>-96.989515126238743</v>
      </c>
      <c r="BQ537" s="47">
        <f t="shared" si="468"/>
        <v>21.046569775559547</v>
      </c>
    </row>
    <row r="538" spans="1:69">
      <c r="A538">
        <f t="shared" ref="A538:A591" si="472">A537+5000</f>
        <v>1620000</v>
      </c>
      <c r="B538">
        <f t="shared" si="456"/>
        <v>1620</v>
      </c>
      <c r="C538">
        <f t="shared" si="425"/>
        <v>8.20418074590164</v>
      </c>
      <c r="D538">
        <f t="shared" si="426"/>
        <v>1.4486033996317478</v>
      </c>
      <c r="F538">
        <f t="shared" si="427"/>
        <v>3.6450786070155918E-6</v>
      </c>
      <c r="G538">
        <f t="shared" si="428"/>
        <v>5.7562587208949477E-4</v>
      </c>
      <c r="H538">
        <f t="shared" si="429"/>
        <v>-3.1410170241279105</v>
      </c>
      <c r="J538">
        <f t="shared" si="430"/>
        <v>15</v>
      </c>
      <c r="M538">
        <f t="shared" si="431"/>
        <v>9.2961531974442284E-4</v>
      </c>
      <c r="N538">
        <f t="shared" si="432"/>
        <v>-1.5707963250000001</v>
      </c>
      <c r="O538">
        <f t="shared" si="433"/>
        <v>789.36348584630343</v>
      </c>
      <c r="P538">
        <f t="shared" si="434"/>
        <v>1.5695294829575355</v>
      </c>
      <c r="Q538">
        <f t="shared" si="435"/>
        <v>616.05195010971374</v>
      </c>
      <c r="R538">
        <f t="shared" si="436"/>
        <v>1.5691730863539344</v>
      </c>
      <c r="S538">
        <f t="shared" si="437"/>
        <v>0.11439157784938679</v>
      </c>
      <c r="T538">
        <f t="shared" si="438"/>
        <v>-1.4561537911446569</v>
      </c>
      <c r="U538">
        <f t="shared" si="439"/>
        <v>7.3677868891716139E-2</v>
      </c>
      <c r="V538">
        <f t="shared" si="440"/>
        <v>-1.4970516353683128</v>
      </c>
      <c r="X538">
        <f t="shared" si="457"/>
        <v>-55.344757499388649</v>
      </c>
      <c r="Y538">
        <f t="shared" si="441"/>
        <v>-176.33995457863679</v>
      </c>
      <c r="Z538">
        <f t="shared" si="458"/>
        <v>3.6600454213632077</v>
      </c>
      <c r="AC538">
        <v>1</v>
      </c>
      <c r="AD538">
        <f t="shared" si="442"/>
        <v>789.36285242430006</v>
      </c>
      <c r="AE538">
        <f t="shared" si="443"/>
        <v>-0.65884828431423648</v>
      </c>
      <c r="AF538">
        <f t="shared" si="444"/>
        <v>4.8674831209452006E-2</v>
      </c>
      <c r="AG538">
        <f t="shared" si="421"/>
        <v>86.523609307567114</v>
      </c>
      <c r="AH538">
        <f t="shared" si="422"/>
        <v>-1191.7027774654493</v>
      </c>
      <c r="AJ538">
        <f t="shared" si="445"/>
        <v>22100</v>
      </c>
      <c r="AK538">
        <f t="shared" si="446"/>
        <v>191927.85201436395</v>
      </c>
      <c r="AL538">
        <v>1</v>
      </c>
      <c r="AM538">
        <f t="shared" si="447"/>
        <v>616.05113848931524</v>
      </c>
      <c r="AN538">
        <f t="shared" si="423"/>
        <v>311.6027353244487</v>
      </c>
      <c r="AO538">
        <f t="shared" si="424"/>
        <v>-35.367838647462293</v>
      </c>
      <c r="AQ538">
        <f t="shared" si="448"/>
        <v>9.5259859847978605E-4</v>
      </c>
      <c r="AR538">
        <f t="shared" si="449"/>
        <v>-3.0864194590745067</v>
      </c>
      <c r="AT538">
        <f t="shared" si="470"/>
        <v>-3678.0122195335375</v>
      </c>
      <c r="AU538">
        <f t="shared" si="471"/>
        <v>-268.18336583185328</v>
      </c>
      <c r="AV538">
        <f t="shared" si="459"/>
        <v>-3.0688061640350623</v>
      </c>
      <c r="AW538">
        <f t="shared" si="460"/>
        <v>285.655429966231</v>
      </c>
      <c r="AX538">
        <f t="shared" si="461"/>
        <v>-2277.781754203751</v>
      </c>
      <c r="AY538">
        <f t="shared" si="469"/>
        <v>-1.4460381702845164</v>
      </c>
      <c r="BA538">
        <f t="shared" si="450"/>
        <v>1.6064376724131246</v>
      </c>
      <c r="BB538">
        <f t="shared" si="462"/>
        <v>4.1172776036373921</v>
      </c>
      <c r="BC538">
        <f t="shared" si="463"/>
        <v>-1.6227679937505459</v>
      </c>
      <c r="BD538">
        <f t="shared" si="451"/>
        <v>-272.97775727706085</v>
      </c>
      <c r="BF538">
        <f t="shared" si="452"/>
        <v>-62.846054852364574</v>
      </c>
      <c r="BG538">
        <f t="shared" si="453"/>
        <v>-189.94591526193173</v>
      </c>
      <c r="BH538">
        <f t="shared" si="464"/>
        <v>-9.9459152619317308</v>
      </c>
      <c r="BI538">
        <f t="shared" si="465"/>
        <v>-9.9459152619317308</v>
      </c>
      <c r="BJ538">
        <f t="shared" si="454"/>
        <v>0</v>
      </c>
      <c r="BK538">
        <f t="shared" si="466"/>
        <v>0</v>
      </c>
      <c r="BM538">
        <f t="shared" si="467"/>
        <v>-66.963332456001964</v>
      </c>
      <c r="BN538">
        <f t="shared" si="455"/>
        <v>-96.968157984870913</v>
      </c>
      <c r="BQ538" s="47">
        <f t="shared" si="468"/>
        <v>21.019238403922529</v>
      </c>
    </row>
    <row r="539" spans="1:69">
      <c r="A539">
        <f t="shared" si="472"/>
        <v>1625000</v>
      </c>
      <c r="B539">
        <f t="shared" si="456"/>
        <v>1625</v>
      </c>
      <c r="C539">
        <f t="shared" si="425"/>
        <v>8.2291266607635833</v>
      </c>
      <c r="D539">
        <f t="shared" si="426"/>
        <v>1.4489756635143234</v>
      </c>
      <c r="F539">
        <f t="shared" si="427"/>
        <v>3.6226817847602841E-6</v>
      </c>
      <c r="G539">
        <f t="shared" si="428"/>
        <v>5.738547028656041E-4</v>
      </c>
      <c r="H539">
        <f t="shared" si="429"/>
        <v>-3.1410187952971347</v>
      </c>
      <c r="J539">
        <f t="shared" si="430"/>
        <v>15</v>
      </c>
      <c r="M539">
        <f t="shared" si="431"/>
        <v>9.2675496491444003E-4</v>
      </c>
      <c r="N539">
        <f t="shared" si="432"/>
        <v>-1.5707963250000001</v>
      </c>
      <c r="O539">
        <f t="shared" si="433"/>
        <v>791.79978899738921</v>
      </c>
      <c r="P539">
        <f t="shared" si="434"/>
        <v>1.5695333809344223</v>
      </c>
      <c r="Q539">
        <f t="shared" si="435"/>
        <v>617.95334001516835</v>
      </c>
      <c r="R539">
        <f t="shared" si="436"/>
        <v>1.5691780809311735</v>
      </c>
      <c r="S539">
        <f t="shared" si="437"/>
        <v>0.11404418853808319</v>
      </c>
      <c r="T539">
        <f t="shared" si="438"/>
        <v>-1.4565034688452527</v>
      </c>
      <c r="U539">
        <f t="shared" si="439"/>
        <v>7.3452392744171202E-2</v>
      </c>
      <c r="V539">
        <f t="shared" si="440"/>
        <v>-1.497277724123081</v>
      </c>
      <c r="X539">
        <f t="shared" si="457"/>
        <v>-55.398194250586286</v>
      </c>
      <c r="Y539">
        <f t="shared" si="441"/>
        <v>-176.35120639189131</v>
      </c>
      <c r="Z539">
        <f t="shared" si="458"/>
        <v>3.64879360810869</v>
      </c>
      <c r="AC539">
        <v>1</v>
      </c>
      <c r="AD539">
        <f t="shared" si="442"/>
        <v>791.799157524375</v>
      </c>
      <c r="AE539">
        <f t="shared" si="443"/>
        <v>-0.66292152521234593</v>
      </c>
      <c r="AF539">
        <f t="shared" si="444"/>
        <v>4.8825062169975009E-2</v>
      </c>
      <c r="AG539">
        <f t="shared" si="421"/>
        <v>85.994843785148348</v>
      </c>
      <c r="AH539">
        <f t="shared" si="422"/>
        <v>-1188.0749439807146</v>
      </c>
      <c r="AJ539">
        <f t="shared" si="445"/>
        <v>22100</v>
      </c>
      <c r="AK539">
        <f t="shared" si="446"/>
        <v>192520.22192798849</v>
      </c>
      <c r="AL539">
        <v>1</v>
      </c>
      <c r="AM539">
        <f t="shared" si="447"/>
        <v>617.95253089206005</v>
      </c>
      <c r="AN539">
        <f t="shared" si="423"/>
        <v>311.60238257317246</v>
      </c>
      <c r="AO539">
        <f t="shared" si="424"/>
        <v>-35.25901509938582</v>
      </c>
      <c r="AQ539">
        <f t="shared" si="448"/>
        <v>9.4674547249747011E-4</v>
      </c>
      <c r="AR539">
        <f t="shared" si="449"/>
        <v>-3.0769227856167776</v>
      </c>
      <c r="AT539">
        <f t="shared" si="470"/>
        <v>-3655.5334509256254</v>
      </c>
      <c r="AU539">
        <f t="shared" si="471"/>
        <v>-265.72429886227974</v>
      </c>
      <c r="AV539">
        <f t="shared" si="459"/>
        <v>-3.0690293044804697</v>
      </c>
      <c r="AW539">
        <f t="shared" si="460"/>
        <v>285.81725218685057</v>
      </c>
      <c r="AX539">
        <f t="shared" si="461"/>
        <v>-2270.8092029122877</v>
      </c>
      <c r="AY539">
        <f t="shared" si="469"/>
        <v>-1.4455889280193501</v>
      </c>
      <c r="BA539">
        <f t="shared" si="450"/>
        <v>1.6014057050806352</v>
      </c>
      <c r="BB539">
        <f t="shared" si="462"/>
        <v>4.0900274273549009</v>
      </c>
      <c r="BC539">
        <f t="shared" si="463"/>
        <v>-1.6234403764611196</v>
      </c>
      <c r="BD539">
        <f t="shared" si="451"/>
        <v>-273.01628196863828</v>
      </c>
      <c r="BF539">
        <f t="shared" si="452"/>
        <v>-62.900468704510416</v>
      </c>
      <c r="BG539">
        <f t="shared" si="453"/>
        <v>-189.96321228466954</v>
      </c>
      <c r="BH539">
        <f t="shared" si="464"/>
        <v>-9.9632122846695381</v>
      </c>
      <c r="BI539">
        <f t="shared" si="465"/>
        <v>-9.9632122846695381</v>
      </c>
      <c r="BJ539">
        <f t="shared" si="454"/>
        <v>0</v>
      </c>
      <c r="BK539">
        <f t="shared" si="466"/>
        <v>0</v>
      </c>
      <c r="BM539">
        <f t="shared" si="467"/>
        <v>-66.990496131865328</v>
      </c>
      <c r="BN539">
        <f t="shared" si="455"/>
        <v>-96.946930316031271</v>
      </c>
      <c r="BQ539" s="47">
        <f t="shared" si="468"/>
        <v>20.991988227640039</v>
      </c>
    </row>
    <row r="540" spans="1:69">
      <c r="A540">
        <f t="shared" si="472"/>
        <v>1630000</v>
      </c>
      <c r="B540">
        <f t="shared" si="456"/>
        <v>1630</v>
      </c>
      <c r="C540">
        <f t="shared" si="425"/>
        <v>8.2540737091279492</v>
      </c>
      <c r="D540">
        <f t="shared" si="426"/>
        <v>1.4493456771929745</v>
      </c>
      <c r="F540">
        <f t="shared" si="427"/>
        <v>3.600490752918102E-6</v>
      </c>
      <c r="G540">
        <f t="shared" si="428"/>
        <v>5.7209439982685466E-4</v>
      </c>
      <c r="H540">
        <f t="shared" si="429"/>
        <v>-3.1410205556001736</v>
      </c>
      <c r="J540">
        <f t="shared" si="430"/>
        <v>15</v>
      </c>
      <c r="M540">
        <f t="shared" si="431"/>
        <v>9.2391215827359826E-4</v>
      </c>
      <c r="N540">
        <f t="shared" si="432"/>
        <v>-1.5707963250000001</v>
      </c>
      <c r="O540">
        <f t="shared" si="433"/>
        <v>794.23609216043201</v>
      </c>
      <c r="P540">
        <f t="shared" si="434"/>
        <v>1.5695372549973783</v>
      </c>
      <c r="Q540">
        <f t="shared" si="435"/>
        <v>619.85472993594374</v>
      </c>
      <c r="R540">
        <f t="shared" si="436"/>
        <v>1.5691830448669144</v>
      </c>
      <c r="S540">
        <f t="shared" si="437"/>
        <v>0.11369888899608116</v>
      </c>
      <c r="T540">
        <f t="shared" si="438"/>
        <v>-1.4568510291010177</v>
      </c>
      <c r="U540">
        <f t="shared" si="439"/>
        <v>7.3228288725072699E-2</v>
      </c>
      <c r="V540">
        <f t="shared" si="440"/>
        <v>-1.4975024332909626</v>
      </c>
      <c r="X540">
        <f t="shared" si="457"/>
        <v>-55.451467431535342</v>
      </c>
      <c r="Y540">
        <f t="shared" si="441"/>
        <v>-176.36238927038471</v>
      </c>
      <c r="Z540">
        <f t="shared" si="458"/>
        <v>3.6376107296152895</v>
      </c>
      <c r="AC540">
        <v>1</v>
      </c>
      <c r="AD540">
        <f t="shared" si="442"/>
        <v>794.23546262445007</v>
      </c>
      <c r="AE540">
        <f t="shared" si="443"/>
        <v>-0.66700731847069616</v>
      </c>
      <c r="AF540">
        <f t="shared" si="444"/>
        <v>4.8975293130498004E-2</v>
      </c>
      <c r="AG540">
        <f t="shared" si="421"/>
        <v>85.470901945313628</v>
      </c>
      <c r="AH540">
        <f t="shared" si="422"/>
        <v>-1184.4690129622015</v>
      </c>
      <c r="AJ540">
        <f t="shared" si="445"/>
        <v>22100</v>
      </c>
      <c r="AK540">
        <f t="shared" si="446"/>
        <v>193112.59184161309</v>
      </c>
      <c r="AL540">
        <v>1</v>
      </c>
      <c r="AM540">
        <f t="shared" si="447"/>
        <v>619.85392329480487</v>
      </c>
      <c r="AN540">
        <f t="shared" si="423"/>
        <v>311.60203306308108</v>
      </c>
      <c r="AO540">
        <f t="shared" si="424"/>
        <v>-35.150859175209703</v>
      </c>
      <c r="AQ540">
        <f t="shared" si="448"/>
        <v>9.4094612697635143E-4</v>
      </c>
      <c r="AR540">
        <f t="shared" si="449"/>
        <v>-3.0674843739429059</v>
      </c>
      <c r="AT540">
        <f t="shared" si="470"/>
        <v>-3633.2597651669757</v>
      </c>
      <c r="AU540">
        <f t="shared" si="471"/>
        <v>-263.29517767432617</v>
      </c>
      <c r="AV540">
        <f t="shared" si="459"/>
        <v>-3.069251083426741</v>
      </c>
      <c r="AW540">
        <f t="shared" si="460"/>
        <v>285.97755423709697</v>
      </c>
      <c r="AX540">
        <f t="shared" si="461"/>
        <v>-2263.8791006174738</v>
      </c>
      <c r="AY540">
        <f t="shared" si="469"/>
        <v>-1.4451399621180716</v>
      </c>
      <c r="BA540">
        <f t="shared" si="450"/>
        <v>1.5964043296771819</v>
      </c>
      <c r="BB540">
        <f t="shared" si="462"/>
        <v>4.0628579396483655</v>
      </c>
      <c r="BC540">
        <f t="shared" si="463"/>
        <v>-1.6241111213086694</v>
      </c>
      <c r="BD540">
        <f t="shared" si="451"/>
        <v>-273.05471281757696</v>
      </c>
      <c r="BF540">
        <f t="shared" si="452"/>
        <v>-62.954716025468649</v>
      </c>
      <c r="BG540">
        <f t="shared" si="453"/>
        <v>-189.98054376937003</v>
      </c>
      <c r="BH540">
        <f t="shared" si="464"/>
        <v>-9.9805437693700298</v>
      </c>
      <c r="BI540">
        <f t="shared" si="465"/>
        <v>-9.9805437693700298</v>
      </c>
      <c r="BJ540">
        <f t="shared" si="454"/>
        <v>0</v>
      </c>
      <c r="BK540">
        <f t="shared" si="466"/>
        <v>0</v>
      </c>
      <c r="BM540">
        <f t="shared" si="467"/>
        <v>-67.017573965117009</v>
      </c>
      <c r="BN540">
        <f t="shared" si="455"/>
        <v>-96.925830951793131</v>
      </c>
      <c r="BQ540" s="47">
        <f t="shared" si="468"/>
        <v>20.964818739933506</v>
      </c>
    </row>
    <row r="541" spans="1:69">
      <c r="A541">
        <f t="shared" si="472"/>
        <v>1635000</v>
      </c>
      <c r="B541">
        <f t="shared" si="456"/>
        <v>1635</v>
      </c>
      <c r="C541">
        <f t="shared" si="425"/>
        <v>8.2790218807480471</v>
      </c>
      <c r="D541">
        <f t="shared" si="426"/>
        <v>1.4497134609083526</v>
      </c>
      <c r="F541">
        <f t="shared" si="427"/>
        <v>3.5785029980135506E-6</v>
      </c>
      <c r="G541">
        <f t="shared" si="428"/>
        <v>5.7034486328205877E-4</v>
      </c>
      <c r="H541">
        <f t="shared" si="429"/>
        <v>-3.1410223051367181</v>
      </c>
      <c r="J541">
        <f t="shared" si="430"/>
        <v>15</v>
      </c>
      <c r="M541">
        <f t="shared" si="431"/>
        <v>9.2108673882933647E-4</v>
      </c>
      <c r="N541">
        <f t="shared" si="432"/>
        <v>-1.5707963250000001</v>
      </c>
      <c r="O541">
        <f t="shared" si="433"/>
        <v>796.67239533532211</v>
      </c>
      <c r="P541">
        <f t="shared" si="434"/>
        <v>1.5695411053657973</v>
      </c>
      <c r="Q541">
        <f t="shared" si="435"/>
        <v>621.75611987189916</v>
      </c>
      <c r="R541">
        <f t="shared" si="436"/>
        <v>1.5691879784422711</v>
      </c>
      <c r="S541">
        <f t="shared" si="437"/>
        <v>0.11335566054780487</v>
      </c>
      <c r="T541">
        <f t="shared" si="438"/>
        <v>-1.4571964910037054</v>
      </c>
      <c r="U541">
        <f t="shared" si="439"/>
        <v>7.3005544381075829E-2</v>
      </c>
      <c r="V541">
        <f t="shared" si="440"/>
        <v>-1.4977257754383597</v>
      </c>
      <c r="X541">
        <f t="shared" si="457"/>
        <v>-55.504578038690795</v>
      </c>
      <c r="Y541">
        <f t="shared" si="441"/>
        <v>-176.37350384532672</v>
      </c>
      <c r="Z541">
        <f t="shared" si="458"/>
        <v>3.6264961546732764</v>
      </c>
      <c r="AC541">
        <v>1</v>
      </c>
      <c r="AD541">
        <f t="shared" si="442"/>
        <v>796.67176772452513</v>
      </c>
      <c r="AE541">
        <f t="shared" si="443"/>
        <v>-0.67110566408928707</v>
      </c>
      <c r="AF541">
        <f t="shared" si="444"/>
        <v>4.9125524091021007E-2</v>
      </c>
      <c r="AG541">
        <f t="shared" si="421"/>
        <v>84.951725398422894</v>
      </c>
      <c r="AH541">
        <f t="shared" si="422"/>
        <v>-1180.8847877440255</v>
      </c>
      <c r="AJ541">
        <f t="shared" si="445"/>
        <v>22100</v>
      </c>
      <c r="AK541">
        <f t="shared" si="446"/>
        <v>193704.96175523766</v>
      </c>
      <c r="AL541">
        <v>1</v>
      </c>
      <c r="AM541">
        <f t="shared" si="447"/>
        <v>621.75531569754969</v>
      </c>
      <c r="AN541">
        <f t="shared" si="423"/>
        <v>311.60168675458772</v>
      </c>
      <c r="AO541">
        <f t="shared" si="424"/>
        <v>-35.043364750007683</v>
      </c>
      <c r="AQ541">
        <f t="shared" si="448"/>
        <v>9.3519990505850563E-4</v>
      </c>
      <c r="AR541">
        <f t="shared" si="449"/>
        <v>-3.0581036895413134</v>
      </c>
      <c r="AT541">
        <f t="shared" si="470"/>
        <v>-3611.1886794776883</v>
      </c>
      <c r="AU541">
        <f t="shared" si="471"/>
        <v>-260.89554821520079</v>
      </c>
      <c r="AV541">
        <f t="shared" si="459"/>
        <v>-3.0694715132743351</v>
      </c>
      <c r="AW541">
        <f t="shared" si="460"/>
        <v>286.13635518659572</v>
      </c>
      <c r="AX541">
        <f t="shared" si="461"/>
        <v>-2256.9910618285749</v>
      </c>
      <c r="AY541">
        <f t="shared" si="469"/>
        <v>-1.4446912704554102</v>
      </c>
      <c r="BA541">
        <f t="shared" si="450"/>
        <v>1.5914332658841444</v>
      </c>
      <c r="BB541">
        <f t="shared" si="462"/>
        <v>4.0357686383936739</v>
      </c>
      <c r="BC541">
        <f t="shared" si="463"/>
        <v>-1.6247802428189249</v>
      </c>
      <c r="BD541">
        <f t="shared" si="451"/>
        <v>-273.09305065613978</v>
      </c>
      <c r="BF541">
        <f t="shared" si="452"/>
        <v>-63.008797864635362</v>
      </c>
      <c r="BG541">
        <f t="shared" si="453"/>
        <v>-189.99790939430423</v>
      </c>
      <c r="BH541">
        <f t="shared" si="464"/>
        <v>-9.9979093943042301</v>
      </c>
      <c r="BI541">
        <f t="shared" si="465"/>
        <v>-9.9979093943042301</v>
      </c>
      <c r="BJ541">
        <f t="shared" si="454"/>
        <v>0</v>
      </c>
      <c r="BK541">
        <f t="shared" si="466"/>
        <v>0</v>
      </c>
      <c r="BM541">
        <f t="shared" si="467"/>
        <v>-67.044566503029031</v>
      </c>
      <c r="BN541">
        <f t="shared" si="455"/>
        <v>-96.904858738164464</v>
      </c>
      <c r="BQ541" s="47">
        <f t="shared" si="468"/>
        <v>20.937729438678812</v>
      </c>
    </row>
    <row r="542" spans="1:69">
      <c r="A542">
        <f t="shared" si="472"/>
        <v>1640000</v>
      </c>
      <c r="B542">
        <f t="shared" si="456"/>
        <v>1640</v>
      </c>
      <c r="C542">
        <f t="shared" si="425"/>
        <v>8.3039711654998598</v>
      </c>
      <c r="D542">
        <f t="shared" si="426"/>
        <v>1.4500790346602874</v>
      </c>
      <c r="F542">
        <f t="shared" si="427"/>
        <v>3.5567160448280814E-6</v>
      </c>
      <c r="G542">
        <f t="shared" si="428"/>
        <v>5.6860599475579566E-4</v>
      </c>
      <c r="H542">
        <f t="shared" si="429"/>
        <v>-3.1410240440052446</v>
      </c>
      <c r="J542">
        <f t="shared" si="430"/>
        <v>15</v>
      </c>
      <c r="M542">
        <f t="shared" si="431"/>
        <v>9.1827854755241781E-4</v>
      </c>
      <c r="N542">
        <f t="shared" si="432"/>
        <v>-1.5707963250000001</v>
      </c>
      <c r="O542">
        <f t="shared" si="433"/>
        <v>799.10869852195094</v>
      </c>
      <c r="P542">
        <f t="shared" si="434"/>
        <v>1.5695449322563968</v>
      </c>
      <c r="Q542">
        <f t="shared" si="435"/>
        <v>623.65750982289603</v>
      </c>
      <c r="R542">
        <f t="shared" si="436"/>
        <v>1.5691928819349286</v>
      </c>
      <c r="S542">
        <f t="shared" si="437"/>
        <v>0.11301448473803867</v>
      </c>
      <c r="T542">
        <f t="shared" si="438"/>
        <v>-1.4575398734172391</v>
      </c>
      <c r="U542">
        <f t="shared" si="439"/>
        <v>7.278414740867388E-2</v>
      </c>
      <c r="V542">
        <f t="shared" si="440"/>
        <v>-1.4979477629797879</v>
      </c>
      <c r="X542">
        <f t="shared" si="457"/>
        <v>-55.55752705944731</v>
      </c>
      <c r="Y542">
        <f t="shared" si="441"/>
        <v>-176.3845507402491</v>
      </c>
      <c r="Z542">
        <f t="shared" si="458"/>
        <v>3.6154492597509034</v>
      </c>
      <c r="AC542">
        <v>1</v>
      </c>
      <c r="AD542">
        <f t="shared" si="442"/>
        <v>799.10807282460007</v>
      </c>
      <c r="AE542">
        <f t="shared" si="443"/>
        <v>-0.67521656206811875</v>
      </c>
      <c r="AF542">
        <f t="shared" si="444"/>
        <v>4.927575505154401E-2</v>
      </c>
      <c r="AG542">
        <f t="shared" si="421"/>
        <v>84.437256634082786</v>
      </c>
      <c r="AH542">
        <f t="shared" si="422"/>
        <v>-1177.3220739945016</v>
      </c>
      <c r="AJ542">
        <f t="shared" si="445"/>
        <v>22100</v>
      </c>
      <c r="AK542">
        <f t="shared" si="446"/>
        <v>194297.33166886226</v>
      </c>
      <c r="AL542">
        <v>1</v>
      </c>
      <c r="AM542">
        <f t="shared" si="447"/>
        <v>623.6567081002944</v>
      </c>
      <c r="AN542">
        <f t="shared" si="423"/>
        <v>311.60134360870842</v>
      </c>
      <c r="AO542">
        <f t="shared" si="424"/>
        <v>-34.936525773546805</v>
      </c>
      <c r="AQ542">
        <f t="shared" si="448"/>
        <v>9.2950615988379682E-4</v>
      </c>
      <c r="AR542">
        <f t="shared" si="449"/>
        <v>-3.0487802044188537</v>
      </c>
      <c r="AT542">
        <f t="shared" si="470"/>
        <v>-3589.3177484696203</v>
      </c>
      <c r="AU542">
        <f t="shared" si="471"/>
        <v>-258.52496466137114</v>
      </c>
      <c r="AV542">
        <f t="shared" si="459"/>
        <v>-3.0696906062738503</v>
      </c>
      <c r="AW542">
        <f t="shared" si="460"/>
        <v>286.29367380564815</v>
      </c>
      <c r="AX542">
        <f t="shared" si="461"/>
        <v>-2250.1447056966967</v>
      </c>
      <c r="AY542">
        <f t="shared" si="469"/>
        <v>-1.44424285093588</v>
      </c>
      <c r="BA542">
        <f t="shared" si="450"/>
        <v>1.5864922367984775</v>
      </c>
      <c r="BB542">
        <f t="shared" si="462"/>
        <v>4.0087590260644914</v>
      </c>
      <c r="BC542">
        <f t="shared" si="463"/>
        <v>-1.6254477553379703</v>
      </c>
      <c r="BD542">
        <f t="shared" si="451"/>
        <v>-273.13129630629692</v>
      </c>
      <c r="BF542">
        <f t="shared" si="452"/>
        <v>-63.062715261541385</v>
      </c>
      <c r="BG542">
        <f t="shared" si="453"/>
        <v>-190.01530884117864</v>
      </c>
      <c r="BH542">
        <f t="shared" si="464"/>
        <v>-10.015308841178637</v>
      </c>
      <c r="BI542">
        <f t="shared" si="465"/>
        <v>-10.015308841178637</v>
      </c>
      <c r="BJ542">
        <f t="shared" si="454"/>
        <v>0</v>
      </c>
      <c r="BK542">
        <f t="shared" si="466"/>
        <v>0</v>
      </c>
      <c r="BM542">
        <f t="shared" si="467"/>
        <v>-67.071474287605881</v>
      </c>
      <c r="BN542">
        <f t="shared" si="455"/>
        <v>-96.88401253488172</v>
      </c>
      <c r="BQ542" s="47">
        <f t="shared" si="468"/>
        <v>20.910719826349627</v>
      </c>
    </row>
    <row r="543" spans="1:69">
      <c r="A543">
        <f t="shared" si="472"/>
        <v>1645000</v>
      </c>
      <c r="B543">
        <f t="shared" si="456"/>
        <v>1645</v>
      </c>
      <c r="C543">
        <f t="shared" si="425"/>
        <v>8.3289215533802263</v>
      </c>
      <c r="D543">
        <f t="shared" si="426"/>
        <v>1.4504424182113378</v>
      </c>
      <c r="F543">
        <f t="shared" si="427"/>
        <v>3.5351274557034473E-6</v>
      </c>
      <c r="G543">
        <f t="shared" si="428"/>
        <v>5.6687769696993644E-4</v>
      </c>
      <c r="H543">
        <f t="shared" si="429"/>
        <v>-3.1410257723030304</v>
      </c>
      <c r="J543">
        <f t="shared" si="430"/>
        <v>15</v>
      </c>
      <c r="M543">
        <f t="shared" si="431"/>
        <v>9.1548742734709118E-4</v>
      </c>
      <c r="N543">
        <f t="shared" si="432"/>
        <v>-1.5707963250000001</v>
      </c>
      <c r="O543">
        <f t="shared" si="433"/>
        <v>801.54500172021187</v>
      </c>
      <c r="P543">
        <f t="shared" si="434"/>
        <v>1.56954873588326</v>
      </c>
      <c r="Q543">
        <f t="shared" si="435"/>
        <v>625.55889978879713</v>
      </c>
      <c r="R543">
        <f t="shared" si="436"/>
        <v>1.5691977556191965</v>
      </c>
      <c r="S543">
        <f t="shared" si="437"/>
        <v>0.1126753433287095</v>
      </c>
      <c r="T543">
        <f t="shared" si="438"/>
        <v>-1.4578811949810837</v>
      </c>
      <c r="U543">
        <f t="shared" si="439"/>
        <v>7.2564085651957502E-2</v>
      </c>
      <c r="V543">
        <f t="shared" si="440"/>
        <v>-1.4981684081801607</v>
      </c>
      <c r="X543">
        <f t="shared" si="457"/>
        <v>-55.610315472248487</v>
      </c>
      <c r="Y543">
        <f t="shared" si="441"/>
        <v>-176.39553057112178</v>
      </c>
      <c r="Z543">
        <f t="shared" si="458"/>
        <v>3.6044694288782182</v>
      </c>
      <c r="AC543">
        <v>1</v>
      </c>
      <c r="AD543">
        <f t="shared" si="442"/>
        <v>801.54437792467502</v>
      </c>
      <c r="AE543">
        <f t="shared" si="443"/>
        <v>-0.679340012407191</v>
      </c>
      <c r="AF543">
        <f t="shared" si="444"/>
        <v>4.9425986012067012E-2</v>
      </c>
      <c r="AG543">
        <f t="shared" si="421"/>
        <v>83.92743900533516</v>
      </c>
      <c r="AH543">
        <f t="shared" si="422"/>
        <v>-1173.7806796818204</v>
      </c>
      <c r="AJ543">
        <f t="shared" si="445"/>
        <v>22100</v>
      </c>
      <c r="AK543">
        <f t="shared" si="446"/>
        <v>194889.70158248683</v>
      </c>
      <c r="AL543">
        <v>1</v>
      </c>
      <c r="AM543">
        <f t="shared" si="447"/>
        <v>625.55810050303921</v>
      </c>
      <c r="AN543">
        <f t="shared" si="423"/>
        <v>311.60100358705046</v>
      </c>
      <c r="AO543">
        <f t="shared" si="424"/>
        <v>-34.830336269152177</v>
      </c>
      <c r="AQ543">
        <f t="shared" si="448"/>
        <v>9.2386425440782569E-4</v>
      </c>
      <c r="AR543">
        <f t="shared" si="449"/>
        <v>-3.0395133970017465</v>
      </c>
      <c r="AT543">
        <f t="shared" si="470"/>
        <v>-3567.6445634738479</v>
      </c>
      <c r="AU543">
        <f t="shared" si="471"/>
        <v>-256.18298924523572</v>
      </c>
      <c r="AV543">
        <f t="shared" si="459"/>
        <v>-3.0699083745282731</v>
      </c>
      <c r="AW543">
        <f t="shared" si="460"/>
        <v>286.44952857087242</v>
      </c>
      <c r="AX543">
        <f t="shared" si="461"/>
        <v>-2243.3396559452981</v>
      </c>
      <c r="AY543">
        <f t="shared" si="469"/>
        <v>-1.4437947014932815</v>
      </c>
      <c r="BA543">
        <f t="shared" si="450"/>
        <v>1.5815809688808669</v>
      </c>
      <c r="BB543">
        <f t="shared" si="462"/>
        <v>3.981828609676421</v>
      </c>
      <c r="BC543">
        <f t="shared" si="463"/>
        <v>-1.6261136730349917</v>
      </c>
      <c r="BD543">
        <f t="shared" si="451"/>
        <v>-273.16945057988295</v>
      </c>
      <c r="BF543">
        <f t="shared" si="452"/>
        <v>-63.116469245976106</v>
      </c>
      <c r="BG543">
        <f t="shared" si="453"/>
        <v>-190.03274179509017</v>
      </c>
      <c r="BH543">
        <f t="shared" si="464"/>
        <v>-10.032741795090175</v>
      </c>
      <c r="BI543">
        <f t="shared" si="465"/>
        <v>-10.032741795090175</v>
      </c>
      <c r="BJ543">
        <f t="shared" si="454"/>
        <v>0</v>
      </c>
      <c r="BK543">
        <f t="shared" si="466"/>
        <v>0</v>
      </c>
      <c r="BM543">
        <f t="shared" si="467"/>
        <v>-67.098297855652532</v>
      </c>
      <c r="BN543">
        <f t="shared" si="455"/>
        <v>-96.863291215207241</v>
      </c>
      <c r="BQ543" s="47">
        <f t="shared" si="468"/>
        <v>20.883789409961558</v>
      </c>
    </row>
    <row r="544" spans="1:69">
      <c r="A544">
        <f t="shared" si="472"/>
        <v>1650000</v>
      </c>
      <c r="B544">
        <f t="shared" si="456"/>
        <v>1650</v>
      </c>
      <c r="C544">
        <f t="shared" si="425"/>
        <v>8.3538730345050585</v>
      </c>
      <c r="D544">
        <f t="shared" si="426"/>
        <v>1.4508036310902848</v>
      </c>
      <c r="F544">
        <f t="shared" si="427"/>
        <v>3.5137348298598265E-6</v>
      </c>
      <c r="G544">
        <f t="shared" si="428"/>
        <v>5.6515987382550054E-4</v>
      </c>
      <c r="H544">
        <f t="shared" si="429"/>
        <v>-3.1410274901261745</v>
      </c>
      <c r="J544">
        <f t="shared" si="430"/>
        <v>15</v>
      </c>
      <c r="M544">
        <f t="shared" si="431"/>
        <v>9.1271322302179699E-4</v>
      </c>
      <c r="N544">
        <f t="shared" si="432"/>
        <v>-1.5707963250000001</v>
      </c>
      <c r="O544">
        <f t="shared" si="433"/>
        <v>803.98130492999871</v>
      </c>
      <c r="P544">
        <f t="shared" si="434"/>
        <v>1.569552516457875</v>
      </c>
      <c r="Q544">
        <f t="shared" si="435"/>
        <v>627.46028976946707</v>
      </c>
      <c r="R544">
        <f t="shared" si="436"/>
        <v>1.5692025997660592</v>
      </c>
      <c r="S544">
        <f t="shared" si="437"/>
        <v>0.11233821829572485</v>
      </c>
      <c r="T544">
        <f t="shared" si="438"/>
        <v>-1.4582204741135616</v>
      </c>
      <c r="U544">
        <f t="shared" si="439"/>
        <v>7.2345347100414209E-2</v>
      </c>
      <c r="V544">
        <f t="shared" si="440"/>
        <v>-1.4983877231570308</v>
      </c>
      <c r="X544">
        <f t="shared" si="457"/>
        <v>-55.662944246694536</v>
      </c>
      <c r="Y544">
        <f t="shared" si="441"/>
        <v>-176.40644394646728</v>
      </c>
      <c r="Z544">
        <f t="shared" si="458"/>
        <v>3.5935560535327227</v>
      </c>
      <c r="AC544">
        <v>1</v>
      </c>
      <c r="AD544">
        <f t="shared" si="442"/>
        <v>803.98068302475008</v>
      </c>
      <c r="AE544">
        <f t="shared" si="443"/>
        <v>-0.68347601510650402</v>
      </c>
      <c r="AF544">
        <f t="shared" si="444"/>
        <v>4.9576216972590008E-2</v>
      </c>
      <c r="AG544">
        <f t="shared" si="421"/>
        <v>83.422216713175317</v>
      </c>
      <c r="AH544">
        <f t="shared" si="422"/>
        <v>-1170.2604150403226</v>
      </c>
      <c r="AJ544">
        <f t="shared" si="445"/>
        <v>22100</v>
      </c>
      <c r="AK544">
        <f t="shared" si="446"/>
        <v>195482.0714961114</v>
      </c>
      <c r="AL544">
        <v>1</v>
      </c>
      <c r="AM544">
        <f t="shared" si="447"/>
        <v>627.45949290578392</v>
      </c>
      <c r="AN544">
        <f t="shared" si="423"/>
        <v>311.60066665180216</v>
      </c>
      <c r="AO544">
        <f t="shared" si="424"/>
        <v>-34.724790332592562</v>
      </c>
      <c r="AQ544">
        <f t="shared" si="448"/>
        <v>9.1827356122373171E-4</v>
      </c>
      <c r="AR544">
        <f t="shared" si="449"/>
        <v>-3.0303027520383146</v>
      </c>
      <c r="AT544">
        <f t="shared" si="470"/>
        <v>-3546.1667518821637</v>
      </c>
      <c r="AU544">
        <f t="shared" si="471"/>
        <v>-253.86919208595009</v>
      </c>
      <c r="AV544">
        <f t="shared" si="459"/>
        <v>-3.0701248299951942</v>
      </c>
      <c r="AW544">
        <f t="shared" si="460"/>
        <v>286.60393767072026</v>
      </c>
      <c r="AX544">
        <f t="shared" si="461"/>
        <v>-2236.5755408019495</v>
      </c>
      <c r="AY544">
        <f t="shared" si="469"/>
        <v>-1.4433468200902155</v>
      </c>
      <c r="BA544">
        <f t="shared" si="450"/>
        <v>1.5766991919048239</v>
      </c>
      <c r="BB544">
        <f t="shared" si="462"/>
        <v>3.9549769007320017</v>
      </c>
      <c r="BC544">
        <f t="shared" si="463"/>
        <v>-1.6267780099049787</v>
      </c>
      <c r="BD544">
        <f t="shared" si="451"/>
        <v>-273.2075142787516</v>
      </c>
      <c r="BF544">
        <f t="shared" si="452"/>
        <v>-63.170060838109102</v>
      </c>
      <c r="BG544">
        <f t="shared" si="453"/>
        <v>-190.050207944482</v>
      </c>
      <c r="BH544">
        <f t="shared" si="464"/>
        <v>-10.050207944481997</v>
      </c>
      <c r="BI544">
        <f t="shared" si="465"/>
        <v>-10.050207944481997</v>
      </c>
      <c r="BJ544">
        <f t="shared" si="454"/>
        <v>0</v>
      </c>
      <c r="BK544">
        <f t="shared" si="466"/>
        <v>0</v>
      </c>
      <c r="BM544">
        <f t="shared" si="467"/>
        <v>-67.125037738841101</v>
      </c>
      <c r="BN544">
        <f t="shared" si="455"/>
        <v>-96.842693665730394</v>
      </c>
      <c r="BQ544" s="47">
        <f t="shared" si="468"/>
        <v>20.856937701017138</v>
      </c>
    </row>
    <row r="545" spans="1:69">
      <c r="A545">
        <f t="shared" si="472"/>
        <v>1655000</v>
      </c>
      <c r="B545">
        <f t="shared" si="456"/>
        <v>1655</v>
      </c>
      <c r="C545">
        <f t="shared" si="425"/>
        <v>8.3788255991075644</v>
      </c>
      <c r="D545">
        <f t="shared" si="426"/>
        <v>1.4511626925955585</v>
      </c>
      <c r="F545">
        <f t="shared" si="427"/>
        <v>3.4925358027283375E-6</v>
      </c>
      <c r="G545">
        <f t="shared" si="428"/>
        <v>5.6345243038484515E-4</v>
      </c>
      <c r="H545">
        <f t="shared" si="429"/>
        <v>-3.1410291975696154</v>
      </c>
      <c r="J545">
        <f t="shared" si="430"/>
        <v>15</v>
      </c>
      <c r="M545">
        <f t="shared" si="431"/>
        <v>9.099557812604018E-4</v>
      </c>
      <c r="N545">
        <f t="shared" si="432"/>
        <v>-1.5707963250000001</v>
      </c>
      <c r="O545">
        <f t="shared" si="433"/>
        <v>806.41760815120745</v>
      </c>
      <c r="P545">
        <f t="shared" si="434"/>
        <v>1.569556274189174</v>
      </c>
      <c r="Q545">
        <f t="shared" si="435"/>
        <v>629.36167976477168</v>
      </c>
      <c r="R545">
        <f t="shared" si="436"/>
        <v>1.5692074146432264</v>
      </c>
      <c r="S545">
        <f t="shared" si="437"/>
        <v>0.11200309182586544</v>
      </c>
      <c r="T545">
        <f t="shared" si="438"/>
        <v>-1.4585577290151064</v>
      </c>
      <c r="U545">
        <f t="shared" si="439"/>
        <v>7.2127919886766714E-2</v>
      </c>
      <c r="V545">
        <f t="shared" si="440"/>
        <v>-1.498605719882794</v>
      </c>
      <c r="X545">
        <f t="shared" si="457"/>
        <v>-55.715414343648291</v>
      </c>
      <c r="Y545">
        <f t="shared" si="441"/>
        <v>-176.41729146747278</v>
      </c>
      <c r="Z545">
        <f t="shared" si="458"/>
        <v>3.5827085325272208</v>
      </c>
      <c r="AC545">
        <v>1</v>
      </c>
      <c r="AD545">
        <f t="shared" si="442"/>
        <v>806.41698812482502</v>
      </c>
      <c r="AE545">
        <f t="shared" si="443"/>
        <v>-0.68762457016605771</v>
      </c>
      <c r="AF545">
        <f t="shared" si="444"/>
        <v>4.9726447933113004E-2</v>
      </c>
      <c r="AG545">
        <f t="shared" si="421"/>
        <v>82.921534791393015</v>
      </c>
      <c r="AH545">
        <f t="shared" si="422"/>
        <v>-1166.7610925373669</v>
      </c>
      <c r="AJ545">
        <f t="shared" si="445"/>
        <v>22100</v>
      </c>
      <c r="AK545">
        <f t="shared" si="446"/>
        <v>196074.441409736</v>
      </c>
      <c r="AL545">
        <v>1</v>
      </c>
      <c r="AM545">
        <f t="shared" si="447"/>
        <v>629.36088530852874</v>
      </c>
      <c r="AN545">
        <f t="shared" si="423"/>
        <v>311.60033276572204</v>
      </c>
      <c r="AO545">
        <f t="shared" si="424"/>
        <v>-34.619882130986028</v>
      </c>
      <c r="AQ545">
        <f t="shared" si="448"/>
        <v>9.1273346238776002E-4</v>
      </c>
      <c r="AR545">
        <f t="shared" si="449"/>
        <v>-3.0211477605034855</v>
      </c>
      <c r="AT545">
        <f t="shared" si="470"/>
        <v>-3524.8819765023095</v>
      </c>
      <c r="AU545">
        <f t="shared" si="471"/>
        <v>-251.58315102429984</v>
      </c>
      <c r="AV545">
        <f t="shared" si="459"/>
        <v>-3.0703399844889794</v>
      </c>
      <c r="AW545">
        <f t="shared" si="460"/>
        <v>286.75691901087242</v>
      </c>
      <c r="AX545">
        <f t="shared" si="461"/>
        <v>-2229.8519929313106</v>
      </c>
      <c r="AY545">
        <f t="shared" si="469"/>
        <v>-1.4428992047176075</v>
      </c>
      <c r="BA545">
        <f t="shared" si="450"/>
        <v>1.5718466389067047</v>
      </c>
      <c r="BB545">
        <f t="shared" si="462"/>
        <v>3.9282034151665495</v>
      </c>
      <c r="BC545">
        <f t="shared" si="463"/>
        <v>-1.6274407797713719</v>
      </c>
      <c r="BD545">
        <f t="shared" si="451"/>
        <v>-273.24548819492782</v>
      </c>
      <c r="BF545">
        <f t="shared" si="452"/>
        <v>-63.22349104861015</v>
      </c>
      <c r="BG545">
        <f t="shared" si="453"/>
        <v>-190.06770698109989</v>
      </c>
      <c r="BH545">
        <f t="shared" si="464"/>
        <v>-10.067706981099889</v>
      </c>
      <c r="BI545">
        <f t="shared" si="465"/>
        <v>-10.067706981099889</v>
      </c>
      <c r="BJ545">
        <f t="shared" si="454"/>
        <v>0</v>
      </c>
      <c r="BK545">
        <f t="shared" si="466"/>
        <v>0</v>
      </c>
      <c r="BM545">
        <f t="shared" si="467"/>
        <v>-67.151694463776693</v>
      </c>
      <c r="BN545">
        <f t="shared" si="455"/>
        <v>-96.822218786172115</v>
      </c>
      <c r="BQ545" s="47">
        <f t="shared" si="468"/>
        <v>20.830164215451688</v>
      </c>
    </row>
    <row r="546" spans="1:69">
      <c r="A546">
        <f t="shared" si="472"/>
        <v>1660000</v>
      </c>
      <c r="B546">
        <f t="shared" si="456"/>
        <v>1660</v>
      </c>
      <c r="C546">
        <f t="shared" si="425"/>
        <v>8.4037792375365381</v>
      </c>
      <c r="D546">
        <f t="shared" si="426"/>
        <v>1.4515196217986095</v>
      </c>
      <c r="F546">
        <f t="shared" si="427"/>
        <v>3.4715280452976013E-6</v>
      </c>
      <c r="G546">
        <f t="shared" si="428"/>
        <v>5.6175527285417376E-4</v>
      </c>
      <c r="H546">
        <f t="shared" si="429"/>
        <v>-3.1410308947271459</v>
      </c>
      <c r="J546">
        <f t="shared" si="430"/>
        <v>15</v>
      </c>
      <c r="M546">
        <f t="shared" si="431"/>
        <v>9.0721495059395483E-4</v>
      </c>
      <c r="N546">
        <f t="shared" si="432"/>
        <v>-1.5707963250000001</v>
      </c>
      <c r="O546">
        <f t="shared" si="433"/>
        <v>808.8539113837345</v>
      </c>
      <c r="P546">
        <f t="shared" si="434"/>
        <v>1.5695600092835722</v>
      </c>
      <c r="Q546">
        <f t="shared" si="435"/>
        <v>631.26306977457909</v>
      </c>
      <c r="R546">
        <f t="shared" si="436"/>
        <v>1.5692122005151827</v>
      </c>
      <c r="S546">
        <f t="shared" si="437"/>
        <v>0.11166994631373163</v>
      </c>
      <c r="T546">
        <f t="shared" si="438"/>
        <v>-1.4588929776714623</v>
      </c>
      <c r="U546">
        <f t="shared" si="439"/>
        <v>7.191179228484984E-2</v>
      </c>
      <c r="V546">
        <f t="shared" si="440"/>
        <v>-1.4988224101868524</v>
      </c>
      <c r="X546">
        <f t="shared" si="457"/>
        <v>-55.767726715339727</v>
      </c>
      <c r="Y546">
        <f t="shared" si="441"/>
        <v>-176.42807372810006</v>
      </c>
      <c r="Z546">
        <f t="shared" si="458"/>
        <v>3.5719262718999403</v>
      </c>
      <c r="AC546">
        <v>1</v>
      </c>
      <c r="AD546">
        <f t="shared" si="442"/>
        <v>808.85329322490009</v>
      </c>
      <c r="AE546">
        <f t="shared" si="443"/>
        <v>-0.69178567758585219</v>
      </c>
      <c r="AF546">
        <f t="shared" si="444"/>
        <v>4.9876678893635999E-2</v>
      </c>
      <c r="AG546">
        <f t="shared" si="421"/>
        <v>82.425339091727707</v>
      </c>
      <c r="AH546">
        <f t="shared" si="422"/>
        <v>-1163.282526840768</v>
      </c>
      <c r="AJ546">
        <f t="shared" si="445"/>
        <v>22100</v>
      </c>
      <c r="AK546">
        <f t="shared" si="446"/>
        <v>196666.81132336057</v>
      </c>
      <c r="AL546">
        <v>1</v>
      </c>
      <c r="AM546">
        <f t="shared" si="447"/>
        <v>631.26227771127355</v>
      </c>
      <c r="AN546">
        <f t="shared" si="423"/>
        <v>311.60000189212866</v>
      </c>
      <c r="AO546">
        <f t="shared" si="424"/>
        <v>-34.515605901725429</v>
      </c>
      <c r="AQ546">
        <f t="shared" si="448"/>
        <v>9.0724334924849857E-4</v>
      </c>
      <c r="AR546">
        <f t="shared" si="449"/>
        <v>-3.0120479195050152</v>
      </c>
      <c r="AT546">
        <f t="shared" si="470"/>
        <v>-3503.7879349265718</v>
      </c>
      <c r="AU546">
        <f t="shared" si="471"/>
        <v>-249.3244514615071</v>
      </c>
      <c r="AV546">
        <f t="shared" si="459"/>
        <v>-3.0705538496829048</v>
      </c>
      <c r="AW546">
        <f t="shared" si="460"/>
        <v>286.90849021951726</v>
      </c>
      <c r="AX546">
        <f t="shared" si="461"/>
        <v>-2223.1686493692932</v>
      </c>
      <c r="AY546">
        <f t="shared" si="469"/>
        <v>-1.4424518533942385</v>
      </c>
      <c r="BA546">
        <f t="shared" si="450"/>
        <v>1.5670230461366299</v>
      </c>
      <c r="BB546">
        <f t="shared" si="462"/>
        <v>3.9015076732948102</v>
      </c>
      <c r="BC546">
        <f t="shared" si="463"/>
        <v>-1.6281019962886663</v>
      </c>
      <c r="BD546">
        <f t="shared" si="451"/>
        <v>-273.28337311075637</v>
      </c>
      <c r="BF546">
        <f t="shared" si="452"/>
        <v>-63.276760878767121</v>
      </c>
      <c r="BG546">
        <f t="shared" si="453"/>
        <v>-190.08523859994912</v>
      </c>
      <c r="BH546">
        <f t="shared" si="464"/>
        <v>-10.085238599949122</v>
      </c>
      <c r="BI546">
        <f t="shared" si="465"/>
        <v>-10.085238599949122</v>
      </c>
      <c r="BJ546">
        <f t="shared" si="454"/>
        <v>0</v>
      </c>
      <c r="BK546">
        <f t="shared" si="466"/>
        <v>0</v>
      </c>
      <c r="BM546">
        <f t="shared" si="467"/>
        <v>-67.178268552061937</v>
      </c>
      <c r="BN546">
        <f t="shared" si="455"/>
        <v>-96.801865489192735</v>
      </c>
      <c r="BQ546" s="47">
        <f t="shared" si="468"/>
        <v>20.803468473579947</v>
      </c>
    </row>
    <row r="547" spans="1:69">
      <c r="A547">
        <f t="shared" si="472"/>
        <v>1665000</v>
      </c>
      <c r="B547">
        <f t="shared" si="456"/>
        <v>1665</v>
      </c>
      <c r="C547">
        <f t="shared" si="425"/>
        <v>8.4287339402546451</v>
      </c>
      <c r="D547">
        <f t="shared" si="426"/>
        <v>1.4518744375472195</v>
      </c>
      <c r="F547">
        <f t="shared" si="427"/>
        <v>3.4507092634740298E-6</v>
      </c>
      <c r="G547">
        <f t="shared" si="428"/>
        <v>5.6006830856636174E-4</v>
      </c>
      <c r="H547">
        <f t="shared" si="429"/>
        <v>-3.1410325816914337</v>
      </c>
      <c r="J547">
        <f t="shared" si="430"/>
        <v>15</v>
      </c>
      <c r="M547">
        <f t="shared" si="431"/>
        <v>9.0449058137295204E-4</v>
      </c>
      <c r="N547">
        <f t="shared" si="432"/>
        <v>-1.5707963250000001</v>
      </c>
      <c r="O547">
        <f t="shared" si="433"/>
        <v>811.29021462747812</v>
      </c>
      <c r="P547">
        <f t="shared" si="434"/>
        <v>1.5695637219450054</v>
      </c>
      <c r="Q547">
        <f t="shared" si="435"/>
        <v>633.16445979875823</v>
      </c>
      <c r="R547">
        <f t="shared" si="436"/>
        <v>1.5692169576432351</v>
      </c>
      <c r="S547">
        <f t="shared" si="437"/>
        <v>0.11133876435874215</v>
      </c>
      <c r="T547">
        <f t="shared" si="438"/>
        <v>-1.4592262378568273</v>
      </c>
      <c r="U547">
        <f t="shared" si="439"/>
        <v>7.169695270752495E-2</v>
      </c>
      <c r="V547">
        <f t="shared" si="440"/>
        <v>-1.4990378057577378</v>
      </c>
      <c r="X547">
        <f t="shared" si="457"/>
        <v>-55.819882305468781</v>
      </c>
      <c r="Y547">
        <f t="shared" si="441"/>
        <v>-176.4387913151939</v>
      </c>
      <c r="Z547">
        <f t="shared" si="458"/>
        <v>3.561208684806104</v>
      </c>
      <c r="AC547">
        <v>1</v>
      </c>
      <c r="AD547">
        <f t="shared" si="442"/>
        <v>811.28959832497515</v>
      </c>
      <c r="AE547">
        <f t="shared" si="443"/>
        <v>-0.69595933736588733</v>
      </c>
      <c r="AF547">
        <f t="shared" si="444"/>
        <v>5.0026909854159002E-2</v>
      </c>
      <c r="AG547">
        <f t="shared" si="421"/>
        <v>81.933576269331283</v>
      </c>
      <c r="AH547">
        <f t="shared" si="422"/>
        <v>-1159.824534786801</v>
      </c>
      <c r="AJ547">
        <f t="shared" si="445"/>
        <v>22100</v>
      </c>
      <c r="AK547">
        <f t="shared" si="446"/>
        <v>197259.18123698514</v>
      </c>
      <c r="AL547">
        <v>1</v>
      </c>
      <c r="AM547">
        <f t="shared" si="447"/>
        <v>633.16367011401837</v>
      </c>
      <c r="AN547">
        <f t="shared" si="423"/>
        <v>311.59967399489057</v>
      </c>
      <c r="AO547">
        <f t="shared" si="424"/>
        <v>-34.411955951423288</v>
      </c>
      <c r="AQ547">
        <f t="shared" si="448"/>
        <v>9.0180262227970113E-4</v>
      </c>
      <c r="AR547">
        <f t="shared" si="449"/>
        <v>-3.0030027321914048</v>
      </c>
      <c r="AT547">
        <f t="shared" si="470"/>
        <v>-3482.8823589134558</v>
      </c>
      <c r="AU547">
        <f t="shared" si="471"/>
        <v>-247.09268620186975</v>
      </c>
      <c r="AV547">
        <f t="shared" si="459"/>
        <v>-3.0707664371112524</v>
      </c>
      <c r="AW547">
        <f t="shared" si="460"/>
        <v>287.05866865251284</v>
      </c>
      <c r="AX547">
        <f t="shared" si="461"/>
        <v>-2216.5251514583906</v>
      </c>
      <c r="AY547">
        <f t="shared" si="469"/>
        <v>-1.4420047641662894</v>
      </c>
      <c r="BA547">
        <f t="shared" si="450"/>
        <v>1.5622281530102851</v>
      </c>
      <c r="BB547">
        <f t="shared" si="462"/>
        <v>3.8748891997583943</v>
      </c>
      <c r="BC547">
        <f t="shared" si="463"/>
        <v>-1.628761672944963</v>
      </c>
      <c r="BD547">
        <f t="shared" si="451"/>
        <v>-273.32116979904868</v>
      </c>
      <c r="BF547">
        <f t="shared" si="452"/>
        <v>-63.329871320602258</v>
      </c>
      <c r="BG547">
        <f t="shared" si="453"/>
        <v>-190.10280249925205</v>
      </c>
      <c r="BH547">
        <f t="shared" si="464"/>
        <v>-10.10280249925205</v>
      </c>
      <c r="BI547">
        <f t="shared" si="465"/>
        <v>-10.10280249925205</v>
      </c>
      <c r="BJ547">
        <f t="shared" si="454"/>
        <v>0</v>
      </c>
      <c r="BK547">
        <f t="shared" si="466"/>
        <v>0</v>
      </c>
      <c r="BM547">
        <f t="shared" si="467"/>
        <v>-67.204760520360651</v>
      </c>
      <c r="BN547">
        <f t="shared" si="455"/>
        <v>-96.781632700203374</v>
      </c>
      <c r="BQ547" s="47">
        <f t="shared" si="468"/>
        <v>20.776850000043531</v>
      </c>
    </row>
    <row r="548" spans="1:69">
      <c r="A548">
        <f t="shared" si="472"/>
        <v>1670000</v>
      </c>
      <c r="B548">
        <f t="shared" si="456"/>
        <v>1670</v>
      </c>
      <c r="C548">
        <f t="shared" si="425"/>
        <v>8.453689697836765</v>
      </c>
      <c r="D548">
        <f t="shared" si="426"/>
        <v>1.4522271584687532</v>
      </c>
      <c r="F548">
        <f t="shared" si="427"/>
        <v>3.4300771974554934E-6</v>
      </c>
      <c r="G548">
        <f t="shared" si="428"/>
        <v>5.5839144596408932E-4</v>
      </c>
      <c r="H548">
        <f t="shared" si="429"/>
        <v>-3.1410342585540363</v>
      </c>
      <c r="J548">
        <f t="shared" si="430"/>
        <v>15</v>
      </c>
      <c r="M548">
        <f t="shared" si="431"/>
        <v>9.0178252574009887E-4</v>
      </c>
      <c r="N548">
        <f t="shared" si="432"/>
        <v>-1.5707963250000001</v>
      </c>
      <c r="O548">
        <f t="shared" si="433"/>
        <v>813.72651788233736</v>
      </c>
      <c r="P548">
        <f t="shared" si="434"/>
        <v>1.5695674123749666</v>
      </c>
      <c r="Q548">
        <f t="shared" si="435"/>
        <v>635.06584983718039</v>
      </c>
      <c r="R548">
        <f t="shared" si="436"/>
        <v>1.5692216862855615</v>
      </c>
      <c r="S548">
        <f t="shared" si="437"/>
        <v>0.11100952876218451</v>
      </c>
      <c r="T548">
        <f t="shared" si="438"/>
        <v>-1.4595575271369399</v>
      </c>
      <c r="U548">
        <f t="shared" si="439"/>
        <v>7.1483389704631042E-2</v>
      </c>
      <c r="V548">
        <f t="shared" si="440"/>
        <v>-1.4992519181452006</v>
      </c>
      <c r="X548">
        <f t="shared" si="457"/>
        <v>-55.871882049306848</v>
      </c>
      <c r="Y548">
        <f t="shared" si="441"/>
        <v>-176.44944480858814</v>
      </c>
      <c r="Z548">
        <f t="shared" si="458"/>
        <v>3.5505551914118598</v>
      </c>
      <c r="AC548">
        <v>1</v>
      </c>
      <c r="AD548">
        <f t="shared" si="442"/>
        <v>813.72590342505009</v>
      </c>
      <c r="AE548">
        <f t="shared" si="443"/>
        <v>-0.70014554950616315</v>
      </c>
      <c r="AF548">
        <f t="shared" si="444"/>
        <v>5.0177140814682004E-2</v>
      </c>
      <c r="AG548">
        <f t="shared" si="421"/>
        <v>81.446193768530719</v>
      </c>
      <c r="AH548">
        <f t="shared" si="422"/>
        <v>-1156.3869353487614</v>
      </c>
      <c r="AJ548">
        <f t="shared" si="445"/>
        <v>22100</v>
      </c>
      <c r="AK548">
        <f t="shared" si="446"/>
        <v>197851.55115060974</v>
      </c>
      <c r="AL548">
        <v>1</v>
      </c>
      <c r="AM548">
        <f t="shared" si="447"/>
        <v>635.06506251676319</v>
      </c>
      <c r="AN548">
        <f t="shared" si="423"/>
        <v>311.59934903841639</v>
      </c>
      <c r="AO548">
        <f t="shared" si="424"/>
        <v>-34.308926654875549</v>
      </c>
      <c r="AQ548">
        <f t="shared" si="448"/>
        <v>8.9641069091660772E-4</v>
      </c>
      <c r="AR548">
        <f t="shared" si="449"/>
        <v>-2.9940117076614698</v>
      </c>
      <c r="AT548">
        <f t="shared" si="470"/>
        <v>-3462.1630137821303</v>
      </c>
      <c r="AU548">
        <f t="shared" si="471"/>
        <v>-244.88745529912856</v>
      </c>
      <c r="AV548">
        <f t="shared" si="459"/>
        <v>-3.0709777581713689</v>
      </c>
      <c r="AW548">
        <f t="shared" si="460"/>
        <v>287.20747139843877</v>
      </c>
      <c r="AX548">
        <f t="shared" si="461"/>
        <v>-2209.9211447841499</v>
      </c>
      <c r="AY548">
        <f t="shared" si="469"/>
        <v>-1.4415579351068897</v>
      </c>
      <c r="BA548">
        <f t="shared" si="450"/>
        <v>1.5574617020615917</v>
      </c>
      <c r="BB548">
        <f t="shared" si="462"/>
        <v>3.8483475234740361</v>
      </c>
      <c r="BC548">
        <f t="shared" si="463"/>
        <v>-1.6294198230644792</v>
      </c>
      <c r="BD548">
        <f t="shared" si="451"/>
        <v>-273.35887902322611</v>
      </c>
      <c r="BF548">
        <f t="shared" si="452"/>
        <v>-63.382823356986464</v>
      </c>
      <c r="BG548">
        <f t="shared" si="453"/>
        <v>-190.12039838040656</v>
      </c>
      <c r="BH548">
        <f t="shared" si="464"/>
        <v>-10.120398380406556</v>
      </c>
      <c r="BI548">
        <f t="shared" si="465"/>
        <v>-10.120398380406556</v>
      </c>
      <c r="BJ548">
        <f t="shared" si="454"/>
        <v>0</v>
      </c>
      <c r="BK548">
        <f t="shared" si="466"/>
        <v>0</v>
      </c>
      <c r="BM548">
        <f t="shared" si="467"/>
        <v>-67.231170880460496</v>
      </c>
      <c r="BN548">
        <f t="shared" si="455"/>
        <v>-96.761519357180489</v>
      </c>
      <c r="BQ548" s="47">
        <f t="shared" si="468"/>
        <v>20.750308323759175</v>
      </c>
    </row>
    <row r="549" spans="1:69">
      <c r="A549">
        <f t="shared" si="472"/>
        <v>1675000</v>
      </c>
      <c r="B549">
        <f t="shared" si="456"/>
        <v>1675</v>
      </c>
      <c r="C549">
        <f t="shared" si="425"/>
        <v>8.4786465009683454</v>
      </c>
      <c r="D549">
        <f t="shared" si="426"/>
        <v>1.4525778029733574</v>
      </c>
      <c r="F549">
        <f t="shared" si="427"/>
        <v>3.4096296211180613E-6</v>
      </c>
      <c r="G549">
        <f t="shared" si="428"/>
        <v>5.5672459458327636E-4</v>
      </c>
      <c r="H549">
        <f t="shared" si="429"/>
        <v>-3.1410359254054168</v>
      </c>
      <c r="J549">
        <f t="shared" si="430"/>
        <v>15</v>
      </c>
      <c r="M549">
        <f t="shared" si="431"/>
        <v>8.9909063760356127E-4</v>
      </c>
      <c r="N549">
        <f t="shared" si="432"/>
        <v>-1.5707963250000001</v>
      </c>
      <c r="O549">
        <f t="shared" si="433"/>
        <v>816.16282114821297</v>
      </c>
      <c r="P549">
        <f t="shared" si="434"/>
        <v>1.5695710807725431</v>
      </c>
      <c r="Q549">
        <f t="shared" si="435"/>
        <v>636.96723988971792</v>
      </c>
      <c r="R549">
        <f t="shared" si="436"/>
        <v>1.5692263866972573</v>
      </c>
      <c r="S549">
        <f t="shared" si="437"/>
        <v>0.11068222252431571</v>
      </c>
      <c r="T549">
        <f t="shared" si="438"/>
        <v>-1.459886862872114</v>
      </c>
      <c r="U549">
        <f t="shared" si="439"/>
        <v>7.127109196097195E-2</v>
      </c>
      <c r="V549">
        <f t="shared" si="440"/>
        <v>-1.4994647587622589</v>
      </c>
      <c r="X549">
        <f t="shared" si="457"/>
        <v>-55.923726873796554</v>
      </c>
      <c r="Y549">
        <f t="shared" si="441"/>
        <v>-176.46003478121</v>
      </c>
      <c r="Z549">
        <f t="shared" si="458"/>
        <v>3.5399652187900017</v>
      </c>
      <c r="AC549">
        <v>1</v>
      </c>
      <c r="AD549">
        <f t="shared" si="442"/>
        <v>816.16220852512515</v>
      </c>
      <c r="AE549">
        <f t="shared" si="443"/>
        <v>-0.70434431400667963</v>
      </c>
      <c r="AF549">
        <f t="shared" si="444"/>
        <v>5.0327371775205007E-2</v>
      </c>
      <c r="AG549">
        <f t="shared" si="421"/>
        <v>80.963139808883867</v>
      </c>
      <c r="AH549">
        <f t="shared" si="422"/>
        <v>-1152.9695496060669</v>
      </c>
      <c r="AJ549">
        <f t="shared" si="445"/>
        <v>22100</v>
      </c>
      <c r="AK549">
        <f t="shared" si="446"/>
        <v>198443.92106423431</v>
      </c>
      <c r="AL549">
        <v>1</v>
      </c>
      <c r="AM549">
        <f t="shared" si="447"/>
        <v>636.96645491950801</v>
      </c>
      <c r="AN549">
        <f t="shared" si="423"/>
        <v>311.599026987645</v>
      </c>
      <c r="AO549">
        <f t="shared" si="424"/>
        <v>-34.206512454043917</v>
      </c>
      <c r="AQ549">
        <f t="shared" si="448"/>
        <v>8.9106697339568072E-4</v>
      </c>
      <c r="AR549">
        <f t="shared" si="449"/>
        <v>-2.9850743608755304</v>
      </c>
      <c r="AT549">
        <f t="shared" si="470"/>
        <v>-3441.6276978193323</v>
      </c>
      <c r="AU549">
        <f t="shared" si="471"/>
        <v>-242.70836590646508</v>
      </c>
      <c r="AV549">
        <f t="shared" si="459"/>
        <v>-3.0711878241256887</v>
      </c>
      <c r="AW549">
        <f t="shared" si="460"/>
        <v>287.35491528353731</v>
      </c>
      <c r="AX549">
        <f t="shared" si="461"/>
        <v>-2203.3562791127665</v>
      </c>
      <c r="AY549">
        <f t="shared" si="469"/>
        <v>-1.4411113643156779</v>
      </c>
      <c r="BA549">
        <f t="shared" si="450"/>
        <v>1.5527234388962188</v>
      </c>
      <c r="BB549">
        <f t="shared" si="462"/>
        <v>3.8218821775825838</v>
      </c>
      <c r="BC549">
        <f t="shared" si="463"/>
        <v>-1.6300764598100108</v>
      </c>
      <c r="BD549">
        <f t="shared" si="451"/>
        <v>-273.39650153746123</v>
      </c>
      <c r="BF549">
        <f t="shared" si="452"/>
        <v>-63.435617961751944</v>
      </c>
      <c r="BG549">
        <f t="shared" si="453"/>
        <v>-190.13802594794475</v>
      </c>
      <c r="BH549">
        <f t="shared" si="464"/>
        <v>-10.138025947944755</v>
      </c>
      <c r="BI549">
        <f t="shared" si="465"/>
        <v>-10.138025947944755</v>
      </c>
      <c r="BJ549">
        <f t="shared" si="454"/>
        <v>0</v>
      </c>
      <c r="BK549">
        <f t="shared" si="466"/>
        <v>0</v>
      </c>
      <c r="BM549">
        <f t="shared" si="467"/>
        <v>-67.257500139334525</v>
      </c>
      <c r="BN549">
        <f t="shared" si="455"/>
        <v>-96.741524410483535</v>
      </c>
      <c r="BQ549" s="47">
        <f t="shared" si="468"/>
        <v>20.723842977867722</v>
      </c>
    </row>
    <row r="550" spans="1:69">
      <c r="A550">
        <f t="shared" si="472"/>
        <v>1680000</v>
      </c>
      <c r="B550">
        <f t="shared" si="456"/>
        <v>1680</v>
      </c>
      <c r="C550">
        <f t="shared" si="425"/>
        <v>8.5036043404437933</v>
      </c>
      <c r="D550">
        <f t="shared" si="426"/>
        <v>1.4529263892571012</v>
      </c>
      <c r="F550">
        <f t="shared" si="427"/>
        <v>3.3893643414154957E-6</v>
      </c>
      <c r="G550">
        <f t="shared" si="428"/>
        <v>5.5506766503681524E-4</v>
      </c>
      <c r="H550">
        <f t="shared" si="429"/>
        <v>-3.1410375823349632</v>
      </c>
      <c r="J550">
        <f t="shared" si="430"/>
        <v>15</v>
      </c>
      <c r="M550">
        <f t="shared" si="431"/>
        <v>8.9641477261069341E-4</v>
      </c>
      <c r="N550">
        <f t="shared" si="432"/>
        <v>-1.5707963250000001</v>
      </c>
      <c r="O550">
        <f t="shared" si="433"/>
        <v>818.59912442500627</v>
      </c>
      <c r="P550">
        <f t="shared" si="434"/>
        <v>1.5695747273344525</v>
      </c>
      <c r="Q550">
        <f t="shared" si="435"/>
        <v>638.86862995624472</v>
      </c>
      <c r="R550">
        <f t="shared" si="436"/>
        <v>1.5692310591303809</v>
      </c>
      <c r="S550">
        <f t="shared" si="437"/>
        <v>0.1103568288415127</v>
      </c>
      <c r="T550">
        <f t="shared" si="438"/>
        <v>-1.4602142622202199</v>
      </c>
      <c r="U550">
        <f t="shared" si="439"/>
        <v>7.1060048294338887E-2</v>
      </c>
      <c r="V550">
        <f t="shared" si="440"/>
        <v>-1.4996763388872125</v>
      </c>
      <c r="X550">
        <f t="shared" si="457"/>
        <v>-55.975417697650229</v>
      </c>
      <c r="Y550">
        <f t="shared" si="441"/>
        <v>-176.47056179918263</v>
      </c>
      <c r="Z550">
        <f t="shared" si="458"/>
        <v>3.529438200817367</v>
      </c>
      <c r="AC550">
        <v>1</v>
      </c>
      <c r="AD550">
        <f t="shared" si="442"/>
        <v>818.59851362519998</v>
      </c>
      <c r="AE550">
        <f t="shared" si="443"/>
        <v>-0.70855563086743689</v>
      </c>
      <c r="AF550">
        <f t="shared" si="444"/>
        <v>5.047760273572801E-2</v>
      </c>
      <c r="AG550">
        <f t="shared" si="421"/>
        <v>80.484363371520956</v>
      </c>
      <c r="AH550">
        <f t="shared" si="422"/>
        <v>-1149.572200713885</v>
      </c>
      <c r="AJ550">
        <f t="shared" si="445"/>
        <v>22100</v>
      </c>
      <c r="AK550">
        <f t="shared" si="446"/>
        <v>199036.29097785888</v>
      </c>
      <c r="AL550">
        <v>1</v>
      </c>
      <c r="AM550">
        <f t="shared" si="447"/>
        <v>638.86784732225283</v>
      </c>
      <c r="AN550">
        <f t="shared" si="423"/>
        <v>311.59870780803652</v>
      </c>
      <c r="AO550">
        <f t="shared" si="424"/>
        <v>-34.104707857056425</v>
      </c>
      <c r="AQ550">
        <f t="shared" si="448"/>
        <v>8.8577089659767428E-4</v>
      </c>
      <c r="AR550">
        <f t="shared" si="449"/>
        <v>-2.9761902125681856</v>
      </c>
      <c r="AT550">
        <f t="shared" si="470"/>
        <v>-3421.2742416984283</v>
      </c>
      <c r="AU550">
        <f t="shared" si="471"/>
        <v>-240.55503213003215</v>
      </c>
      <c r="AV550">
        <f t="shared" si="459"/>
        <v>-3.0713966461037217</v>
      </c>
      <c r="AW550">
        <f t="shared" si="460"/>
        <v>287.50101687654848</v>
      </c>
      <c r="AX550">
        <f t="shared" si="461"/>
        <v>-2196.8302083297635</v>
      </c>
      <c r="AY550">
        <f t="shared" si="469"/>
        <v>-1.4406650499183709</v>
      </c>
      <c r="BA550">
        <f t="shared" si="450"/>
        <v>1.5480131121459262</v>
      </c>
      <c r="BB550">
        <f t="shared" si="462"/>
        <v>3.7954926993987725</v>
      </c>
      <c r="BC550">
        <f t="shared" si="463"/>
        <v>-1.6307315961853508</v>
      </c>
      <c r="BD550">
        <f t="shared" si="451"/>
        <v>-273.4340380868166</v>
      </c>
      <c r="BF550">
        <f t="shared" si="452"/>
        <v>-63.488256099803102</v>
      </c>
      <c r="BG550">
        <f t="shared" si="453"/>
        <v>-190.15568490949272</v>
      </c>
      <c r="BH550">
        <f t="shared" si="464"/>
        <v>-10.15568490949272</v>
      </c>
      <c r="BI550">
        <f t="shared" si="465"/>
        <v>-10.15568490949272</v>
      </c>
      <c r="BJ550">
        <f t="shared" si="454"/>
        <v>0</v>
      </c>
      <c r="BK550">
        <f t="shared" si="466"/>
        <v>0</v>
      </c>
      <c r="BM550">
        <f t="shared" si="467"/>
        <v>-67.283748799201874</v>
      </c>
      <c r="BN550">
        <f t="shared" si="455"/>
        <v>-96.721646822676121</v>
      </c>
      <c r="BQ550" s="47">
        <f t="shared" si="468"/>
        <v>20.69745349968391</v>
      </c>
    </row>
    <row r="551" spans="1:69">
      <c r="A551">
        <f t="shared" si="472"/>
        <v>1685000</v>
      </c>
      <c r="B551">
        <f t="shared" si="456"/>
        <v>1685</v>
      </c>
      <c r="C551">
        <f t="shared" si="425"/>
        <v>8.5285632071648951</v>
      </c>
      <c r="D551">
        <f t="shared" si="426"/>
        <v>1.4532729353050651</v>
      </c>
      <c r="F551">
        <f t="shared" si="427"/>
        <v>3.3692791977912032E-6</v>
      </c>
      <c r="G551">
        <f t="shared" si="428"/>
        <v>5.5342056899858978E-4</v>
      </c>
      <c r="H551">
        <f t="shared" si="429"/>
        <v>-3.1410392294310014</v>
      </c>
      <c r="J551">
        <f t="shared" si="430"/>
        <v>15</v>
      </c>
      <c r="M551">
        <f t="shared" si="431"/>
        <v>8.9375478812223454E-4</v>
      </c>
      <c r="N551">
        <f t="shared" si="432"/>
        <v>-1.5707963250000001</v>
      </c>
      <c r="O551">
        <f t="shared" si="433"/>
        <v>821.03542771262039</v>
      </c>
      <c r="P551">
        <f t="shared" si="434"/>
        <v>1.5695783522550772</v>
      </c>
      <c r="Q551">
        <f t="shared" si="435"/>
        <v>640.77002003663631</v>
      </c>
      <c r="R551">
        <f t="shared" si="436"/>
        <v>1.5692357038339988</v>
      </c>
      <c r="S551">
        <f t="shared" si="437"/>
        <v>0.11003333110347084</v>
      </c>
      <c r="T551">
        <f t="shared" si="438"/>
        <v>-1.4605397421396151</v>
      </c>
      <c r="U551">
        <f t="shared" si="439"/>
        <v>7.0850247653567455E-2</v>
      </c>
      <c r="V551">
        <f t="shared" si="440"/>
        <v>-1.4998866696656217</v>
      </c>
      <c r="X551">
        <f t="shared" si="457"/>
        <v>-56.026955431446837</v>
      </c>
      <c r="Y551">
        <f t="shared" si="441"/>
        <v>-176.48102642192566</v>
      </c>
      <c r="Z551">
        <f t="shared" si="458"/>
        <v>3.5189735780743376</v>
      </c>
      <c r="AC551">
        <v>1</v>
      </c>
      <c r="AD551">
        <f t="shared" si="442"/>
        <v>821.03481872527504</v>
      </c>
      <c r="AE551">
        <f t="shared" si="443"/>
        <v>-0.71277950008843494</v>
      </c>
      <c r="AF551">
        <f t="shared" si="444"/>
        <v>5.0627833696251012E-2</v>
      </c>
      <c r="AG551">
        <f t="shared" si="421"/>
        <v>80.009814185766075</v>
      </c>
      <c r="AH551">
        <f t="shared" si="422"/>
        <v>-1146.1947138732899</v>
      </c>
      <c r="AJ551">
        <f t="shared" si="445"/>
        <v>22100</v>
      </c>
      <c r="AK551">
        <f t="shared" si="446"/>
        <v>199628.66089148345</v>
      </c>
      <c r="AL551">
        <v>1</v>
      </c>
      <c r="AM551">
        <f t="shared" si="447"/>
        <v>640.76923972499765</v>
      </c>
      <c r="AN551">
        <f t="shared" si="423"/>
        <v>311.59839146556249</v>
      </c>
      <c r="AO551">
        <f t="shared" si="424"/>
        <v>-34.003507437225743</v>
      </c>
      <c r="AQ551">
        <f t="shared" si="448"/>
        <v>8.8052189589395906E-4</v>
      </c>
      <c r="AR551">
        <f t="shared" si="449"/>
        <v>-2.9673587891626423</v>
      </c>
      <c r="AT551">
        <f t="shared" si="470"/>
        <v>-3401.1005079103898</v>
      </c>
      <c r="AU551">
        <f t="shared" si="471"/>
        <v>-238.42707488592617</v>
      </c>
      <c r="AV551">
        <f t="shared" si="459"/>
        <v>-3.0716042351040027</v>
      </c>
      <c r="AW551">
        <f t="shared" si="460"/>
        <v>287.64579249344121</v>
      </c>
      <c r="AX551">
        <f t="shared" si="461"/>
        <v>-2190.3425903797593</v>
      </c>
      <c r="AY551">
        <f t="shared" si="469"/>
        <v>-1.4402189900663394</v>
      </c>
      <c r="BA551">
        <f t="shared" si="450"/>
        <v>1.5433304734237174</v>
      </c>
      <c r="BB551">
        <f t="shared" si="462"/>
        <v>3.7691786303617225</v>
      </c>
      <c r="BC551">
        <f t="shared" si="463"/>
        <v>-1.6313852450376634</v>
      </c>
      <c r="BD551">
        <f t="shared" si="451"/>
        <v>-273.47148940738049</v>
      </c>
      <c r="BF551">
        <f t="shared" si="452"/>
        <v>-63.540738727225666</v>
      </c>
      <c r="BG551">
        <f t="shared" si="453"/>
        <v>-190.17337497573018</v>
      </c>
      <c r="BH551">
        <f t="shared" si="464"/>
        <v>-10.173374975730184</v>
      </c>
      <c r="BI551">
        <f t="shared" si="465"/>
        <v>-10.173374975730184</v>
      </c>
      <c r="BJ551">
        <f t="shared" si="454"/>
        <v>0</v>
      </c>
      <c r="BK551">
        <f t="shared" si="466"/>
        <v>0</v>
      </c>
      <c r="BM551">
        <f t="shared" si="467"/>
        <v>-67.309917357587381</v>
      </c>
      <c r="BN551">
        <f t="shared" si="455"/>
        <v>-96.701885568349709</v>
      </c>
      <c r="BQ551" s="47">
        <f t="shared" si="468"/>
        <v>20.671139430646861</v>
      </c>
    </row>
    <row r="552" spans="1:69">
      <c r="A552">
        <f t="shared" si="472"/>
        <v>1690000</v>
      </c>
      <c r="B552">
        <f t="shared" si="456"/>
        <v>1690</v>
      </c>
      <c r="C552">
        <f t="shared" si="425"/>
        <v>8.5535230921392529</v>
      </c>
      <c r="D552">
        <f t="shared" si="426"/>
        <v>1.4536174588943742</v>
      </c>
      <c r="F552">
        <f t="shared" si="427"/>
        <v>3.3493720616023436E-6</v>
      </c>
      <c r="G552">
        <f t="shared" si="428"/>
        <v>5.5178321918778091E-4</v>
      </c>
      <c r="H552">
        <f t="shared" si="429"/>
        <v>-3.1410408667808123</v>
      </c>
      <c r="J552">
        <f t="shared" si="430"/>
        <v>15</v>
      </c>
      <c r="M552">
        <f t="shared" si="431"/>
        <v>8.9111054318696153E-4</v>
      </c>
      <c r="N552">
        <f t="shared" si="432"/>
        <v>-1.5707963250000001</v>
      </c>
      <c r="O552">
        <f t="shared" si="433"/>
        <v>823.47173101095893</v>
      </c>
      <c r="P552">
        <f t="shared" si="434"/>
        <v>1.5695819557264992</v>
      </c>
      <c r="Q552">
        <f t="shared" si="435"/>
        <v>642.67141013076969</v>
      </c>
      <c r="R552">
        <f t="shared" si="436"/>
        <v>1.5692403210542301</v>
      </c>
      <c r="S552">
        <f t="shared" si="437"/>
        <v>0.10971171289045047</v>
      </c>
      <c r="T552">
        <f t="shared" si="438"/>
        <v>-1.4608633193920224</v>
      </c>
      <c r="U552">
        <f t="shared" si="439"/>
        <v>7.0641679116628622E-2</v>
      </c>
      <c r="V552">
        <f t="shared" si="440"/>
        <v>-1.5000957621122506</v>
      </c>
      <c r="X552">
        <f t="shared" si="457"/>
        <v>-56.078340977727592</v>
      </c>
      <c r="Y552">
        <f t="shared" si="441"/>
        <v>-176.49142920225404</v>
      </c>
      <c r="Z552">
        <f t="shared" si="458"/>
        <v>3.5085707977459606</v>
      </c>
      <c r="AC552">
        <v>1</v>
      </c>
      <c r="AD552">
        <f t="shared" si="442"/>
        <v>823.47112382535011</v>
      </c>
      <c r="AE552">
        <f t="shared" si="443"/>
        <v>-0.71701592166967354</v>
      </c>
      <c r="AF552">
        <f t="shared" si="444"/>
        <v>5.0778064656774001E-2</v>
      </c>
      <c r="AG552">
        <f t="shared" ref="AG552:AG615" si="473">AC552*AE552/(AE552^2+AF552^2)+AD552*AF552/(AE552^2+AF552^2)</f>
        <v>79.539442716031218</v>
      </c>
      <c r="AH552">
        <f t="shared" ref="AH552:AH615" si="474">AD552*AE552/(AE552^2+AF552^2)-AC552*AF552/(AE552^2+AF552^2)</f>
        <v>-1142.836916301924</v>
      </c>
      <c r="AJ552">
        <f t="shared" si="445"/>
        <v>22100</v>
      </c>
      <c r="AK552">
        <f t="shared" si="446"/>
        <v>200221.03080510805</v>
      </c>
      <c r="AL552">
        <v>1</v>
      </c>
      <c r="AM552">
        <f t="shared" si="447"/>
        <v>642.67063212774235</v>
      </c>
      <c r="AN552">
        <f t="shared" ref="AN552:AN615" si="475">AJ552*AL552/(AL552^2+AM552^2)+AK552*AM552/(AL552^2+AM552^2)</f>
        <v>311.59807792669739</v>
      </c>
      <c r="AO552">
        <f t="shared" ref="AO552:AO615" si="476">AK552*AL552/(AL552^2+AM552^2)-AJ552*AM552/(AL552^2+AM552^2)</f>
        <v>-33.902905832084869</v>
      </c>
      <c r="AQ552">
        <f t="shared" si="448"/>
        <v>8.7531941499602469E-4</v>
      </c>
      <c r="AR552">
        <f t="shared" si="449"/>
        <v>-2.9585796226865635</v>
      </c>
      <c r="AT552">
        <f t="shared" si="470"/>
        <v>-3381.1043902063548</v>
      </c>
      <c r="AU552">
        <f t="shared" si="471"/>
        <v>-236.32412176050843</v>
      </c>
      <c r="AV552">
        <f t="shared" si="459"/>
        <v>-3.0718106019960114</v>
      </c>
      <c r="AW552">
        <f t="shared" si="460"/>
        <v>287.78925820204341</v>
      </c>
      <c r="AX552">
        <f t="shared" si="461"/>
        <v>-2183.8930872072738</v>
      </c>
      <c r="AY552">
        <f t="shared" si="469"/>
        <v>-1.4397731829361939</v>
      </c>
      <c r="BA552">
        <f t="shared" si="450"/>
        <v>1.53867527727979</v>
      </c>
      <c r="BB552">
        <f t="shared" si="462"/>
        <v>3.7429395159861851</v>
      </c>
      <c r="BC552">
        <f t="shared" si="463"/>
        <v>-1.6320374190598175</v>
      </c>
      <c r="BD552">
        <f t="shared" si="451"/>
        <v>-273.50885622640067</v>
      </c>
      <c r="BF552">
        <f t="shared" si="452"/>
        <v>-63.593066791394257</v>
      </c>
      <c r="BG552">
        <f t="shared" si="453"/>
        <v>-190.1910958603516</v>
      </c>
      <c r="BH552">
        <f t="shared" si="464"/>
        <v>-10.191095860351595</v>
      </c>
      <c r="BI552">
        <f t="shared" si="465"/>
        <v>-10.191095860351595</v>
      </c>
      <c r="BJ552">
        <f t="shared" si="454"/>
        <v>0</v>
      </c>
      <c r="BK552">
        <f t="shared" si="466"/>
        <v>0</v>
      </c>
      <c r="BM552">
        <f t="shared" si="467"/>
        <v>-67.336006307380444</v>
      </c>
      <c r="BN552">
        <f t="shared" si="455"/>
        <v>-96.6822396339509</v>
      </c>
      <c r="BQ552" s="47">
        <f t="shared" si="468"/>
        <v>20.644900316271322</v>
      </c>
    </row>
    <row r="553" spans="1:69">
      <c r="A553">
        <f t="shared" si="472"/>
        <v>1695000</v>
      </c>
      <c r="B553">
        <f t="shared" si="456"/>
        <v>1695</v>
      </c>
      <c r="C553">
        <f t="shared" si="425"/>
        <v>8.5784839864787621</v>
      </c>
      <c r="D553">
        <f t="shared" si="426"/>
        <v>1.4539599775971821</v>
      </c>
      <c r="F553">
        <f t="shared" si="427"/>
        <v>3.3296408355558212E-6</v>
      </c>
      <c r="G553">
        <f t="shared" si="428"/>
        <v>5.5015552935344929E-4</v>
      </c>
      <c r="H553">
        <f t="shared" si="429"/>
        <v>-3.1410424944706468</v>
      </c>
      <c r="J553">
        <f t="shared" si="430"/>
        <v>15</v>
      </c>
      <c r="M553">
        <f t="shared" si="431"/>
        <v>8.8848189851679351E-4</v>
      </c>
      <c r="N553">
        <f t="shared" si="432"/>
        <v>-1.5707963250000001</v>
      </c>
      <c r="O553">
        <f t="shared" si="433"/>
        <v>825.9080343199272</v>
      </c>
      <c r="P553">
        <f t="shared" si="434"/>
        <v>1.5695855379385339</v>
      </c>
      <c r="Q553">
        <f t="shared" si="435"/>
        <v>644.57280023852297</v>
      </c>
      <c r="R553">
        <f t="shared" si="436"/>
        <v>1.5692449110342896</v>
      </c>
      <c r="S553">
        <f t="shared" si="437"/>
        <v>0.10939195797056976</v>
      </c>
      <c r="T553">
        <f t="shared" si="438"/>
        <v>-1.4611850105453614</v>
      </c>
      <c r="U553">
        <f t="shared" si="439"/>
        <v>7.0434331888752824E-2</v>
      </c>
      <c r="V553">
        <f t="shared" si="440"/>
        <v>-1.5003036271129782</v>
      </c>
      <c r="X553">
        <f t="shared" si="457"/>
        <v>-56.129575231089987</v>
      </c>
      <c r="Y553">
        <f t="shared" si="441"/>
        <v>-176.50177068647537</v>
      </c>
      <c r="Z553">
        <f t="shared" si="458"/>
        <v>3.4982293135246323</v>
      </c>
      <c r="AC553">
        <v>1</v>
      </c>
      <c r="AD553">
        <f t="shared" si="442"/>
        <v>825.90742892542505</v>
      </c>
      <c r="AE553">
        <f t="shared" si="443"/>
        <v>-0.72126489561115292</v>
      </c>
      <c r="AF553">
        <f t="shared" si="444"/>
        <v>5.0928295617297004E-2</v>
      </c>
      <c r="AG553">
        <f t="shared" si="473"/>
        <v>79.073200148976795</v>
      </c>
      <c r="AH553">
        <f t="shared" si="474"/>
        <v>-1139.4986372051619</v>
      </c>
      <c r="AJ553">
        <f t="shared" si="445"/>
        <v>22100</v>
      </c>
      <c r="AK553">
        <f t="shared" si="446"/>
        <v>200813.40071873265</v>
      </c>
      <c r="AL553">
        <v>1</v>
      </c>
      <c r="AM553">
        <f t="shared" si="447"/>
        <v>644.57202453048717</v>
      </c>
      <c r="AN553">
        <f t="shared" si="475"/>
        <v>311.59776715840911</v>
      </c>
      <c r="AO553">
        <f t="shared" si="476"/>
        <v>-33.80289774244001</v>
      </c>
      <c r="AQ553">
        <f t="shared" si="448"/>
        <v>8.7016290580808507E-4</v>
      </c>
      <c r="AR553">
        <f t="shared" si="449"/>
        <v>-2.9498522506894083</v>
      </c>
      <c r="AT553">
        <f t="shared" si="470"/>
        <v>-3361.283813051547</v>
      </c>
      <c r="AU553">
        <f t="shared" si="471"/>
        <v>-234.24580687398804</v>
      </c>
      <c r="AV553">
        <f t="shared" si="459"/>
        <v>-3.0720157575220561</v>
      </c>
      <c r="AW553">
        <f t="shared" si="460"/>
        <v>287.93142982657201</v>
      </c>
      <c r="AX553">
        <f t="shared" si="461"/>
        <v>-2177.4813646985713</v>
      </c>
      <c r="AY553">
        <f t="shared" si="469"/>
        <v>-1.4393276267293769</v>
      </c>
      <c r="BA553">
        <f t="shared" si="450"/>
        <v>1.5340472811582653</v>
      </c>
      <c r="BB553">
        <f t="shared" si="462"/>
        <v>3.716774905814511</v>
      </c>
      <c r="BC553">
        <f t="shared" si="463"/>
        <v>-1.6326881307926793</v>
      </c>
      <c r="BD553">
        <f t="shared" si="451"/>
        <v>-273.54613926241592</v>
      </c>
      <c r="BF553">
        <f t="shared" si="452"/>
        <v>-63.645241231078174</v>
      </c>
      <c r="BG553">
        <f t="shared" si="453"/>
        <v>-190.20884728002716</v>
      </c>
      <c r="BH553">
        <f t="shared" si="464"/>
        <v>-10.208847280027157</v>
      </c>
      <c r="BI553">
        <f t="shared" si="465"/>
        <v>-10.208847280027157</v>
      </c>
      <c r="BJ553">
        <f t="shared" si="454"/>
        <v>0</v>
      </c>
      <c r="BK553">
        <f t="shared" si="466"/>
        <v>0</v>
      </c>
      <c r="BM553">
        <f t="shared" si="467"/>
        <v>-67.362016136892692</v>
      </c>
      <c r="BN553">
        <f t="shared" si="455"/>
        <v>-96.662708017611251</v>
      </c>
      <c r="BQ553" s="47">
        <f t="shared" si="468"/>
        <v>20.618735706099649</v>
      </c>
    </row>
    <row r="554" spans="1:69">
      <c r="A554">
        <f t="shared" si="472"/>
        <v>1700000</v>
      </c>
      <c r="B554">
        <f t="shared" si="456"/>
        <v>1700</v>
      </c>
      <c r="C554">
        <f t="shared" si="425"/>
        <v>8.6034458813981125</v>
      </c>
      <c r="D554">
        <f t="shared" si="426"/>
        <v>1.4543005087836023</v>
      </c>
      <c r="F554">
        <f t="shared" si="427"/>
        <v>3.3100834531558561E-6</v>
      </c>
      <c r="G554">
        <f t="shared" si="428"/>
        <v>5.4853741425938817E-4</v>
      </c>
      <c r="H554">
        <f t="shared" si="429"/>
        <v>-3.1410441125857407</v>
      </c>
      <c r="J554">
        <f t="shared" si="430"/>
        <v>15</v>
      </c>
      <c r="M554">
        <f t="shared" si="431"/>
        <v>8.8586871646233244E-4</v>
      </c>
      <c r="N554">
        <f t="shared" si="432"/>
        <v>-1.5707963250000001</v>
      </c>
      <c r="O554">
        <f t="shared" si="433"/>
        <v>828.3443376394315</v>
      </c>
      <c r="P554">
        <f t="shared" si="434"/>
        <v>1.569589099078764</v>
      </c>
      <c r="Q554">
        <f t="shared" si="435"/>
        <v>646.47419035977623</v>
      </c>
      <c r="R554">
        <f t="shared" si="436"/>
        <v>1.5692494740145315</v>
      </c>
      <c r="S554">
        <f t="shared" si="437"/>
        <v>0.1090740502971432</v>
      </c>
      <c r="T554">
        <f t="shared" si="438"/>
        <v>-1.4615048319765287</v>
      </c>
      <c r="U554">
        <f t="shared" si="439"/>
        <v>7.0228195300586618E-2</v>
      </c>
      <c r="V554">
        <f t="shared" si="440"/>
        <v>-1.5005102754266728</v>
      </c>
      <c r="X554">
        <f t="shared" si="457"/>
        <v>-56.180659078280677</v>
      </c>
      <c r="Y554">
        <f t="shared" si="441"/>
        <v>-176.51205141448492</v>
      </c>
      <c r="Z554">
        <f t="shared" si="458"/>
        <v>3.4879485855150847</v>
      </c>
      <c r="AC554">
        <v>1</v>
      </c>
      <c r="AD554">
        <f t="shared" si="442"/>
        <v>828.34373402550011</v>
      </c>
      <c r="AE554">
        <f t="shared" si="443"/>
        <v>-0.72552642191287298</v>
      </c>
      <c r="AF554">
        <f t="shared" si="444"/>
        <v>5.1078526577820006E-2</v>
      </c>
      <c r="AG554">
        <f t="shared" si="473"/>
        <v>78.611038380933167</v>
      </c>
      <c r="AH554">
        <f t="shared" si="474"/>
        <v>-1136.1797077477647</v>
      </c>
      <c r="AJ554">
        <f t="shared" si="445"/>
        <v>22100</v>
      </c>
      <c r="AK554">
        <f t="shared" si="446"/>
        <v>201405.77063235719</v>
      </c>
      <c r="AL554">
        <v>1</v>
      </c>
      <c r="AM554">
        <f t="shared" si="447"/>
        <v>646.47341693323199</v>
      </c>
      <c r="AN554">
        <f t="shared" si="475"/>
        <v>311.5974591281506</v>
      </c>
      <c r="AO554">
        <f t="shared" si="476"/>
        <v>-33.703477931440084</v>
      </c>
      <c r="AQ554">
        <f t="shared" si="448"/>
        <v>8.6505182828271383E-4</v>
      </c>
      <c r="AR554">
        <f t="shared" si="449"/>
        <v>-2.9411762161612272</v>
      </c>
      <c r="AT554">
        <f t="shared" si="470"/>
        <v>-3341.6367310902651</v>
      </c>
      <c r="AU554">
        <f t="shared" si="471"/>
        <v>-232.19177074718294</v>
      </c>
      <c r="AV554">
        <f t="shared" si="459"/>
        <v>-3.0722197122991242</v>
      </c>
      <c r="AW554">
        <f t="shared" si="460"/>
        <v>288.07232295206757</v>
      </c>
      <c r="AX554">
        <f t="shared" si="461"/>
        <v>-2171.1070926245106</v>
      </c>
      <c r="AY554">
        <f t="shared" si="469"/>
        <v>-1.4388823196717644</v>
      </c>
      <c r="BA554">
        <f t="shared" si="450"/>
        <v>1.5294462453546751</v>
      </c>
      <c r="BB554">
        <f t="shared" si="462"/>
        <v>3.6906843533692975</v>
      </c>
      <c r="BC554">
        <f t="shared" si="463"/>
        <v>-1.6333373926273598</v>
      </c>
      <c r="BD554">
        <f t="shared" si="451"/>
        <v>-273.58333922538452</v>
      </c>
      <c r="BF554">
        <f t="shared" si="452"/>
        <v>-63.697262976545744</v>
      </c>
      <c r="BG554">
        <f t="shared" si="453"/>
        <v>-190.22662895436477</v>
      </c>
      <c r="BH554">
        <f t="shared" si="464"/>
        <v>-10.22662895436477</v>
      </c>
      <c r="BI554">
        <f t="shared" si="465"/>
        <v>-10.22662895436477</v>
      </c>
      <c r="BJ554">
        <f t="shared" si="454"/>
        <v>0</v>
      </c>
      <c r="BK554">
        <f t="shared" si="466"/>
        <v>0</v>
      </c>
      <c r="BM554">
        <f t="shared" si="467"/>
        <v>-67.38794732991505</v>
      </c>
      <c r="BN554">
        <f t="shared" si="455"/>
        <v>-96.643289728980264</v>
      </c>
      <c r="BQ554" s="47">
        <f t="shared" si="468"/>
        <v>20.592645153654434</v>
      </c>
    </row>
    <row r="555" spans="1:69">
      <c r="A555">
        <f t="shared" si="472"/>
        <v>1705000</v>
      </c>
      <c r="B555">
        <f t="shared" si="456"/>
        <v>1705</v>
      </c>
      <c r="C555">
        <f t="shared" si="425"/>
        <v>8.6284087682133013</v>
      </c>
      <c r="D555">
        <f t="shared" si="426"/>
        <v>1.4546390696245899</v>
      </c>
      <c r="F555">
        <f t="shared" si="427"/>
        <v>3.2906978781628987E-6</v>
      </c>
      <c r="G555">
        <f t="shared" si="428"/>
        <v>5.4692878966924624E-4</v>
      </c>
      <c r="H555">
        <f t="shared" si="429"/>
        <v>-3.1410457212103311</v>
      </c>
      <c r="J555">
        <f t="shared" si="430"/>
        <v>15</v>
      </c>
      <c r="M555">
        <f t="shared" si="431"/>
        <v>8.832708609888358E-4</v>
      </c>
      <c r="N555">
        <f t="shared" si="432"/>
        <v>-1.5707963250000001</v>
      </c>
      <c r="O555">
        <f t="shared" si="433"/>
        <v>830.78064096937885</v>
      </c>
      <c r="P555">
        <f t="shared" si="434"/>
        <v>1.5695926393325714</v>
      </c>
      <c r="Q555">
        <f t="shared" si="435"/>
        <v>648.37558049441077</v>
      </c>
      <c r="R555">
        <f t="shared" si="436"/>
        <v>1.5692540102324894</v>
      </c>
      <c r="S555">
        <f t="shared" si="437"/>
        <v>0.10875797400606518</v>
      </c>
      <c r="T555">
        <f t="shared" si="438"/>
        <v>-1.4618227998741318</v>
      </c>
      <c r="U555">
        <f t="shared" si="439"/>
        <v>7.0023258806381203E-2</v>
      </c>
      <c r="V555">
        <f t="shared" si="440"/>
        <v>-1.500715717687038</v>
      </c>
      <c r="X555">
        <f t="shared" si="457"/>
        <v>-56.231593398286854</v>
      </c>
      <c r="Y555">
        <f t="shared" si="441"/>
        <v>-176.52227191985983</v>
      </c>
      <c r="Z555">
        <f t="shared" si="458"/>
        <v>3.4777280801401673</v>
      </c>
      <c r="AC555">
        <v>1</v>
      </c>
      <c r="AD555">
        <f t="shared" si="442"/>
        <v>830.78003912557494</v>
      </c>
      <c r="AE555">
        <f t="shared" si="443"/>
        <v>-0.72980050057483359</v>
      </c>
      <c r="AF555">
        <f t="shared" si="444"/>
        <v>5.1228757538343009E-2</v>
      </c>
      <c r="AG555">
        <f t="shared" si="473"/>
        <v>78.152910005575848</v>
      </c>
      <c r="AH555">
        <f t="shared" si="474"/>
        <v>-1132.8799610260146</v>
      </c>
      <c r="AJ555">
        <f t="shared" si="445"/>
        <v>22100</v>
      </c>
      <c r="AK555">
        <f t="shared" si="446"/>
        <v>201998.14054598179</v>
      </c>
      <c r="AL555">
        <v>1</v>
      </c>
      <c r="AM555">
        <f t="shared" si="447"/>
        <v>648.37480933597681</v>
      </c>
      <c r="AN555">
        <f t="shared" si="475"/>
        <v>311.59715380385177</v>
      </c>
      <c r="AO555">
        <f t="shared" si="476"/>
        <v>-33.604641223662604</v>
      </c>
      <c r="AQ555">
        <f t="shared" si="448"/>
        <v>8.5998565027943941E-4</v>
      </c>
      <c r="AR555">
        <f t="shared" si="449"/>
        <v>-2.9325510674528883</v>
      </c>
      <c r="AT555">
        <f t="shared" si="470"/>
        <v>-3322.161128621693</v>
      </c>
      <c r="AU555">
        <f t="shared" si="471"/>
        <v>-230.16166017137249</v>
      </c>
      <c r="AV555">
        <f t="shared" si="459"/>
        <v>-3.0724224768207016</v>
      </c>
      <c r="AW555">
        <f t="shared" si="460"/>
        <v>288.21195292873449</v>
      </c>
      <c r="AX555">
        <f t="shared" si="461"/>
        <v>-2164.7699445843878</v>
      </c>
      <c r="AY555">
        <f t="shared" si="469"/>
        <v>-1.4384372600132742</v>
      </c>
      <c r="BA555">
        <f t="shared" si="450"/>
        <v>1.5248719329742002</v>
      </c>
      <c r="BB555">
        <f t="shared" si="462"/>
        <v>3.6646674161067452</v>
      </c>
      <c r="BC555">
        <f t="shared" si="463"/>
        <v>-1.6339852168074274</v>
      </c>
      <c r="BD555">
        <f t="shared" si="451"/>
        <v>-273.62045681681133</v>
      </c>
      <c r="BF555">
        <f t="shared" si="452"/>
        <v>-63.749132949666929</v>
      </c>
      <c r="BG555">
        <f t="shared" si="453"/>
        <v>-190.2444406058724</v>
      </c>
      <c r="BH555">
        <f t="shared" si="464"/>
        <v>-10.244440605872398</v>
      </c>
      <c r="BI555">
        <f t="shared" si="465"/>
        <v>-10.244440605872398</v>
      </c>
      <c r="BJ555">
        <f t="shared" si="454"/>
        <v>0</v>
      </c>
      <c r="BK555">
        <f t="shared" si="466"/>
        <v>0</v>
      </c>
      <c r="BM555">
        <f t="shared" si="467"/>
        <v>-67.413800365773668</v>
      </c>
      <c r="BN555">
        <f t="shared" si="455"/>
        <v>-96.623983789061072</v>
      </c>
      <c r="BQ555" s="47">
        <f t="shared" si="468"/>
        <v>20.56662821639188</v>
      </c>
    </row>
    <row r="556" spans="1:69">
      <c r="A556">
        <f t="shared" si="472"/>
        <v>1710000</v>
      </c>
      <c r="B556">
        <f t="shared" si="456"/>
        <v>1710</v>
      </c>
      <c r="C556">
        <f t="shared" si="425"/>
        <v>8.653372638340187</v>
      </c>
      <c r="D556">
        <f t="shared" si="426"/>
        <v>1.4549756770947746</v>
      </c>
      <c r="F556">
        <f t="shared" si="427"/>
        <v>3.2714821040635823E-6</v>
      </c>
      <c r="G556">
        <f t="shared" si="428"/>
        <v>5.4532957233190832E-4</v>
      </c>
      <c r="H556">
        <f t="shared" si="429"/>
        <v>-3.1410473204276683</v>
      </c>
      <c r="J556">
        <f t="shared" si="430"/>
        <v>15</v>
      </c>
      <c r="M556">
        <f t="shared" si="431"/>
        <v>8.8068819765261121E-4</v>
      </c>
      <c r="N556">
        <f t="shared" si="432"/>
        <v>-1.5707963250000001</v>
      </c>
      <c r="O556">
        <f t="shared" si="433"/>
        <v>833.21694430967796</v>
      </c>
      <c r="P556">
        <f t="shared" si="434"/>
        <v>1.5695961588831702</v>
      </c>
      <c r="Q556">
        <f t="shared" si="435"/>
        <v>650.27697064230904</v>
      </c>
      <c r="R556">
        <f t="shared" si="436"/>
        <v>1.5692585199229201</v>
      </c>
      <c r="S556">
        <f t="shared" si="437"/>
        <v>0.10844371341323725</v>
      </c>
      <c r="T556">
        <f t="shared" si="438"/>
        <v>-1.4621389302411776</v>
      </c>
      <c r="U556">
        <f t="shared" si="439"/>
        <v>6.9819511982212173E-2</v>
      </c>
      <c r="V556">
        <f t="shared" si="440"/>
        <v>-1.5009199644044235</v>
      </c>
      <c r="X556">
        <f t="shared" si="457"/>
        <v>-56.282379062426351</v>
      </c>
      <c r="Y556">
        <f t="shared" si="441"/>
        <v>-176.53243272995076</v>
      </c>
      <c r="Z556">
        <f t="shared" si="458"/>
        <v>3.4675672700492441</v>
      </c>
      <c r="AC556">
        <v>1</v>
      </c>
      <c r="AD556">
        <f t="shared" si="442"/>
        <v>833.21634422565012</v>
      </c>
      <c r="AE556">
        <f t="shared" si="443"/>
        <v>-0.73408713159703509</v>
      </c>
      <c r="AF556">
        <f t="shared" si="444"/>
        <v>5.1378988498866004E-2</v>
      </c>
      <c r="AG556">
        <f t="shared" si="473"/>
        <v>77.698768301849796</v>
      </c>
      <c r="AH556">
        <f t="shared" si="474"/>
        <v>-1129.5992320403216</v>
      </c>
      <c r="AJ556">
        <f t="shared" si="445"/>
        <v>22100</v>
      </c>
      <c r="AK556">
        <f t="shared" si="446"/>
        <v>202590.51045960636</v>
      </c>
      <c r="AL556">
        <v>1</v>
      </c>
      <c r="AM556">
        <f t="shared" si="447"/>
        <v>650.27620173872162</v>
      </c>
      <c r="AN556">
        <f t="shared" si="475"/>
        <v>311.59685115391028</v>
      </c>
      <c r="AO556">
        <f t="shared" si="476"/>
        <v>-33.506382504215622</v>
      </c>
      <c r="AQ556">
        <f t="shared" si="448"/>
        <v>8.549638474262297E-4</v>
      </c>
      <c r="AR556">
        <f t="shared" si="449"/>
        <v>-2.9239763581977054</v>
      </c>
      <c r="AT556">
        <f t="shared" si="470"/>
        <v>-3302.8550190862966</v>
      </c>
      <c r="AU556">
        <f t="shared" si="471"/>
        <v>-228.15512808116497</v>
      </c>
      <c r="AV556">
        <f t="shared" si="459"/>
        <v>-3.0726240614585607</v>
      </c>
      <c r="AW556">
        <f t="shared" si="460"/>
        <v>288.35033487618915</v>
      </c>
      <c r="AX556">
        <f t="shared" si="461"/>
        <v>-2158.4695979507419</v>
      </c>
      <c r="AY556">
        <f t="shared" si="469"/>
        <v>-1.4379924460274818</v>
      </c>
      <c r="BA556">
        <f t="shared" si="450"/>
        <v>1.5203241098906397</v>
      </c>
      <c r="BB556">
        <f t="shared" si="462"/>
        <v>3.6387236553707036</v>
      </c>
      <c r="BC556">
        <f t="shared" si="463"/>
        <v>-1.6346316154310789</v>
      </c>
      <c r="BD556">
        <f t="shared" si="451"/>
        <v>-273.65749272987199</v>
      </c>
      <c r="BF556">
        <f t="shared" si="452"/>
        <v>-63.800852064014478</v>
      </c>
      <c r="BG556">
        <f t="shared" si="453"/>
        <v>-190.2622819599209</v>
      </c>
      <c r="BH556">
        <f t="shared" si="464"/>
        <v>-10.262281959920898</v>
      </c>
      <c r="BI556">
        <f t="shared" si="465"/>
        <v>-10.262281959920898</v>
      </c>
      <c r="BJ556">
        <f t="shared" si="454"/>
        <v>0</v>
      </c>
      <c r="BK556">
        <f t="shared" si="466"/>
        <v>0</v>
      </c>
      <c r="BM556">
        <f t="shared" si="467"/>
        <v>-67.439575719385189</v>
      </c>
      <c r="BN556">
        <f t="shared" si="455"/>
        <v>-96.604789230048922</v>
      </c>
      <c r="BQ556" s="47">
        <f t="shared" si="468"/>
        <v>20.540684455655839</v>
      </c>
    </row>
    <row r="557" spans="1:69">
      <c r="A557">
        <f t="shared" si="472"/>
        <v>1715000</v>
      </c>
      <c r="B557">
        <f t="shared" si="456"/>
        <v>1715</v>
      </c>
      <c r="C557">
        <f t="shared" si="425"/>
        <v>8.6783374832930722</v>
      </c>
      <c r="D557">
        <f t="shared" si="426"/>
        <v>1.4553103479752456</v>
      </c>
      <c r="F557">
        <f t="shared" si="427"/>
        <v>3.2524341535514927E-6</v>
      </c>
      <c r="G557">
        <f t="shared" si="428"/>
        <v>5.437396799671336E-4</v>
      </c>
      <c r="H557">
        <f t="shared" si="429"/>
        <v>-3.1410489103200332</v>
      </c>
      <c r="J557">
        <f t="shared" si="430"/>
        <v>15</v>
      </c>
      <c r="M557">
        <f t="shared" si="431"/>
        <v>8.7812059357782212E-4</v>
      </c>
      <c r="N557">
        <f t="shared" si="432"/>
        <v>-1.5707963250000001</v>
      </c>
      <c r="O557">
        <f t="shared" si="433"/>
        <v>835.65324766023809</v>
      </c>
      <c r="P557">
        <f t="shared" si="434"/>
        <v>1.5695996579116376</v>
      </c>
      <c r="Q557">
        <f t="shared" si="435"/>
        <v>652.17836080335508</v>
      </c>
      <c r="R557">
        <f t="shared" si="436"/>
        <v>1.5692630033178419</v>
      </c>
      <c r="S557">
        <f t="shared" si="437"/>
        <v>0.1081312530120387</v>
      </c>
      <c r="T557">
        <f t="shared" si="438"/>
        <v>-1.4624532388977123</v>
      </c>
      <c r="U557">
        <f t="shared" si="439"/>
        <v>6.9616944524229812E-2</v>
      </c>
      <c r="V557">
        <f t="shared" si="440"/>
        <v>-1.5011230259676058</v>
      </c>
      <c r="X557">
        <f t="shared" si="457"/>
        <v>-56.333016934436472</v>
      </c>
      <c r="Y557">
        <f t="shared" si="441"/>
        <v>-176.54253436597284</v>
      </c>
      <c r="Z557">
        <f t="shared" si="458"/>
        <v>3.4574656340271588</v>
      </c>
      <c r="AC557">
        <v>1</v>
      </c>
      <c r="AD557">
        <f t="shared" si="442"/>
        <v>835.65264932572518</v>
      </c>
      <c r="AE557">
        <f t="shared" si="443"/>
        <v>-0.73838631497947727</v>
      </c>
      <c r="AF557">
        <f t="shared" si="444"/>
        <v>5.1529219459389007E-2</v>
      </c>
      <c r="AG557">
        <f t="shared" si="473"/>
        <v>77.248567222136501</v>
      </c>
      <c r="AH557">
        <f t="shared" si="474"/>
        <v>-1126.3373576682932</v>
      </c>
      <c r="AJ557">
        <f t="shared" si="445"/>
        <v>22100</v>
      </c>
      <c r="AK557">
        <f t="shared" si="446"/>
        <v>203182.88037323096</v>
      </c>
      <c r="AL557">
        <v>1</v>
      </c>
      <c r="AM557">
        <f t="shared" si="447"/>
        <v>652.17759414146644</v>
      </c>
      <c r="AN557">
        <f t="shared" si="475"/>
        <v>311.59655114718396</v>
      </c>
      <c r="AO557">
        <f t="shared" si="476"/>
        <v>-33.408696717855364</v>
      </c>
      <c r="AQ557">
        <f t="shared" si="448"/>
        <v>8.49985902983799E-4</v>
      </c>
      <c r="AR557">
        <f t="shared" si="449"/>
        <v>-2.9154516472344305</v>
      </c>
      <c r="AT557">
        <f t="shared" si="470"/>
        <v>-3283.7164445625367</v>
      </c>
      <c r="AU557">
        <f t="shared" si="471"/>
        <v>-226.17183343029959</v>
      </c>
      <c r="AV557">
        <f t="shared" si="459"/>
        <v>-3.0728244764645174</v>
      </c>
      <c r="AW557">
        <f t="shared" si="460"/>
        <v>288.48748368761818</v>
      </c>
      <c r="AX557">
        <f t="shared" si="461"/>
        <v>-2152.2057338151158</v>
      </c>
      <c r="AY557">
        <f t="shared" si="469"/>
        <v>-1.4375478760112441</v>
      </c>
      <c r="BA557">
        <f t="shared" si="450"/>
        <v>1.515802544706097</v>
      </c>
      <c r="BB557">
        <f t="shared" si="462"/>
        <v>3.6128526363473776</v>
      </c>
      <c r="BC557">
        <f t="shared" si="463"/>
        <v>-1.6352766004532733</v>
      </c>
      <c r="BD557">
        <f t="shared" si="451"/>
        <v>-273.69444764953505</v>
      </c>
      <c r="BF557">
        <f t="shared" si="452"/>
        <v>-63.852421224963535</v>
      </c>
      <c r="BG557">
        <f t="shared" si="453"/>
        <v>-190.28015274470766</v>
      </c>
      <c r="BH557">
        <f t="shared" si="464"/>
        <v>-10.280152744707664</v>
      </c>
      <c r="BI557">
        <f t="shared" si="465"/>
        <v>-10.280152744707664</v>
      </c>
      <c r="BJ557">
        <f t="shared" si="454"/>
        <v>0</v>
      </c>
      <c r="BK557">
        <f t="shared" si="466"/>
        <v>0</v>
      </c>
      <c r="BM557">
        <f t="shared" si="467"/>
        <v>-67.465273861310905</v>
      </c>
      <c r="BN557">
        <f t="shared" si="455"/>
        <v>-96.585705095172585</v>
      </c>
      <c r="BQ557" s="47">
        <f t="shared" si="468"/>
        <v>20.514813436632515</v>
      </c>
    </row>
    <row r="558" spans="1:69">
      <c r="A558">
        <f t="shared" si="472"/>
        <v>1720000</v>
      </c>
      <c r="B558">
        <f t="shared" si="456"/>
        <v>1720</v>
      </c>
      <c r="C558">
        <f t="shared" si="425"/>
        <v>8.7033032946832858</v>
      </c>
      <c r="D558">
        <f t="shared" si="426"/>
        <v>1.4556430988562896</v>
      </c>
      <c r="F558">
        <f t="shared" si="427"/>
        <v>3.2335520780184821E-6</v>
      </c>
      <c r="G558">
        <f t="shared" si="428"/>
        <v>5.4215903125144323E-4</v>
      </c>
      <c r="H558">
        <f t="shared" si="429"/>
        <v>-3.1410504909687487</v>
      </c>
      <c r="J558">
        <f t="shared" si="430"/>
        <v>15</v>
      </c>
      <c r="M558">
        <f t="shared" si="431"/>
        <v>8.7556791743370068E-4</v>
      </c>
      <c r="N558">
        <f t="shared" si="432"/>
        <v>-1.5707963250000001</v>
      </c>
      <c r="O558">
        <f t="shared" si="433"/>
        <v>838.08955102096991</v>
      </c>
      <c r="P558">
        <f t="shared" si="434"/>
        <v>1.5696031365969449</v>
      </c>
      <c r="Q558">
        <f t="shared" si="435"/>
        <v>654.07975097743417</v>
      </c>
      <c r="R558">
        <f t="shared" si="436"/>
        <v>1.5692674606465751</v>
      </c>
      <c r="S558">
        <f t="shared" si="437"/>
        <v>0.10782057747083902</v>
      </c>
      <c r="T558">
        <f t="shared" si="438"/>
        <v>-1.4627657414834188</v>
      </c>
      <c r="U558">
        <f t="shared" si="439"/>
        <v>6.9415546246939491E-2</v>
      </c>
      <c r="V558">
        <f t="shared" si="440"/>
        <v>-1.5013249126455381</v>
      </c>
      <c r="X558">
        <f t="shared" si="457"/>
        <v>-56.383507870561473</v>
      </c>
      <c r="Y558">
        <f t="shared" si="441"/>
        <v>-176.55257734309419</v>
      </c>
      <c r="Z558">
        <f t="shared" si="458"/>
        <v>3.4474226569058146</v>
      </c>
      <c r="AC558">
        <v>1</v>
      </c>
      <c r="AD558">
        <f t="shared" si="442"/>
        <v>838.08895442580001</v>
      </c>
      <c r="AE558">
        <f t="shared" si="443"/>
        <v>-0.74269805072216011</v>
      </c>
      <c r="AF558">
        <f t="shared" si="444"/>
        <v>5.167945041991201E-2</v>
      </c>
      <c r="AG558">
        <f t="shared" si="473"/>
        <v>76.802261380658067</v>
      </c>
      <c r="AH558">
        <f t="shared" si="474"/>
        <v>-1123.0941766382548</v>
      </c>
      <c r="AJ558">
        <f t="shared" si="445"/>
        <v>22100</v>
      </c>
      <c r="AK558">
        <f t="shared" si="446"/>
        <v>203775.25028685553</v>
      </c>
      <c r="AL558">
        <v>1</v>
      </c>
      <c r="AM558">
        <f t="shared" si="447"/>
        <v>654.07898654421126</v>
      </c>
      <c r="AN558">
        <f t="shared" si="475"/>
        <v>311.59625375298248</v>
      </c>
      <c r="AO558">
        <f t="shared" si="476"/>
        <v>-33.31157886811927</v>
      </c>
      <c r="AQ558">
        <f t="shared" si="448"/>
        <v>8.4505130771267347E-4</v>
      </c>
      <c r="AR558">
        <f t="shared" si="449"/>
        <v>-2.9069764985315967</v>
      </c>
      <c r="AT558">
        <f t="shared" si="470"/>
        <v>-3264.7434752736854</v>
      </c>
      <c r="AU558">
        <f t="shared" si="471"/>
        <v>-224.21144107030651</v>
      </c>
      <c r="AV558">
        <f t="shared" si="459"/>
        <v>-3.0730237319721563</v>
      </c>
      <c r="AW558">
        <f t="shared" si="460"/>
        <v>288.62341403384971</v>
      </c>
      <c r="AX558">
        <f t="shared" si="461"/>
        <v>-2145.9780369347445</v>
      </c>
      <c r="AY558">
        <f t="shared" si="469"/>
        <v>-1.43710354828433</v>
      </c>
      <c r="BA558">
        <f t="shared" si="450"/>
        <v>1.5113070087113658</v>
      </c>
      <c r="BB558">
        <f t="shared" si="462"/>
        <v>3.5870539280206821</v>
      </c>
      <c r="BC558">
        <f t="shared" si="463"/>
        <v>-1.6359201836878263</v>
      </c>
      <c r="BD558">
        <f t="shared" si="451"/>
        <v>-273.7313222526825</v>
      </c>
      <c r="BF558">
        <f t="shared" si="452"/>
        <v>-63.903841329789742</v>
      </c>
      <c r="BG558">
        <f t="shared" si="453"/>
        <v>-190.29805269122059</v>
      </c>
      <c r="BH558">
        <f t="shared" si="464"/>
        <v>-10.29805269122059</v>
      </c>
      <c r="BI558">
        <f t="shared" si="465"/>
        <v>-10.29805269122059</v>
      </c>
      <c r="BJ558">
        <f t="shared" si="454"/>
        <v>0</v>
      </c>
      <c r="BK558">
        <f t="shared" si="466"/>
        <v>0</v>
      </c>
      <c r="BM558">
        <f t="shared" si="467"/>
        <v>-67.490895257810422</v>
      </c>
      <c r="BN558">
        <f t="shared" si="455"/>
        <v>-96.566730438538116</v>
      </c>
      <c r="BQ558" s="47">
        <f t="shared" si="468"/>
        <v>20.489014728305818</v>
      </c>
    </row>
    <row r="559" spans="1:69">
      <c r="A559">
        <f t="shared" si="472"/>
        <v>1725000</v>
      </c>
      <c r="B559">
        <f t="shared" si="456"/>
        <v>1725</v>
      </c>
      <c r="C559">
        <f t="shared" si="425"/>
        <v>8.7282700642178099</v>
      </c>
      <c r="D559">
        <f t="shared" si="426"/>
        <v>1.4559739461400822</v>
      </c>
      <c r="F559">
        <f t="shared" si="427"/>
        <v>3.2148339570562887E-6</v>
      </c>
      <c r="G559">
        <f t="shared" si="428"/>
        <v>5.4058754580425458E-4</v>
      </c>
      <c r="H559">
        <f t="shared" si="429"/>
        <v>-3.1410520624541958</v>
      </c>
      <c r="J559">
        <f t="shared" si="430"/>
        <v>15</v>
      </c>
      <c r="M559">
        <f t="shared" si="431"/>
        <v>8.7303003941215356E-4</v>
      </c>
      <c r="N559">
        <f t="shared" si="432"/>
        <v>-1.5707963250000001</v>
      </c>
      <c r="O559">
        <f t="shared" si="433"/>
        <v>840.52585439178472</v>
      </c>
      <c r="P559">
        <f t="shared" si="434"/>
        <v>1.5696065951159897</v>
      </c>
      <c r="Q559">
        <f t="shared" si="435"/>
        <v>655.98114116443298</v>
      </c>
      <c r="R559">
        <f t="shared" si="436"/>
        <v>1.5692718921357816</v>
      </c>
      <c r="S559">
        <f t="shared" si="437"/>
        <v>0.10751167163055231</v>
      </c>
      <c r="T559">
        <f t="shared" si="438"/>
        <v>-1.4630764534601697</v>
      </c>
      <c r="U559">
        <f t="shared" si="439"/>
        <v>6.9215307081511329E-2</v>
      </c>
      <c r="V559">
        <f t="shared" si="440"/>
        <v>-1.50152563458907</v>
      </c>
      <c r="X559">
        <f t="shared" si="457"/>
        <v>-56.433852719638878</v>
      </c>
      <c r="Y559">
        <f t="shared" si="441"/>
        <v>-176.56256217052353</v>
      </c>
      <c r="Z559">
        <f t="shared" si="458"/>
        <v>3.4374378294764654</v>
      </c>
      <c r="AC559">
        <v>1</v>
      </c>
      <c r="AD559">
        <f t="shared" si="442"/>
        <v>840.52525952587507</v>
      </c>
      <c r="AE559">
        <f t="shared" si="443"/>
        <v>-0.74702233882508373</v>
      </c>
      <c r="AF559">
        <f t="shared" si="444"/>
        <v>5.1829681380434998E-2</v>
      </c>
      <c r="AG559">
        <f t="shared" si="473"/>
        <v>76.359806042113604</v>
      </c>
      <c r="AH559">
        <f t="shared" si="474"/>
        <v>-1119.8695295032187</v>
      </c>
      <c r="AJ559">
        <f t="shared" si="445"/>
        <v>22100</v>
      </c>
      <c r="AK559">
        <f t="shared" si="446"/>
        <v>204367.6202004801</v>
      </c>
      <c r="AL559">
        <v>1</v>
      </c>
      <c r="AM559">
        <f t="shared" si="447"/>
        <v>655.98037894695597</v>
      </c>
      <c r="AN559">
        <f t="shared" si="475"/>
        <v>311.59595894105985</v>
      </c>
      <c r="AO559">
        <f t="shared" si="476"/>
        <v>-33.215024016474125</v>
      </c>
      <c r="AQ559">
        <f t="shared" si="448"/>
        <v>8.4015955974294811E-4</v>
      </c>
      <c r="AR559">
        <f t="shared" si="449"/>
        <v>-2.8985504811131713</v>
      </c>
      <c r="AT559">
        <f t="shared" si="470"/>
        <v>-3245.9342091045087</v>
      </c>
      <c r="AU559">
        <f t="shared" si="471"/>
        <v>-222.27362163195377</v>
      </c>
      <c r="AV559">
        <f t="shared" si="459"/>
        <v>-3.0732218379985272</v>
      </c>
      <c r="AW559">
        <f t="shared" si="460"/>
        <v>288.75814036733902</v>
      </c>
      <c r="AX559">
        <f t="shared" si="461"/>
        <v>-2139.7861956801607</v>
      </c>
      <c r="AY559">
        <f t="shared" si="469"/>
        <v>-1.4366594611890571</v>
      </c>
      <c r="BA559">
        <f t="shared" si="450"/>
        <v>1.5068372758470083</v>
      </c>
      <c r="BB559">
        <f t="shared" si="462"/>
        <v>3.5613271031282636</v>
      </c>
      <c r="BC559">
        <f t="shared" si="463"/>
        <v>-1.6365623768094701</v>
      </c>
      <c r="BD559">
        <f t="shared" si="451"/>
        <v>-273.76811720822707</v>
      </c>
      <c r="BF559">
        <f t="shared" si="452"/>
        <v>-63.955113267765888</v>
      </c>
      <c r="BG559">
        <f t="shared" si="453"/>
        <v>-190.3159815332026</v>
      </c>
      <c r="BH559">
        <f t="shared" si="464"/>
        <v>-10.315981533202603</v>
      </c>
      <c r="BI559">
        <f t="shared" si="465"/>
        <v>-10.315981533202603</v>
      </c>
      <c r="BJ559">
        <f t="shared" si="454"/>
        <v>0</v>
      </c>
      <c r="BK559">
        <f t="shared" si="466"/>
        <v>0</v>
      </c>
      <c r="BM559">
        <f t="shared" si="467"/>
        <v>-67.516440370894159</v>
      </c>
      <c r="BN559">
        <f t="shared" si="455"/>
        <v>-96.547864324975563</v>
      </c>
      <c r="BQ559" s="47">
        <f t="shared" si="468"/>
        <v>20.463287903413399</v>
      </c>
    </row>
    <row r="560" spans="1:69">
      <c r="A560">
        <f t="shared" si="472"/>
        <v>1730000</v>
      </c>
      <c r="B560">
        <f t="shared" si="456"/>
        <v>1730</v>
      </c>
      <c r="C560">
        <f t="shared" si="425"/>
        <v>8.7532377836979318</v>
      </c>
      <c r="D560">
        <f t="shared" si="426"/>
        <v>1.4563029060433348</v>
      </c>
      <c r="F560">
        <f t="shared" si="427"/>
        <v>3.196277897968226E-6</v>
      </c>
      <c r="G560">
        <f t="shared" si="428"/>
        <v>5.3902514417425538E-4</v>
      </c>
      <c r="H560">
        <f t="shared" si="429"/>
        <v>-3.1410536248558261</v>
      </c>
      <c r="J560">
        <f t="shared" si="430"/>
        <v>15</v>
      </c>
      <c r="M560">
        <f t="shared" si="431"/>
        <v>8.705068312057602E-4</v>
      </c>
      <c r="N560">
        <f t="shared" si="432"/>
        <v>-1.5707963250000001</v>
      </c>
      <c r="O560">
        <f t="shared" si="433"/>
        <v>842.96215777259533</v>
      </c>
      <c r="P560">
        <f t="shared" si="434"/>
        <v>1.5696100336436227</v>
      </c>
      <c r="Q560">
        <f t="shared" si="435"/>
        <v>657.88253136423964</v>
      </c>
      <c r="R560">
        <f t="shared" si="436"/>
        <v>1.569276298009503</v>
      </c>
      <c r="S560">
        <f t="shared" si="437"/>
        <v>0.10720452050223185</v>
      </c>
      <c r="T560">
        <f t="shared" si="438"/>
        <v>-1.4633853901145368</v>
      </c>
      <c r="U560">
        <f t="shared" si="439"/>
        <v>6.9016217074118785E-2</v>
      </c>
      <c r="V560">
        <f t="shared" si="440"/>
        <v>-1.5017252018326381</v>
      </c>
      <c r="X560">
        <f t="shared" si="457"/>
        <v>-56.484052323184457</v>
      </c>
      <c r="Y560">
        <f t="shared" si="441"/>
        <v>-176.572489351596</v>
      </c>
      <c r="Z560">
        <f t="shared" si="458"/>
        <v>3.4275106484039952</v>
      </c>
      <c r="AC560">
        <v>1</v>
      </c>
      <c r="AD560">
        <f t="shared" si="442"/>
        <v>842.96156462595002</v>
      </c>
      <c r="AE560">
        <f t="shared" si="443"/>
        <v>-0.75135917928824802</v>
      </c>
      <c r="AF560">
        <f t="shared" si="444"/>
        <v>5.1979912340958001E-2</v>
      </c>
      <c r="AG560">
        <f t="shared" si="473"/>
        <v>75.921157110541969</v>
      </c>
      <c r="AH560">
        <f t="shared" si="474"/>
        <v>-1116.6632586152832</v>
      </c>
      <c r="AJ560">
        <f t="shared" si="445"/>
        <v>22100</v>
      </c>
      <c r="AK560">
        <f t="shared" si="446"/>
        <v>204959.9901141047</v>
      </c>
      <c r="AL560">
        <v>1</v>
      </c>
      <c r="AM560">
        <f t="shared" si="447"/>
        <v>657.88177134970078</v>
      </c>
      <c r="AN560">
        <f t="shared" si="475"/>
        <v>311.59566668160642</v>
      </c>
      <c r="AO560">
        <f t="shared" si="476"/>
        <v>-33.119027281478886</v>
      </c>
      <c r="AQ560">
        <f t="shared" si="448"/>
        <v>8.3531016444667679E-4</v>
      </c>
      <c r="AR560">
        <f t="shared" si="449"/>
        <v>-2.8901731689855015</v>
      </c>
      <c r="AT560">
        <f t="shared" si="470"/>
        <v>-3227.2867711275785</v>
      </c>
      <c r="AU560">
        <f t="shared" si="471"/>
        <v>-220.35805140940673</v>
      </c>
      <c r="AV560">
        <f t="shared" si="459"/>
        <v>-3.0734188044458151</v>
      </c>
      <c r="AW560">
        <f t="shared" si="460"/>
        <v>288.89167692607094</v>
      </c>
      <c r="AX560">
        <f t="shared" si="461"/>
        <v>-2133.629901983687</v>
      </c>
      <c r="AY560">
        <f t="shared" si="469"/>
        <v>-1.4362156130899377</v>
      </c>
      <c r="BA560">
        <f t="shared" si="450"/>
        <v>1.5023931226651024</v>
      </c>
      <c r="BB560">
        <f t="shared" si="462"/>
        <v>3.5356717381181317</v>
      </c>
      <c r="BC560">
        <f t="shared" si="463"/>
        <v>-1.6372031913558773</v>
      </c>
      <c r="BD560">
        <f t="shared" si="451"/>
        <v>-273.80483317722872</v>
      </c>
      <c r="BF560">
        <f t="shared" si="452"/>
        <v>-64.006237920257092</v>
      </c>
      <c r="BG560">
        <f t="shared" si="453"/>
        <v>-190.33393900711675</v>
      </c>
      <c r="BH560">
        <f t="shared" si="464"/>
        <v>-10.333939007116754</v>
      </c>
      <c r="BI560">
        <f t="shared" si="465"/>
        <v>-10.333939007116754</v>
      </c>
      <c r="BJ560">
        <f t="shared" si="454"/>
        <v>0</v>
      </c>
      <c r="BK560">
        <f t="shared" si="466"/>
        <v>0</v>
      </c>
      <c r="BM560">
        <f t="shared" si="467"/>
        <v>-67.541909658375218</v>
      </c>
      <c r="BN560">
        <f t="shared" si="455"/>
        <v>-96.529105829888039</v>
      </c>
      <c r="BQ560" s="47">
        <f t="shared" si="468"/>
        <v>20.437632538403268</v>
      </c>
    </row>
    <row r="561" spans="1:69">
      <c r="A561">
        <f t="shared" si="472"/>
        <v>1735000</v>
      </c>
      <c r="B561">
        <f t="shared" si="456"/>
        <v>1735</v>
      </c>
      <c r="C561">
        <f t="shared" si="425"/>
        <v>8.7782064450179007</v>
      </c>
      <c r="D561">
        <f t="shared" si="426"/>
        <v>1.4566299945998962</v>
      </c>
      <c r="F561">
        <f t="shared" si="427"/>
        <v>3.1778820352907096E-6</v>
      </c>
      <c r="G561">
        <f t="shared" si="428"/>
        <v>5.3747174782601246E-4</v>
      </c>
      <c r="H561">
        <f t="shared" si="429"/>
        <v>-3.1410551782521741</v>
      </c>
      <c r="J561">
        <f t="shared" si="430"/>
        <v>15</v>
      </c>
      <c r="M561">
        <f t="shared" si="431"/>
        <v>8.6799816598614706E-4</v>
      </c>
      <c r="N561">
        <f t="shared" si="432"/>
        <v>-1.5707963250000001</v>
      </c>
      <c r="O561">
        <f t="shared" si="433"/>
        <v>845.39846116331512</v>
      </c>
      <c r="P561">
        <f t="shared" si="434"/>
        <v>1.5696134523526808</v>
      </c>
      <c r="Q561">
        <f t="shared" si="435"/>
        <v>659.78392157674341</v>
      </c>
      <c r="R561">
        <f t="shared" si="436"/>
        <v>1.5692806784891979</v>
      </c>
      <c r="S561">
        <f t="shared" si="437"/>
        <v>0.10689910926470482</v>
      </c>
      <c r="T561">
        <f t="shared" si="438"/>
        <v>-1.4636925665602587</v>
      </c>
      <c r="U561">
        <f t="shared" si="439"/>
        <v>6.8818266384305424E-2</v>
      </c>
      <c r="V561">
        <f t="shared" si="440"/>
        <v>-1.5019236242959269</v>
      </c>
      <c r="X561">
        <f t="shared" si="457"/>
        <v>-56.534107515476073</v>
      </c>
      <c r="Y561">
        <f t="shared" si="441"/>
        <v>-176.58235938385749</v>
      </c>
      <c r="Z561">
        <f t="shared" si="458"/>
        <v>3.4176406161425064</v>
      </c>
      <c r="AC561">
        <v>1</v>
      </c>
      <c r="AD561">
        <f t="shared" si="442"/>
        <v>845.39786972602508</v>
      </c>
      <c r="AE561">
        <f t="shared" si="443"/>
        <v>-0.7557085721116531</v>
      </c>
      <c r="AF561">
        <f t="shared" si="444"/>
        <v>5.2130143301481004E-2</v>
      </c>
      <c r="AG561">
        <f t="shared" si="473"/>
        <v>75.486271118405853</v>
      </c>
      <c r="AH561">
        <f t="shared" si="474"/>
        <v>-1113.4752081004649</v>
      </c>
      <c r="AJ561">
        <f t="shared" si="445"/>
        <v>22100</v>
      </c>
      <c r="AK561">
        <f t="shared" si="446"/>
        <v>205552.36002772927</v>
      </c>
      <c r="AL561">
        <v>1</v>
      </c>
      <c r="AM561">
        <f t="shared" si="447"/>
        <v>659.7831637524456</v>
      </c>
      <c r="AN561">
        <f t="shared" si="475"/>
        <v>311.59537694524141</v>
      </c>
      <c r="AO561">
        <f t="shared" si="476"/>
        <v>-33.023583837962086</v>
      </c>
      <c r="AQ561">
        <f t="shared" si="448"/>
        <v>8.3050263431283088E-4</v>
      </c>
      <c r="AR561">
        <f t="shared" si="449"/>
        <v>-2.8818441410655233</v>
      </c>
      <c r="AT561">
        <f t="shared" si="470"/>
        <v>-3208.7993131390208</v>
      </c>
      <c r="AU561">
        <f t="shared" si="471"/>
        <v>-218.46441224703102</v>
      </c>
      <c r="AV561">
        <f t="shared" si="459"/>
        <v>-3.0736146411029766</v>
      </c>
      <c r="AW561">
        <f t="shared" si="460"/>
        <v>289.02403773738058</v>
      </c>
      <c r="AX561">
        <f t="shared" si="461"/>
        <v>-2127.5088512888101</v>
      </c>
      <c r="AY561">
        <f t="shared" si="469"/>
        <v>-1.4357720023733282</v>
      </c>
      <c r="BA561">
        <f t="shared" si="450"/>
        <v>1.497974328291654</v>
      </c>
      <c r="BB561">
        <f t="shared" si="462"/>
        <v>3.5100874131059427</v>
      </c>
      <c r="BC561">
        <f t="shared" si="463"/>
        <v>-1.6378426387296483</v>
      </c>
      <c r="BD561">
        <f t="shared" si="451"/>
        <v>-273.84147081300841</v>
      </c>
      <c r="BF561">
        <f t="shared" si="452"/>
        <v>-64.05721616081459</v>
      </c>
      <c r="BG561">
        <f t="shared" si="453"/>
        <v>-190.35192485211175</v>
      </c>
      <c r="BH561">
        <f t="shared" si="464"/>
        <v>-10.35192485211175</v>
      </c>
      <c r="BI561">
        <f t="shared" si="465"/>
        <v>-10.35192485211175</v>
      </c>
      <c r="BJ561">
        <f t="shared" si="454"/>
        <v>0</v>
      </c>
      <c r="BK561">
        <f t="shared" si="466"/>
        <v>0</v>
      </c>
      <c r="BM561">
        <f t="shared" si="467"/>
        <v>-67.567303573920526</v>
      </c>
      <c r="BN561">
        <f t="shared" si="455"/>
        <v>-96.510454039103379</v>
      </c>
      <c r="BQ561" s="47">
        <f t="shared" si="468"/>
        <v>20.412048213391078</v>
      </c>
    </row>
    <row r="562" spans="1:69">
      <c r="A562">
        <f t="shared" si="472"/>
        <v>1740000</v>
      </c>
      <c r="B562">
        <f t="shared" si="456"/>
        <v>1740</v>
      </c>
      <c r="C562">
        <f t="shared" si="425"/>
        <v>8.8031760401636294</v>
      </c>
      <c r="D562">
        <f t="shared" si="426"/>
        <v>1.456955227663312</v>
      </c>
      <c r="F562">
        <f t="shared" si="427"/>
        <v>3.1596445303243935E-6</v>
      </c>
      <c r="G562">
        <f t="shared" si="428"/>
        <v>5.359272791268133E-4</v>
      </c>
      <c r="H562">
        <f t="shared" si="429"/>
        <v>-3.1410567227208732</v>
      </c>
      <c r="J562">
        <f t="shared" si="430"/>
        <v>15</v>
      </c>
      <c r="M562">
        <f t="shared" si="431"/>
        <v>8.6550391838273856E-4</v>
      </c>
      <c r="N562">
        <f t="shared" si="432"/>
        <v>-1.5707963250000001</v>
      </c>
      <c r="O562">
        <f t="shared" si="433"/>
        <v>847.83476456385893</v>
      </c>
      <c r="P562">
        <f t="shared" si="434"/>
        <v>1.569616851414013</v>
      </c>
      <c r="Q562">
        <f t="shared" si="435"/>
        <v>661.6853118018347</v>
      </c>
      <c r="R562">
        <f t="shared" si="436"/>
        <v>1.5692850337937798</v>
      </c>
      <c r="S562">
        <f t="shared" si="437"/>
        <v>0.10659542326224604</v>
      </c>
      <c r="T562">
        <f t="shared" si="438"/>
        <v>-1.463997997740667</v>
      </c>
      <c r="U562">
        <f t="shared" si="439"/>
        <v>6.8621445283379365E-2</v>
      </c>
      <c r="V562">
        <f t="shared" si="440"/>
        <v>-1.5021209117855021</v>
      </c>
      <c r="X562">
        <f t="shared" si="457"/>
        <v>-56.58401912363631</v>
      </c>
      <c r="Y562">
        <f t="shared" si="441"/>
        <v>-176.5921727591477</v>
      </c>
      <c r="Z562">
        <f t="shared" si="458"/>
        <v>3.4078272408522992</v>
      </c>
      <c r="AC562">
        <v>1</v>
      </c>
      <c r="AD562">
        <f t="shared" si="442"/>
        <v>847.83417482610014</v>
      </c>
      <c r="AE562">
        <f t="shared" si="443"/>
        <v>-0.76007051729529884</v>
      </c>
      <c r="AF562">
        <f t="shared" si="444"/>
        <v>5.2280374262004006E-2</v>
      </c>
      <c r="AG562">
        <f t="shared" si="473"/>
        <v>75.05510521589288</v>
      </c>
      <c r="AH562">
        <f t="shared" si="474"/>
        <v>-1110.3052238339451</v>
      </c>
      <c r="AJ562">
        <f t="shared" si="445"/>
        <v>22100</v>
      </c>
      <c r="AK562">
        <f t="shared" si="446"/>
        <v>206144.72994135384</v>
      </c>
      <c r="AL562">
        <v>1</v>
      </c>
      <c r="AM562">
        <f t="shared" si="447"/>
        <v>661.68455615519042</v>
      </c>
      <c r="AN562">
        <f t="shared" si="475"/>
        <v>311.59508970300561</v>
      </c>
      <c r="AO562">
        <f t="shared" si="476"/>
        <v>-32.928688916213389</v>
      </c>
      <c r="AQ562">
        <f t="shared" si="448"/>
        <v>8.2573648882477133E-4</v>
      </c>
      <c r="AR562">
        <f t="shared" si="449"/>
        <v>-2.8735629811102044</v>
      </c>
      <c r="AT562">
        <f t="shared" si="470"/>
        <v>-3190.4700132034545</v>
      </c>
      <c r="AU562">
        <f t="shared" si="471"/>
        <v>-216.59239142877365</v>
      </c>
      <c r="AV562">
        <f t="shared" si="459"/>
        <v>-3.0738093576473529</v>
      </c>
      <c r="AW562">
        <f t="shared" si="460"/>
        <v>289.15523662169488</v>
      </c>
      <c r="AX562">
        <f t="shared" si="461"/>
        <v>-2121.4227425004133</v>
      </c>
      <c r="AY562">
        <f t="shared" si="469"/>
        <v>-1.4353286274470882</v>
      </c>
      <c r="BA562">
        <f t="shared" si="450"/>
        <v>1.4935806743896531</v>
      </c>
      <c r="BB562">
        <f t="shared" si="462"/>
        <v>3.4845737118328661</v>
      </c>
      <c r="BC562">
        <f t="shared" si="463"/>
        <v>-1.6384807302002646</v>
      </c>
      <c r="BD562">
        <f t="shared" si="451"/>
        <v>-273.87803076125977</v>
      </c>
      <c r="BF562">
        <f t="shared" si="452"/>
        <v>-64.108048855268137</v>
      </c>
      <c r="BG562">
        <f t="shared" si="453"/>
        <v>-190.36993880998818</v>
      </c>
      <c r="BH562">
        <f t="shared" si="464"/>
        <v>-10.369938809988184</v>
      </c>
      <c r="BI562">
        <f t="shared" si="465"/>
        <v>-10.369938809988184</v>
      </c>
      <c r="BJ562">
        <f t="shared" si="454"/>
        <v>0</v>
      </c>
      <c r="BK562">
        <f t="shared" si="466"/>
        <v>0</v>
      </c>
      <c r="BM562">
        <f t="shared" si="467"/>
        <v>-67.592622567101003</v>
      </c>
      <c r="BN562">
        <f t="shared" si="455"/>
        <v>-96.491908048728405</v>
      </c>
      <c r="BQ562" s="47">
        <f t="shared" si="468"/>
        <v>20.386534512118004</v>
      </c>
    </row>
    <row r="563" spans="1:69">
      <c r="A563">
        <f t="shared" si="472"/>
        <v>1745000</v>
      </c>
      <c r="B563">
        <f t="shared" si="456"/>
        <v>1745</v>
      </c>
      <c r="C563">
        <f t="shared" si="425"/>
        <v>8.8281465612113994</v>
      </c>
      <c r="D563">
        <f t="shared" si="426"/>
        <v>1.4572786209093402</v>
      </c>
      <c r="F563">
        <f t="shared" si="427"/>
        <v>3.1415635706746943E-6</v>
      </c>
      <c r="G563">
        <f t="shared" si="428"/>
        <v>5.3439166133373251E-4</v>
      </c>
      <c r="H563">
        <f t="shared" si="429"/>
        <v>-3.1410582583386666</v>
      </c>
      <c r="J563">
        <f t="shared" si="430"/>
        <v>15</v>
      </c>
      <c r="M563">
        <f t="shared" si="431"/>
        <v>8.6302396446187113E-4</v>
      </c>
      <c r="N563">
        <f t="shared" si="432"/>
        <v>-1.5707963250000001</v>
      </c>
      <c r="O563">
        <f t="shared" si="433"/>
        <v>850.27106797414206</v>
      </c>
      <c r="P563">
        <f t="shared" si="434"/>
        <v>1.5696202309965106</v>
      </c>
      <c r="Q563">
        <f t="shared" si="435"/>
        <v>663.58670203940528</v>
      </c>
      <c r="R563">
        <f t="shared" si="436"/>
        <v>1.5692893641396533</v>
      </c>
      <c r="S563">
        <f t="shared" si="437"/>
        <v>0.10629344800228993</v>
      </c>
      <c r="T563">
        <f t="shared" si="438"/>
        <v>-1.4643016984310711</v>
      </c>
      <c r="U563">
        <f t="shared" si="439"/>
        <v>6.8425744152834908E-2</v>
      </c>
      <c r="V563">
        <f t="shared" si="440"/>
        <v>-1.5023170739964167</v>
      </c>
      <c r="X563">
        <f t="shared" si="457"/>
        <v>-56.633787967713893</v>
      </c>
      <c r="Y563">
        <f t="shared" si="441"/>
        <v>-176.60192996368164</v>
      </c>
      <c r="Z563">
        <f t="shared" si="458"/>
        <v>3.3980700363183587</v>
      </c>
      <c r="AC563">
        <v>1</v>
      </c>
      <c r="AD563">
        <f t="shared" si="442"/>
        <v>850.27047992617497</v>
      </c>
      <c r="AE563">
        <f t="shared" si="443"/>
        <v>-0.76444501483918526</v>
      </c>
      <c r="AF563">
        <f t="shared" si="444"/>
        <v>5.2430605222527009E-2</v>
      </c>
      <c r="AG563">
        <f t="shared" si="473"/>
        <v>74.627617160427491</v>
      </c>
      <c r="AH563">
        <f t="shared" si="474"/>
        <v>-1107.15315341573</v>
      </c>
      <c r="AJ563">
        <f t="shared" si="445"/>
        <v>22100</v>
      </c>
      <c r="AK563">
        <f t="shared" si="446"/>
        <v>206737.09985497841</v>
      </c>
      <c r="AL563">
        <v>1</v>
      </c>
      <c r="AM563">
        <f t="shared" si="447"/>
        <v>663.58594855793524</v>
      </c>
      <c r="AN563">
        <f t="shared" si="475"/>
        <v>311.59480492635424</v>
      </c>
      <c r="AO563">
        <f t="shared" si="476"/>
        <v>-32.834337801188951</v>
      </c>
      <c r="AQ563">
        <f t="shared" si="448"/>
        <v>8.2101125434017334E-4</v>
      </c>
      <c r="AR563">
        <f t="shared" si="449"/>
        <v>-2.8653292776472052</v>
      </c>
      <c r="AT563">
        <f t="shared" si="470"/>
        <v>-3172.2970752079459</v>
      </c>
      <c r="AU563">
        <f t="shared" si="471"/>
        <v>-214.74168157005241</v>
      </c>
      <c r="AV563">
        <f t="shared" si="459"/>
        <v>-3.0740029636462514</v>
      </c>
      <c r="AW563">
        <f t="shared" si="460"/>
        <v>289.28528719619709</v>
      </c>
      <c r="AX563">
        <f t="shared" si="461"/>
        <v>-2115.3712779358498</v>
      </c>
      <c r="AY563">
        <f t="shared" si="469"/>
        <v>-1.4348854867402439</v>
      </c>
      <c r="BA563">
        <f t="shared" si="450"/>
        <v>1.4892119451227659</v>
      </c>
      <c r="BB563">
        <f t="shared" si="462"/>
        <v>3.4591302216240756</v>
      </c>
      <c r="BC563">
        <f t="shared" si="463"/>
        <v>-1.6391174769060075</v>
      </c>
      <c r="BD563">
        <f t="shared" si="451"/>
        <v>-273.9145136601594</v>
      </c>
      <c r="BF563">
        <f t="shared" si="452"/>
        <v>-64.158736861817019</v>
      </c>
      <c r="BG563">
        <f t="shared" si="453"/>
        <v>-190.38798062516477</v>
      </c>
      <c r="BH563">
        <f t="shared" si="464"/>
        <v>-10.387980625164772</v>
      </c>
      <c r="BI563">
        <f t="shared" si="465"/>
        <v>-10.387980625164772</v>
      </c>
      <c r="BJ563">
        <f t="shared" si="454"/>
        <v>0</v>
      </c>
      <c r="BK563">
        <f t="shared" si="466"/>
        <v>0</v>
      </c>
      <c r="BM563">
        <f t="shared" si="467"/>
        <v>-67.617867083441098</v>
      </c>
      <c r="BN563">
        <f t="shared" si="455"/>
        <v>-96.473466965005386</v>
      </c>
      <c r="BQ563" s="47">
        <f t="shared" si="468"/>
        <v>20.36109102190921</v>
      </c>
    </row>
    <row r="564" spans="1:69">
      <c r="A564">
        <f t="shared" si="472"/>
        <v>1750000</v>
      </c>
      <c r="B564">
        <f t="shared" si="456"/>
        <v>1750</v>
      </c>
      <c r="C564">
        <f t="shared" si="425"/>
        <v>8.8531180003265941</v>
      </c>
      <c r="D564">
        <f t="shared" si="426"/>
        <v>1.457600189838425</v>
      </c>
      <c r="F564">
        <f t="shared" si="427"/>
        <v>3.1236373698014985E-6</v>
      </c>
      <c r="G564">
        <f t="shared" si="428"/>
        <v>5.3286481858092025E-4</v>
      </c>
      <c r="H564">
        <f t="shared" si="429"/>
        <v>-3.1410597851814193</v>
      </c>
      <c r="J564">
        <f t="shared" si="430"/>
        <v>15</v>
      </c>
      <c r="M564">
        <f t="shared" si="431"/>
        <v>8.6055818170626568E-4</v>
      </c>
      <c r="N564">
        <f t="shared" si="432"/>
        <v>-1.5707963250000001</v>
      </c>
      <c r="O564">
        <f t="shared" si="433"/>
        <v>852.70737139408118</v>
      </c>
      <c r="P564">
        <f t="shared" si="434"/>
        <v>1.5696235912671348</v>
      </c>
      <c r="Q564">
        <f t="shared" si="435"/>
        <v>665.4880922893484</v>
      </c>
      <c r="R564">
        <f t="shared" si="436"/>
        <v>1.5692936697407491</v>
      </c>
      <c r="S564">
        <f t="shared" si="437"/>
        <v>0.10599316915318041</v>
      </c>
      <c r="T564">
        <f t="shared" si="438"/>
        <v>-1.4646036832411056</v>
      </c>
      <c r="U564">
        <f t="shared" si="439"/>
        <v>6.823115348280076E-2</v>
      </c>
      <c r="V564">
        <f t="shared" si="440"/>
        <v>-1.5025121205137872</v>
      </c>
      <c r="X564">
        <f t="shared" si="457"/>
        <v>-56.683414860763989</v>
      </c>
      <c r="Y564">
        <f t="shared" si="441"/>
        <v>-176.61163147812957</v>
      </c>
      <c r="Z564">
        <f t="shared" si="458"/>
        <v>3.3883685218704329</v>
      </c>
      <c r="AC564">
        <v>1</v>
      </c>
      <c r="AD564">
        <f t="shared" si="442"/>
        <v>852.70678502625015</v>
      </c>
      <c r="AE564">
        <f t="shared" si="443"/>
        <v>-0.76883206474331245</v>
      </c>
      <c r="AF564">
        <f t="shared" si="444"/>
        <v>5.2580836183050012E-2</v>
      </c>
      <c r="AG564">
        <f t="shared" si="473"/>
        <v>74.203765306390508</v>
      </c>
      <c r="AH564">
        <f t="shared" si="474"/>
        <v>-1104.0188461467164</v>
      </c>
      <c r="AJ564">
        <f t="shared" si="445"/>
        <v>22100</v>
      </c>
      <c r="AK564">
        <f t="shared" si="446"/>
        <v>207329.46976860301</v>
      </c>
      <c r="AL564">
        <v>1</v>
      </c>
      <c r="AM564">
        <f t="shared" si="447"/>
        <v>665.48734096068006</v>
      </c>
      <c r="AN564">
        <f t="shared" si="475"/>
        <v>311.59452258714953</v>
      </c>
      <c r="AO564">
        <f t="shared" si="476"/>
        <v>-32.740525831730594</v>
      </c>
      <c r="AQ564">
        <f t="shared" si="448"/>
        <v>8.163264639733499E-4</v>
      </c>
      <c r="AR564">
        <f t="shared" si="449"/>
        <v>-2.8571426239067246</v>
      </c>
      <c r="AT564">
        <f t="shared" si="470"/>
        <v>-3154.2787284247579</v>
      </c>
      <c r="AU564">
        <f t="shared" si="471"/>
        <v>-212.91198051209426</v>
      </c>
      <c r="AV564">
        <f t="shared" si="459"/>
        <v>-3.0741954685585058</v>
      </c>
      <c r="AW564">
        <f t="shared" si="460"/>
        <v>289.41420287841424</v>
      </c>
      <c r="AX564">
        <f t="shared" si="461"/>
        <v>-2109.3541632768447</v>
      </c>
      <c r="AY564">
        <f t="shared" si="469"/>
        <v>-1.434442578702658</v>
      </c>
      <c r="BA564">
        <f t="shared" si="450"/>
        <v>1.484867927119649</v>
      </c>
      <c r="BB564">
        <f t="shared" si="462"/>
        <v>3.4337565333478293</v>
      </c>
      <c r="BC564">
        <f t="shared" si="463"/>
        <v>-1.6397528898558478</v>
      </c>
      <c r="BD564">
        <f t="shared" si="451"/>
        <v>-273.95092014047481</v>
      </c>
      <c r="BF564">
        <f t="shared" si="452"/>
        <v>-64.209281031119744</v>
      </c>
      <c r="BG564">
        <f t="shared" si="453"/>
        <v>-190.40605004464581</v>
      </c>
      <c r="BH564">
        <f t="shared" si="464"/>
        <v>-10.406050044645809</v>
      </c>
      <c r="BI564">
        <f t="shared" si="465"/>
        <v>-10.406050044645809</v>
      </c>
      <c r="BJ564">
        <f t="shared" si="454"/>
        <v>0</v>
      </c>
      <c r="BK564">
        <f t="shared" si="466"/>
        <v>0</v>
      </c>
      <c r="BM564">
        <f t="shared" si="467"/>
        <v>-67.643037564467576</v>
      </c>
      <c r="BN564">
        <f t="shared" si="455"/>
        <v>-96.455129904171031</v>
      </c>
      <c r="BQ564" s="47">
        <f t="shared" si="468"/>
        <v>20.335717333632964</v>
      </c>
    </row>
    <row r="565" spans="1:69">
      <c r="A565">
        <f t="shared" si="472"/>
        <v>1755000</v>
      </c>
      <c r="B565">
        <f t="shared" si="456"/>
        <v>1755</v>
      </c>
      <c r="C565">
        <f t="shared" si="425"/>
        <v>8.8780903497624575</v>
      </c>
      <c r="D565">
        <f t="shared" si="426"/>
        <v>1.457919949778131</v>
      </c>
      <c r="F565">
        <f t="shared" si="427"/>
        <v>3.1058641665778302E-6</v>
      </c>
      <c r="G565">
        <f t="shared" si="428"/>
        <v>5.3134667586710819E-4</v>
      </c>
      <c r="H565">
        <f t="shared" si="429"/>
        <v>-3.141061303324133</v>
      </c>
      <c r="J565">
        <f t="shared" si="430"/>
        <v>15</v>
      </c>
      <c r="M565">
        <f t="shared" si="431"/>
        <v>8.581064489948519E-4</v>
      </c>
      <c r="N565">
        <f t="shared" si="432"/>
        <v>-1.5707963250000001</v>
      </c>
      <c r="O565">
        <f t="shared" si="433"/>
        <v>855.14367482359364</v>
      </c>
      <c r="P565">
        <f t="shared" si="434"/>
        <v>1.5696269323909444</v>
      </c>
      <c r="Q565">
        <f t="shared" si="435"/>
        <v>667.38948255155799</v>
      </c>
      <c r="R565">
        <f t="shared" si="436"/>
        <v>1.5692979508085605</v>
      </c>
      <c r="S565">
        <f t="shared" si="437"/>
        <v>0.10569457254195729</v>
      </c>
      <c r="T565">
        <f t="shared" si="438"/>
        <v>-1.4649039666170347</v>
      </c>
      <c r="U565">
        <f t="shared" si="439"/>
        <v>6.8037663870514312E-2</v>
      </c>
      <c r="V565">
        <f t="shared" si="440"/>
        <v>-1.5027060608143468</v>
      </c>
      <c r="X565">
        <f t="shared" si="457"/>
        <v>-56.732900608927409</v>
      </c>
      <c r="Y565">
        <f t="shared" si="441"/>
        <v>-176.62127777769598</v>
      </c>
      <c r="Z565">
        <f t="shared" si="458"/>
        <v>3.3787222223040203</v>
      </c>
      <c r="AC565">
        <v>1</v>
      </c>
      <c r="AD565">
        <f t="shared" si="442"/>
        <v>855.14309012632498</v>
      </c>
      <c r="AE565">
        <f t="shared" si="443"/>
        <v>-0.77323166700768031</v>
      </c>
      <c r="AF565">
        <f t="shared" si="444"/>
        <v>5.2731067143573014E-2</v>
      </c>
      <c r="AG565">
        <f t="shared" si="473"/>
        <v>73.783508595040047</v>
      </c>
      <c r="AH565">
        <f t="shared" si="474"/>
        <v>-1100.9021530051434</v>
      </c>
      <c r="AJ565">
        <f t="shared" si="445"/>
        <v>22100</v>
      </c>
      <c r="AK565">
        <f t="shared" si="446"/>
        <v>207921.83968222758</v>
      </c>
      <c r="AL565">
        <v>1</v>
      </c>
      <c r="AM565">
        <f t="shared" si="447"/>
        <v>667.38873336342488</v>
      </c>
      <c r="AN565">
        <f t="shared" si="475"/>
        <v>311.59424265765398</v>
      </c>
      <c r="AO565">
        <f t="shared" si="476"/>
        <v>-32.647248399798087</v>
      </c>
      <c r="AQ565">
        <f t="shared" si="448"/>
        <v>8.1168165747991835E-4</v>
      </c>
      <c r="AR565">
        <f t="shared" si="449"/>
        <v>-2.8490026177545134</v>
      </c>
      <c r="AT565">
        <f t="shared" si="470"/>
        <v>-3136.4132270826822</v>
      </c>
      <c r="AU565">
        <f t="shared" si="471"/>
        <v>-211.10299121865614</v>
      </c>
      <c r="AV565">
        <f t="shared" si="459"/>
        <v>-3.0743868817360038</v>
      </c>
      <c r="AW565">
        <f t="shared" si="460"/>
        <v>289.5419968897321</v>
      </c>
      <c r="AX565">
        <f t="shared" si="461"/>
        <v>-2103.3711075221972</v>
      </c>
      <c r="AY565">
        <f t="shared" si="469"/>
        <v>-1.4339999018047076</v>
      </c>
      <c r="BA565">
        <f t="shared" si="450"/>
        <v>1.4805484094388701</v>
      </c>
      <c r="BB565">
        <f t="shared" si="462"/>
        <v>3.4084522413751186</v>
      </c>
      <c r="BC565">
        <f t="shared" si="463"/>
        <v>-1.6403869799312962</v>
      </c>
      <c r="BD565">
        <f t="shared" si="451"/>
        <v>-273.98725082567063</v>
      </c>
      <c r="BF565">
        <f t="shared" si="452"/>
        <v>-64.259682206382422</v>
      </c>
      <c r="BG565">
        <f t="shared" si="453"/>
        <v>-190.42414681798851</v>
      </c>
      <c r="BH565">
        <f t="shared" si="464"/>
        <v>-10.424146817988515</v>
      </c>
      <c r="BI565">
        <f t="shared" si="465"/>
        <v>-10.424146817988515</v>
      </c>
      <c r="BJ565">
        <f t="shared" si="454"/>
        <v>0</v>
      </c>
      <c r="BK565">
        <f t="shared" si="466"/>
        <v>0</v>
      </c>
      <c r="BM565">
        <f t="shared" si="467"/>
        <v>-67.668134447757524</v>
      </c>
      <c r="BN565">
        <f t="shared" si="455"/>
        <v>-96.436895992317886</v>
      </c>
      <c r="BQ565" s="47">
        <f t="shared" si="468"/>
        <v>20.310413041660254</v>
      </c>
    </row>
    <row r="566" spans="1:69">
      <c r="A566">
        <f t="shared" si="472"/>
        <v>1760000</v>
      </c>
      <c r="B566">
        <f t="shared" si="456"/>
        <v>1760</v>
      </c>
      <c r="C566">
        <f t="shared" si="425"/>
        <v>8.9030636018588734</v>
      </c>
      <c r="D566">
        <f t="shared" si="426"/>
        <v>1.4582379158855352</v>
      </c>
      <c r="F566">
        <f t="shared" si="427"/>
        <v>3.0882422248572882E-6</v>
      </c>
      <c r="G566">
        <f t="shared" si="428"/>
        <v>5.2983715904332789E-4</v>
      </c>
      <c r="H566">
        <f t="shared" si="429"/>
        <v>-3.141062812840957</v>
      </c>
      <c r="J566">
        <f t="shared" si="430"/>
        <v>15</v>
      </c>
      <c r="M566">
        <f t="shared" si="431"/>
        <v>8.5566864658293462E-4</v>
      </c>
      <c r="N566">
        <f t="shared" si="432"/>
        <v>-1.5707963250000001</v>
      </c>
      <c r="O566">
        <f t="shared" si="433"/>
        <v>857.57997826259805</v>
      </c>
      <c r="P566">
        <f t="shared" si="434"/>
        <v>1.5696302545311216</v>
      </c>
      <c r="Q566">
        <f t="shared" si="435"/>
        <v>669.2908728259298</v>
      </c>
      <c r="R566">
        <f t="shared" si="436"/>
        <v>1.5693022075521774</v>
      </c>
      <c r="S566">
        <f t="shared" si="437"/>
        <v>0.10539764415217917</v>
      </c>
      <c r="T566">
        <f t="shared" si="438"/>
        <v>-1.4652025628440231</v>
      </c>
      <c r="U566">
        <f t="shared" si="439"/>
        <v>6.7845266018821543E-2</v>
      </c>
      <c r="V566">
        <f t="shared" si="440"/>
        <v>-1.5028989042679699</v>
      </c>
      <c r="X566">
        <f t="shared" si="457"/>
        <v>-56.782246011508583</v>
      </c>
      <c r="Y566">
        <f t="shared" si="441"/>
        <v>-176.63086933219711</v>
      </c>
      <c r="Z566">
        <f t="shared" si="458"/>
        <v>3.3691306678028923</v>
      </c>
      <c r="AC566">
        <v>1</v>
      </c>
      <c r="AD566">
        <f t="shared" si="442"/>
        <v>857.57939522640004</v>
      </c>
      <c r="AE566">
        <f t="shared" si="443"/>
        <v>-0.77764382163228896</v>
      </c>
      <c r="AF566">
        <f t="shared" si="444"/>
        <v>5.2881298104096003E-2</v>
      </c>
      <c r="AG566">
        <f t="shared" si="473"/>
        <v>73.366806544630734</v>
      </c>
      <c r="AH566">
        <f t="shared" si="474"/>
        <v>-1097.8029266234457</v>
      </c>
      <c r="AJ566">
        <f t="shared" si="445"/>
        <v>22100</v>
      </c>
      <c r="AK566">
        <f t="shared" si="446"/>
        <v>208514.20959585215</v>
      </c>
      <c r="AL566">
        <v>1</v>
      </c>
      <c r="AM566">
        <f t="shared" si="447"/>
        <v>669.29012576616958</v>
      </c>
      <c r="AN566">
        <f t="shared" si="475"/>
        <v>311.5939651105237</v>
      </c>
      <c r="AO566">
        <f t="shared" si="476"/>
        <v>-32.55450094971475</v>
      </c>
      <c r="AQ566">
        <f t="shared" si="448"/>
        <v>8.0707638114375794E-4</v>
      </c>
      <c r="AR566">
        <f t="shared" si="449"/>
        <v>-2.8409088616260281</v>
      </c>
      <c r="AT566">
        <f t="shared" si="470"/>
        <v>-3118.698849946813</v>
      </c>
      <c r="AU566">
        <f t="shared" si="471"/>
        <v>-209.3144216750722</v>
      </c>
      <c r="AV566">
        <f t="shared" si="459"/>
        <v>-3.0745772124251931</v>
      </c>
      <c r="AW566">
        <f t="shared" si="460"/>
        <v>289.66868225883729</v>
      </c>
      <c r="AX566">
        <f t="shared" si="461"/>
        <v>-2097.4218229412945</v>
      </c>
      <c r="AY566">
        <f t="shared" si="469"/>
        <v>-1.4335574545369651</v>
      </c>
      <c r="BA566">
        <f t="shared" si="450"/>
        <v>1.4762531835344299</v>
      </c>
      <c r="BB566">
        <f t="shared" si="462"/>
        <v>3.3832169435399093</v>
      </c>
      <c r="BC566">
        <f t="shared" si="463"/>
        <v>-1.641019757888228</v>
      </c>
      <c r="BD566">
        <f t="shared" si="451"/>
        <v>-274.02350633201314</v>
      </c>
      <c r="BF566">
        <f t="shared" si="452"/>
        <v>-64.309941223445776</v>
      </c>
      <c r="BG566">
        <f t="shared" si="453"/>
        <v>-190.44227069727097</v>
      </c>
      <c r="BH566">
        <f t="shared" si="464"/>
        <v>-10.44227069727097</v>
      </c>
      <c r="BI566">
        <f t="shared" si="465"/>
        <v>-10.44227069727097</v>
      </c>
      <c r="BJ566">
        <f t="shared" si="454"/>
        <v>0</v>
      </c>
      <c r="BK566">
        <f t="shared" si="466"/>
        <v>0</v>
      </c>
      <c r="BM566">
        <f t="shared" si="467"/>
        <v>-67.693158166985683</v>
      </c>
      <c r="BN566">
        <f t="shared" si="455"/>
        <v>-96.418764365257829</v>
      </c>
      <c r="BQ566" s="47">
        <f t="shared" si="468"/>
        <v>20.285177743825045</v>
      </c>
    </row>
    <row r="567" spans="1:69">
      <c r="A567">
        <f t="shared" si="472"/>
        <v>1765000</v>
      </c>
      <c r="B567">
        <f t="shared" si="456"/>
        <v>1765</v>
      </c>
      <c r="C567">
        <f t="shared" si="425"/>
        <v>8.9280377490411489</v>
      </c>
      <c r="D567">
        <f t="shared" si="426"/>
        <v>1.4585541031495808</v>
      </c>
      <c r="F567">
        <f t="shared" si="427"/>
        <v>3.0707698330500466E-6</v>
      </c>
      <c r="G567">
        <f t="shared" si="428"/>
        <v>5.2833619480083889E-4</v>
      </c>
      <c r="H567">
        <f t="shared" si="429"/>
        <v>-3.1410643138051992</v>
      </c>
      <c r="J567">
        <f t="shared" si="430"/>
        <v>15</v>
      </c>
      <c r="M567">
        <f t="shared" si="431"/>
        <v>8.5324465608269974E-4</v>
      </c>
      <c r="N567">
        <f t="shared" si="432"/>
        <v>-1.5707963250000001</v>
      </c>
      <c r="O567">
        <f t="shared" si="433"/>
        <v>860.01628171101356</v>
      </c>
      <c r="P567">
        <f t="shared" si="434"/>
        <v>1.5696335578490004</v>
      </c>
      <c r="Q567">
        <f t="shared" si="435"/>
        <v>671.19226311236037</v>
      </c>
      <c r="R567">
        <f t="shared" si="436"/>
        <v>1.5693064401783205</v>
      </c>
      <c r="S567">
        <f t="shared" si="437"/>
        <v>0.10510237012178179</v>
      </c>
      <c r="T567">
        <f t="shared" si="438"/>
        <v>-1.465499486048365</v>
      </c>
      <c r="U567">
        <f t="shared" si="439"/>
        <v>6.7653950734701956E-2</v>
      </c>
      <c r="V567">
        <f t="shared" si="440"/>
        <v>-1.5030906601391716</v>
      </c>
      <c r="X567">
        <f t="shared" si="457"/>
        <v>-56.831451861052578</v>
      </c>
      <c r="Y567">
        <f t="shared" si="441"/>
        <v>-176.64040660613659</v>
      </c>
      <c r="Z567">
        <f t="shared" si="458"/>
        <v>3.3595933938634062</v>
      </c>
      <c r="AC567">
        <v>1</v>
      </c>
      <c r="AD567">
        <f t="shared" si="442"/>
        <v>860.0157003264751</v>
      </c>
      <c r="AE567">
        <f t="shared" si="443"/>
        <v>-0.78206852861713816</v>
      </c>
      <c r="AF567">
        <f t="shared" si="444"/>
        <v>5.3031529064619005E-2</v>
      </c>
      <c r="AG567">
        <f t="shared" si="473"/>
        <v>72.953619240725956</v>
      </c>
      <c r="AH567">
        <f t="shared" si="474"/>
        <v>-1094.7210212654759</v>
      </c>
      <c r="AJ567">
        <f t="shared" si="445"/>
        <v>22100</v>
      </c>
      <c r="AK567">
        <f t="shared" si="446"/>
        <v>209106.57950947672</v>
      </c>
      <c r="AL567">
        <v>1</v>
      </c>
      <c r="AM567">
        <f t="shared" si="447"/>
        <v>671.1915181689144</v>
      </c>
      <c r="AN567">
        <f t="shared" si="475"/>
        <v>311.5936899188012</v>
      </c>
      <c r="AO567">
        <f t="shared" si="476"/>
        <v>-32.462278977425711</v>
      </c>
      <c r="AQ567">
        <f t="shared" si="448"/>
        <v>8.0251018766620483E-4</v>
      </c>
      <c r="AR567">
        <f t="shared" si="449"/>
        <v>-2.8328609624617034</v>
      </c>
      <c r="AT567">
        <f t="shared" si="470"/>
        <v>-3101.1338999065069</v>
      </c>
      <c r="AU567">
        <f t="shared" si="471"/>
        <v>-207.54598478956547</v>
      </c>
      <c r="AV567">
        <f t="shared" si="459"/>
        <v>-3.0747664697685622</v>
      </c>
      <c r="AW567">
        <f t="shared" si="460"/>
        <v>289.79427182508903</v>
      </c>
      <c r="AX567">
        <f t="shared" si="461"/>
        <v>-2091.5060250283836</v>
      </c>
      <c r="AY567">
        <f t="shared" si="469"/>
        <v>-1.4331152354098882</v>
      </c>
      <c r="BA567">
        <f t="shared" si="450"/>
        <v>1.4719820432218673</v>
      </c>
      <c r="BB567">
        <f t="shared" si="462"/>
        <v>3.3580502410999418</v>
      </c>
      <c r="BC567">
        <f t="shared" si="463"/>
        <v>-1.641651234358674</v>
      </c>
      <c r="BD567">
        <f t="shared" si="451"/>
        <v>-274.05968726867286</v>
      </c>
      <c r="BF567">
        <f t="shared" si="452"/>
        <v>-64.360058910871004</v>
      </c>
      <c r="BG567">
        <f t="shared" si="453"/>
        <v>-190.46042143706077</v>
      </c>
      <c r="BH567">
        <f t="shared" si="464"/>
        <v>-10.460421437060774</v>
      </c>
      <c r="BI567">
        <f t="shared" si="465"/>
        <v>-10.460421437060774</v>
      </c>
      <c r="BJ567">
        <f t="shared" si="454"/>
        <v>0</v>
      </c>
      <c r="BK567">
        <f t="shared" si="466"/>
        <v>0</v>
      </c>
      <c r="BM567">
        <f t="shared" si="467"/>
        <v>-67.718109151970935</v>
      </c>
      <c r="BN567">
        <f t="shared" si="455"/>
        <v>-96.400734168387899</v>
      </c>
      <c r="BQ567" s="47">
        <f t="shared" si="468"/>
        <v>20.260011041385081</v>
      </c>
    </row>
    <row r="568" spans="1:69">
      <c r="A568">
        <f t="shared" si="472"/>
        <v>1770000</v>
      </c>
      <c r="B568">
        <f t="shared" si="456"/>
        <v>1770</v>
      </c>
      <c r="C568">
        <f t="shared" si="425"/>
        <v>8.9530127838188456</v>
      </c>
      <c r="D568">
        <f t="shared" si="426"/>
        <v>1.4588685263933923</v>
      </c>
      <c r="F568">
        <f t="shared" si="427"/>
        <v>3.053445303707225E-6</v>
      </c>
      <c r="G568">
        <f t="shared" si="428"/>
        <v>5.2684371065926075E-4</v>
      </c>
      <c r="H568">
        <f t="shared" si="429"/>
        <v>-3.1410658062893408</v>
      </c>
      <c r="J568">
        <f t="shared" si="430"/>
        <v>15</v>
      </c>
      <c r="M568">
        <f t="shared" si="431"/>
        <v>8.5083436044404816E-4</v>
      </c>
      <c r="N568">
        <f t="shared" si="432"/>
        <v>-1.5707963250000001</v>
      </c>
      <c r="O568">
        <f t="shared" si="433"/>
        <v>862.45258516876049</v>
      </c>
      <c r="P568">
        <f t="shared" si="434"/>
        <v>1.5696368425040916</v>
      </c>
      <c r="Q568">
        <f t="shared" si="435"/>
        <v>673.09365341074749</v>
      </c>
      <c r="R568">
        <f t="shared" si="436"/>
        <v>1.5693106488913746</v>
      </c>
      <c r="S568">
        <f t="shared" si="437"/>
        <v>0.1048087367409711</v>
      </c>
      <c r="T568">
        <f t="shared" si="438"/>
        <v>-1.4657947501996784</v>
      </c>
      <c r="U568">
        <f t="shared" si="439"/>
        <v>6.7463708927818125E-2</v>
      </c>
      <c r="V568">
        <f t="shared" si="440"/>
        <v>-1.5032813375885823</v>
      </c>
      <c r="X568">
        <f t="shared" si="457"/>
        <v>-56.880518943420917</v>
      </c>
      <c r="Y568">
        <f t="shared" si="441"/>
        <v>-176.64989005878076</v>
      </c>
      <c r="Z568">
        <f t="shared" si="458"/>
        <v>3.3501099412192445</v>
      </c>
      <c r="AC568">
        <v>1</v>
      </c>
      <c r="AD568">
        <f t="shared" si="442"/>
        <v>862.45200542655004</v>
      </c>
      <c r="AE568">
        <f t="shared" si="443"/>
        <v>-0.78650578796222814</v>
      </c>
      <c r="AF568">
        <f t="shared" si="444"/>
        <v>5.3181760025142008E-2</v>
      </c>
      <c r="AG568">
        <f t="shared" si="473"/>
        <v>72.543907326698601</v>
      </c>
      <c r="AH568">
        <f t="shared" si="474"/>
        <v>-1091.6562928041026</v>
      </c>
      <c r="AJ568">
        <f t="shared" si="445"/>
        <v>22100</v>
      </c>
      <c r="AK568">
        <f t="shared" si="446"/>
        <v>209698.94942310132</v>
      </c>
      <c r="AL568">
        <v>1</v>
      </c>
      <c r="AM568">
        <f t="shared" si="447"/>
        <v>673.09291057165922</v>
      </c>
      <c r="AN568">
        <f t="shared" si="475"/>
        <v>311.59341705590958</v>
      </c>
      <c r="AO568">
        <f t="shared" si="476"/>
        <v>-32.370578029768801</v>
      </c>
      <c r="AQ568">
        <f t="shared" si="448"/>
        <v>7.9798263605743592E-4</v>
      </c>
      <c r="AR568">
        <f t="shared" si="449"/>
        <v>-2.824858531643323</v>
      </c>
      <c r="AT568">
        <f t="shared" si="470"/>
        <v>-3083.7167035713919</v>
      </c>
      <c r="AU568">
        <f t="shared" si="471"/>
        <v>-205.79739829676762</v>
      </c>
      <c r="AV568">
        <f t="shared" si="459"/>
        <v>-3.0749546628060913</v>
      </c>
      <c r="AW568">
        <f t="shared" si="460"/>
        <v>289.91877824182166</v>
      </c>
      <c r="AX568">
        <f t="shared" si="461"/>
        <v>-2085.623432457618</v>
      </c>
      <c r="AY568">
        <f t="shared" si="469"/>
        <v>-1.4326732429535125</v>
      </c>
      <c r="BA568">
        <f t="shared" si="450"/>
        <v>1.4677347846449327</v>
      </c>
      <c r="BB568">
        <f t="shared" si="462"/>
        <v>3.3329517386980392</v>
      </c>
      <c r="BC568">
        <f t="shared" si="463"/>
        <v>-1.6422814198525788</v>
      </c>
      <c r="BD568">
        <f t="shared" si="451"/>
        <v>-274.09579423782526</v>
      </c>
      <c r="BF568">
        <f t="shared" si="452"/>
        <v>-64.410036090024306</v>
      </c>
      <c r="BG568">
        <f t="shared" si="453"/>
        <v>-190.47859879438377</v>
      </c>
      <c r="BH568">
        <f t="shared" si="464"/>
        <v>-10.478598794383771</v>
      </c>
      <c r="BI568">
        <f t="shared" si="465"/>
        <v>-10.478598794383771</v>
      </c>
      <c r="BJ568">
        <f t="shared" si="454"/>
        <v>0</v>
      </c>
      <c r="BK568">
        <f t="shared" si="466"/>
        <v>0</v>
      </c>
      <c r="BM568">
        <f t="shared" si="467"/>
        <v>-67.742987828722349</v>
      </c>
      <c r="BN568">
        <f t="shared" si="455"/>
        <v>-96.382804556558511</v>
      </c>
      <c r="BQ568" s="47">
        <f t="shared" si="468"/>
        <v>20.234912538983174</v>
      </c>
    </row>
    <row r="569" spans="1:69">
      <c r="A569">
        <f t="shared" si="472"/>
        <v>1775000</v>
      </c>
      <c r="B569">
        <f t="shared" si="456"/>
        <v>1775</v>
      </c>
      <c r="C569">
        <f t="shared" si="425"/>
        <v>8.9779886987846016</v>
      </c>
      <c r="D569">
        <f t="shared" si="426"/>
        <v>1.4591812002765518</v>
      </c>
      <c r="F569">
        <f t="shared" si="427"/>
        <v>3.0362669731134495E-6</v>
      </c>
      <c r="G569">
        <f t="shared" si="428"/>
        <v>5.2535963495490548E-4</v>
      </c>
      <c r="H569">
        <f t="shared" si="429"/>
        <v>-3.1410672903650454</v>
      </c>
      <c r="J569">
        <f t="shared" si="430"/>
        <v>15</v>
      </c>
      <c r="M569">
        <f t="shared" si="431"/>
        <v>8.4843764393575493E-4</v>
      </c>
      <c r="N569">
        <f t="shared" si="432"/>
        <v>-1.5707963250000001</v>
      </c>
      <c r="O569">
        <f t="shared" si="433"/>
        <v>864.88888863575983</v>
      </c>
      <c r="P569">
        <f t="shared" si="434"/>
        <v>1.5696401086541085</v>
      </c>
      <c r="Q569">
        <f t="shared" si="435"/>
        <v>674.99504372099011</v>
      </c>
      <c r="R569">
        <f t="shared" si="436"/>
        <v>1.5693148338934213</v>
      </c>
      <c r="S569">
        <f t="shared" si="437"/>
        <v>0.10451673045015079</v>
      </c>
      <c r="T569">
        <f t="shared" si="438"/>
        <v>-1.4660883691130644</v>
      </c>
      <c r="U569">
        <f t="shared" si="439"/>
        <v>6.7274531609089486E-2</v>
      </c>
      <c r="V569">
        <f t="shared" si="440"/>
        <v>-1.5034709456743975</v>
      </c>
      <c r="X569">
        <f t="shared" si="457"/>
        <v>-56.929448037866436</v>
      </c>
      <c r="Y569">
        <f t="shared" si="441"/>
        <v>-176.65932014423211</v>
      </c>
      <c r="Z569">
        <f t="shared" si="458"/>
        <v>3.3406798557678883</v>
      </c>
      <c r="AC569">
        <v>1</v>
      </c>
      <c r="AD569">
        <f t="shared" si="442"/>
        <v>864.88831052662511</v>
      </c>
      <c r="AE569">
        <f t="shared" si="443"/>
        <v>-0.7909555996675588</v>
      </c>
      <c r="AF569">
        <f t="shared" si="444"/>
        <v>5.3331990985665004E-2</v>
      </c>
      <c r="AG569">
        <f t="shared" si="473"/>
        <v>72.137631994417461</v>
      </c>
      <c r="AH569">
        <f t="shared" si="474"/>
        <v>-1088.6085986991814</v>
      </c>
      <c r="AJ569">
        <f t="shared" si="445"/>
        <v>22100</v>
      </c>
      <c r="AK569">
        <f t="shared" si="446"/>
        <v>210291.31933672589</v>
      </c>
      <c r="AL569">
        <v>1</v>
      </c>
      <c r="AM569">
        <f t="shared" si="447"/>
        <v>674.99430297440404</v>
      </c>
      <c r="AN569">
        <f t="shared" si="475"/>
        <v>311.59314649564561</v>
      </c>
      <c r="AO569">
        <f t="shared" si="476"/>
        <v>-32.27939370375779</v>
      </c>
      <c r="AQ569">
        <f t="shared" si="448"/>
        <v>7.9349329152999073E-4</v>
      </c>
      <c r="AR569">
        <f t="shared" si="449"/>
        <v>-2.8169011849314671</v>
      </c>
      <c r="AT569">
        <f t="shared" si="470"/>
        <v>-3066.4456108752538</v>
      </c>
      <c r="AU569">
        <f t="shared" si="471"/>
        <v>-204.06838466339434</v>
      </c>
      <c r="AV569">
        <f t="shared" si="459"/>
        <v>-3.0751418004766879</v>
      </c>
      <c r="AW569">
        <f t="shared" si="460"/>
        <v>290.04221397958116</v>
      </c>
      <c r="AX569">
        <f t="shared" si="461"/>
        <v>-2079.7737670388547</v>
      </c>
      <c r="AY569">
        <f t="shared" si="469"/>
        <v>-1.4322314757171521</v>
      </c>
      <c r="BA569">
        <f t="shared" si="450"/>
        <v>1.4635112062428375</v>
      </c>
      <c r="BB569">
        <f t="shared" si="462"/>
        <v>3.3079210443240505</v>
      </c>
      <c r="BC569">
        <f t="shared" si="463"/>
        <v>-1.6429103247595358</v>
      </c>
      <c r="BD569">
        <f t="shared" si="451"/>
        <v>-274.13182783475014</v>
      </c>
      <c r="BF569">
        <f t="shared" si="452"/>
        <v>-64.459873575160202</v>
      </c>
      <c r="BG569">
        <f t="shared" si="453"/>
        <v>-190.49680252869359</v>
      </c>
      <c r="BH569">
        <f t="shared" si="464"/>
        <v>-10.496802528693593</v>
      </c>
      <c r="BI569">
        <f t="shared" si="465"/>
        <v>-10.496802528693593</v>
      </c>
      <c r="BJ569">
        <f t="shared" si="454"/>
        <v>0</v>
      </c>
      <c r="BK569">
        <f t="shared" si="466"/>
        <v>0</v>
      </c>
      <c r="BM569">
        <f t="shared" si="467"/>
        <v>-67.767794619484249</v>
      </c>
      <c r="BN569">
        <f t="shared" si="455"/>
        <v>-96.364974693943481</v>
      </c>
      <c r="BQ569" s="47">
        <f t="shared" si="468"/>
        <v>20.209881844609185</v>
      </c>
    </row>
    <row r="570" spans="1:69">
      <c r="A570">
        <f t="shared" si="472"/>
        <v>1780000</v>
      </c>
      <c r="B570">
        <f t="shared" si="456"/>
        <v>1780</v>
      </c>
      <c r="C570">
        <f t="shared" si="425"/>
        <v>9.0029654866130002</v>
      </c>
      <c r="D570">
        <f t="shared" si="426"/>
        <v>1.459492139297339</v>
      </c>
      <c r="F570">
        <f t="shared" si="427"/>
        <v>3.0192332008874063E-6</v>
      </c>
      <c r="G570">
        <f t="shared" si="428"/>
        <v>5.2388389682930738E-4</v>
      </c>
      <c r="H570">
        <f t="shared" si="429"/>
        <v>-3.1410687661031709</v>
      </c>
      <c r="J570">
        <f t="shared" si="430"/>
        <v>15</v>
      </c>
      <c r="M570">
        <f t="shared" si="431"/>
        <v>8.4605439212694675E-4</v>
      </c>
      <c r="N570">
        <f t="shared" si="432"/>
        <v>-1.5707963250000001</v>
      </c>
      <c r="O570">
        <f t="shared" si="433"/>
        <v>867.32519211193392</v>
      </c>
      <c r="P570">
        <f t="shared" si="434"/>
        <v>1.5696433564549923</v>
      </c>
      <c r="Q570">
        <f t="shared" si="435"/>
        <v>676.8964340429884</v>
      </c>
      <c r="R570">
        <f t="shared" si="436"/>
        <v>1.5693189953842721</v>
      </c>
      <c r="S570">
        <f t="shared" si="437"/>
        <v>0.10422633783788296</v>
      </c>
      <c r="T570">
        <f t="shared" si="438"/>
        <v>-1.4663803564512281</v>
      </c>
      <c r="U570">
        <f t="shared" si="439"/>
        <v>6.7086409889289475E-2</v>
      </c>
      <c r="V570">
        <f t="shared" si="440"/>
        <v>-1.5036594933538039</v>
      </c>
      <c r="X570">
        <f t="shared" si="457"/>
        <v>-56.978239917107018</v>
      </c>
      <c r="Y570">
        <f t="shared" si="441"/>
        <v>-176.66869731150149</v>
      </c>
      <c r="Z570">
        <f t="shared" si="458"/>
        <v>3.3313026884985106</v>
      </c>
      <c r="AC570">
        <v>1</v>
      </c>
      <c r="AD570">
        <f t="shared" si="442"/>
        <v>867.32461562670017</v>
      </c>
      <c r="AE570">
        <f t="shared" si="443"/>
        <v>-0.79541796373313023</v>
      </c>
      <c r="AF570">
        <f t="shared" si="444"/>
        <v>5.3482221946188006E-2</v>
      </c>
      <c r="AG570">
        <f t="shared" si="473"/>
        <v>71.734754975113461</v>
      </c>
      <c r="AH570">
        <f t="shared" si="474"/>
        <v>-1085.5777979758748</v>
      </c>
      <c r="AJ570">
        <f t="shared" si="445"/>
        <v>22100</v>
      </c>
      <c r="AK570">
        <f t="shared" si="446"/>
        <v>210883.68925035046</v>
      </c>
      <c r="AL570">
        <v>1</v>
      </c>
      <c r="AM570">
        <f t="shared" si="447"/>
        <v>676.89569537714885</v>
      </c>
      <c r="AN570">
        <f t="shared" si="475"/>
        <v>311.59287821217333</v>
      </c>
      <c r="AO570">
        <f t="shared" si="476"/>
        <v>-32.188721645877635</v>
      </c>
      <c r="AQ570">
        <f t="shared" si="448"/>
        <v>7.8904172539438473E-4</v>
      </c>
      <c r="AR570">
        <f t="shared" si="449"/>
        <v>-2.8089885424040095</v>
      </c>
      <c r="AT570">
        <f t="shared" si="470"/>
        <v>-3049.3189946875705</v>
      </c>
      <c r="AU570">
        <f t="shared" si="471"/>
        <v>-202.35867099601745</v>
      </c>
      <c r="AV570">
        <f t="shared" si="459"/>
        <v>-3.0753278916195881</v>
      </c>
      <c r="AW570">
        <f t="shared" si="460"/>
        <v>290.16459132929441</v>
      </c>
      <c r="AX570">
        <f t="shared" si="461"/>
        <v>-2073.9567536741733</v>
      </c>
      <c r="AY570">
        <f t="shared" si="469"/>
        <v>-1.431789932269105</v>
      </c>
      <c r="BA570">
        <f t="shared" si="450"/>
        <v>1.4593111087180402</v>
      </c>
      <c r="BB570">
        <f t="shared" si="462"/>
        <v>3.2829577692772367</v>
      </c>
      <c r="BC570">
        <f t="shared" si="463"/>
        <v>-1.6435379593504831</v>
      </c>
      <c r="BD570">
        <f t="shared" si="451"/>
        <v>-274.16778864792894</v>
      </c>
      <c r="BF570">
        <f t="shared" si="452"/>
        <v>-64.509572173503642</v>
      </c>
      <c r="BG570">
        <f t="shared" si="453"/>
        <v>-190.51503240184132</v>
      </c>
      <c r="BH570">
        <f t="shared" si="464"/>
        <v>-10.515032401841324</v>
      </c>
      <c r="BI570">
        <f t="shared" si="465"/>
        <v>-10.515032401841324</v>
      </c>
      <c r="BJ570">
        <f t="shared" si="454"/>
        <v>0</v>
      </c>
      <c r="BK570">
        <f t="shared" si="466"/>
        <v>0</v>
      </c>
      <c r="BM570">
        <f t="shared" si="467"/>
        <v>-67.792529942780874</v>
      </c>
      <c r="BN570">
        <f t="shared" si="455"/>
        <v>-96.347243753912437</v>
      </c>
      <c r="BQ570" s="47">
        <f t="shared" si="468"/>
        <v>20.18491856956237</v>
      </c>
    </row>
    <row r="571" spans="1:69">
      <c r="A571">
        <f t="shared" si="472"/>
        <v>1785000</v>
      </c>
      <c r="B571">
        <f t="shared" si="456"/>
        <v>1785</v>
      </c>
      <c r="C571">
        <f t="shared" si="425"/>
        <v>9.0279431400594294</v>
      </c>
      <c r="D571">
        <f t="shared" si="426"/>
        <v>1.4598013577949343</v>
      </c>
      <c r="F571">
        <f t="shared" si="427"/>
        <v>3.0023423695902226E-6</v>
      </c>
      <c r="G571">
        <f t="shared" si="428"/>
        <v>5.2241642621794477E-4</v>
      </c>
      <c r="H571">
        <f t="shared" si="429"/>
        <v>-3.1410702335737821</v>
      </c>
      <c r="J571">
        <f t="shared" si="430"/>
        <v>15</v>
      </c>
      <c r="M571">
        <f t="shared" si="431"/>
        <v>8.4368449186888789E-4</v>
      </c>
      <c r="N571">
        <f t="shared" si="432"/>
        <v>-1.5707963250000001</v>
      </c>
      <c r="O571">
        <f t="shared" si="433"/>
        <v>869.76149559720545</v>
      </c>
      <c r="P571">
        <f t="shared" si="434"/>
        <v>1.5696465860609374</v>
      </c>
      <c r="Q571">
        <f t="shared" si="435"/>
        <v>678.79782437664335</v>
      </c>
      <c r="R571">
        <f t="shared" si="436"/>
        <v>1.5693231335614992</v>
      </c>
      <c r="S571">
        <f t="shared" si="437"/>
        <v>0.10393754563888222</v>
      </c>
      <c r="T571">
        <f t="shared" si="438"/>
        <v>-1.466670725726567</v>
      </c>
      <c r="U571">
        <f t="shared" si="439"/>
        <v>6.6899334977666189E-2</v>
      </c>
      <c r="V571">
        <f t="shared" si="440"/>
        <v>-1.50384698948438</v>
      </c>
      <c r="X571">
        <f t="shared" si="457"/>
        <v>-57.026895347398359</v>
      </c>
      <c r="Y571">
        <f t="shared" si="441"/>
        <v>-176.67802200457925</v>
      </c>
      <c r="Z571">
        <f t="shared" si="458"/>
        <v>3.3219779954207524</v>
      </c>
      <c r="AC571">
        <v>1</v>
      </c>
      <c r="AD571">
        <f t="shared" si="442"/>
        <v>869.760920726775</v>
      </c>
      <c r="AE571">
        <f t="shared" si="443"/>
        <v>-0.79989288015894233</v>
      </c>
      <c r="AF571">
        <f t="shared" si="444"/>
        <v>5.3632452906711009E-2</v>
      </c>
      <c r="AG571">
        <f t="shared" si="473"/>
        <v>71.335238530422984</v>
      </c>
      <c r="AH571">
        <f t="shared" si="474"/>
        <v>-1082.5637512033334</v>
      </c>
      <c r="AJ571">
        <f t="shared" si="445"/>
        <v>22100</v>
      </c>
      <c r="AK571">
        <f t="shared" si="446"/>
        <v>211476.05916397509</v>
      </c>
      <c r="AL571">
        <v>1</v>
      </c>
      <c r="AM571">
        <f t="shared" si="447"/>
        <v>678.79708777989367</v>
      </c>
      <c r="AN571">
        <f t="shared" si="475"/>
        <v>311.59261218001865</v>
      </c>
      <c r="AO571">
        <f t="shared" si="476"/>
        <v>-32.098557551391671</v>
      </c>
      <c r="AQ571">
        <f t="shared" si="448"/>
        <v>7.8462751495676579E-4</v>
      </c>
      <c r="AR571">
        <f t="shared" si="449"/>
        <v>-2.801120228395654</v>
      </c>
      <c r="AT571">
        <f t="shared" si="470"/>
        <v>-3032.3352504325999</v>
      </c>
      <c r="AU571">
        <f t="shared" si="471"/>
        <v>-200.66798895088581</v>
      </c>
      <c r="AV571">
        <f t="shared" si="459"/>
        <v>-3.0755129449757441</v>
      </c>
      <c r="AW571">
        <f t="shared" si="460"/>
        <v>290.28592240537535</v>
      </c>
      <c r="AX571">
        <f t="shared" si="461"/>
        <v>-2068.1721203151292</v>
      </c>
      <c r="AY571">
        <f t="shared" si="469"/>
        <v>-1.4313486111963631</v>
      </c>
      <c r="BA571">
        <f t="shared" si="450"/>
        <v>1.4551342950045822</v>
      </c>
      <c r="BB571">
        <f t="shared" si="462"/>
        <v>3.2580615281292387</v>
      </c>
      <c r="BC571">
        <f t="shared" si="463"/>
        <v>-1.644164333779381</v>
      </c>
      <c r="BD571">
        <f t="shared" si="451"/>
        <v>-274.2036772591407</v>
      </c>
      <c r="BF571">
        <f t="shared" si="452"/>
        <v>-64.559132685330923</v>
      </c>
      <c r="BG571">
        <f t="shared" si="453"/>
        <v>-190.53328817804598</v>
      </c>
      <c r="BH571">
        <f t="shared" si="464"/>
        <v>-10.533288178045979</v>
      </c>
      <c r="BI571">
        <f t="shared" si="465"/>
        <v>-10.533288178045979</v>
      </c>
      <c r="BJ571">
        <f t="shared" si="454"/>
        <v>0</v>
      </c>
      <c r="BK571">
        <f t="shared" si="466"/>
        <v>0</v>
      </c>
      <c r="BM571">
        <f t="shared" si="467"/>
        <v>-67.817194213460155</v>
      </c>
      <c r="BN571">
        <f t="shared" si="455"/>
        <v>-96.329610918905274</v>
      </c>
      <c r="BQ571" s="47">
        <f t="shared" si="468"/>
        <v>20.160022328414374</v>
      </c>
    </row>
    <row r="572" spans="1:69">
      <c r="A572">
        <f t="shared" si="472"/>
        <v>1790000</v>
      </c>
      <c r="B572">
        <f t="shared" si="456"/>
        <v>1790</v>
      </c>
      <c r="C572">
        <f t="shared" si="425"/>
        <v>9.0529216519589859</v>
      </c>
      <c r="D572">
        <f t="shared" si="426"/>
        <v>1.4601088699515847</v>
      </c>
      <c r="F572">
        <f t="shared" si="427"/>
        <v>2.9855928843414905E-6</v>
      </c>
      <c r="G572">
        <f t="shared" si="428"/>
        <v>5.2095715383915122E-4</v>
      </c>
      <c r="H572">
        <f t="shared" si="429"/>
        <v>-3.1410716928461611</v>
      </c>
      <c r="J572">
        <f t="shared" si="430"/>
        <v>15</v>
      </c>
      <c r="M572">
        <f t="shared" si="431"/>
        <v>8.413278312770755E-4</v>
      </c>
      <c r="N572">
        <f t="shared" si="432"/>
        <v>-1.5707963250000001</v>
      </c>
      <c r="O572">
        <f t="shared" si="433"/>
        <v>872.19779909149804</v>
      </c>
      <c r="P572">
        <f t="shared" si="434"/>
        <v>1.569649797624415</v>
      </c>
      <c r="Q572">
        <f t="shared" si="435"/>
        <v>680.69921472185763</v>
      </c>
      <c r="R572">
        <f t="shared" si="436"/>
        <v>1.5693272486204681</v>
      </c>
      <c r="S572">
        <f t="shared" si="437"/>
        <v>0.10365034073204168</v>
      </c>
      <c r="T572">
        <f t="shared" si="438"/>
        <v>-1.4669594903032244</v>
      </c>
      <c r="U572">
        <f t="shared" si="439"/>
        <v>6.6713298180585634E-2</v>
      </c>
      <c r="V572">
        <f t="shared" si="440"/>
        <v>-1.5040334428254765</v>
      </c>
      <c r="X572">
        <f t="shared" si="457"/>
        <v>-57.075415088605688</v>
      </c>
      <c r="Y572">
        <f t="shared" si="441"/>
        <v>-176.68729466250531</v>
      </c>
      <c r="Z572">
        <f t="shared" si="458"/>
        <v>3.3127053374946911</v>
      </c>
      <c r="AC572">
        <v>1</v>
      </c>
      <c r="AD572">
        <f t="shared" si="442"/>
        <v>872.19722582685017</v>
      </c>
      <c r="AE572">
        <f t="shared" si="443"/>
        <v>-0.80438034894499522</v>
      </c>
      <c r="AF572">
        <f t="shared" si="444"/>
        <v>5.3782683867234012E-2</v>
      </c>
      <c r="AG572">
        <f t="shared" si="473"/>
        <v>70.939045443603916</v>
      </c>
      <c r="AH572">
        <f t="shared" si="474"/>
        <v>-1079.5663204737175</v>
      </c>
      <c r="AJ572">
        <f t="shared" si="445"/>
        <v>22100</v>
      </c>
      <c r="AK572">
        <f t="shared" si="446"/>
        <v>212068.42907759966</v>
      </c>
      <c r="AL572">
        <v>1</v>
      </c>
      <c r="AM572">
        <f t="shared" si="447"/>
        <v>680.69848018263849</v>
      </c>
      <c r="AN572">
        <f t="shared" si="475"/>
        <v>311.59234837406211</v>
      </c>
      <c r="AO572">
        <f t="shared" si="476"/>
        <v>-32.008897163660308</v>
      </c>
      <c r="AQ572">
        <f t="shared" si="448"/>
        <v>7.8025024341856972E-4</v>
      </c>
      <c r="AR572">
        <f t="shared" si="449"/>
        <v>-2.7932958714384797</v>
      </c>
      <c r="AT572">
        <f t="shared" si="470"/>
        <v>-3015.4927957157902</v>
      </c>
      <c r="AU572">
        <f t="shared" si="471"/>
        <v>-198.99607464574163</v>
      </c>
      <c r="AV572">
        <f t="shared" si="459"/>
        <v>-3.0756969691891811</v>
      </c>
      <c r="AW572">
        <f t="shared" si="460"/>
        <v>290.40621914876795</v>
      </c>
      <c r="AX572">
        <f t="shared" si="461"/>
        <v>-2062.4195979207007</v>
      </c>
      <c r="AY572">
        <f t="shared" si="469"/>
        <v>-1.4309075111043286</v>
      </c>
      <c r="BA572">
        <f t="shared" si="450"/>
        <v>1.450980570236954</v>
      </c>
      <c r="BB572">
        <f t="shared" si="462"/>
        <v>3.2332319386875557</v>
      </c>
      <c r="BC572">
        <f t="shared" si="463"/>
        <v>-1.6447894580848526</v>
      </c>
      <c r="BD572">
        <f t="shared" si="451"/>
        <v>-274.23949424355618</v>
      </c>
      <c r="BF572">
        <f t="shared" si="452"/>
        <v>-64.608555904049453</v>
      </c>
      <c r="BG572">
        <f t="shared" si="453"/>
        <v>-190.55156962386485</v>
      </c>
      <c r="BH572">
        <f t="shared" si="464"/>
        <v>-10.55156962386485</v>
      </c>
      <c r="BI572">
        <f t="shared" si="465"/>
        <v>-10.55156962386485</v>
      </c>
      <c r="BJ572">
        <f t="shared" si="454"/>
        <v>0</v>
      </c>
      <c r="BK572">
        <f t="shared" si="466"/>
        <v>0</v>
      </c>
      <c r="BM572">
        <f t="shared" si="467"/>
        <v>-67.841787842737006</v>
      </c>
      <c r="BN572">
        <f t="shared" si="455"/>
        <v>-96.312075380308684</v>
      </c>
      <c r="BQ572" s="47">
        <f t="shared" si="468"/>
        <v>20.135192738972695</v>
      </c>
    </row>
    <row r="573" spans="1:69">
      <c r="A573">
        <f t="shared" si="472"/>
        <v>1795000</v>
      </c>
      <c r="B573">
        <f t="shared" si="456"/>
        <v>1795</v>
      </c>
      <c r="C573">
        <f t="shared" si="425"/>
        <v>9.0779010152253807</v>
      </c>
      <c r="D573">
        <f t="shared" si="426"/>
        <v>1.4604146897947381</v>
      </c>
      <c r="F573">
        <f t="shared" si="427"/>
        <v>2.9689831724427693E-6</v>
      </c>
      <c r="G573">
        <f t="shared" si="428"/>
        <v>5.1950601118321308E-4</v>
      </c>
      <c r="H573">
        <f t="shared" si="429"/>
        <v>-3.1410731439888169</v>
      </c>
      <c r="J573">
        <f t="shared" si="430"/>
        <v>15</v>
      </c>
      <c r="M573">
        <f t="shared" si="431"/>
        <v>8.3898429971362943E-4</v>
      </c>
      <c r="N573">
        <f t="shared" si="432"/>
        <v>-1.5707963250000001</v>
      </c>
      <c r="O573">
        <f t="shared" si="433"/>
        <v>874.63410259473676</v>
      </c>
      <c r="P573">
        <f t="shared" si="434"/>
        <v>1.5696529912961976</v>
      </c>
      <c r="Q573">
        <f t="shared" si="435"/>
        <v>682.60060507853439</v>
      </c>
      <c r="R573">
        <f t="shared" si="436"/>
        <v>1.5693313407543665</v>
      </c>
      <c r="S573">
        <f t="shared" si="437"/>
        <v>0.10336471013849095</v>
      </c>
      <c r="T573">
        <f t="shared" si="438"/>
        <v>-1.4672466633991104</v>
      </c>
      <c r="U573">
        <f t="shared" si="439"/>
        <v>6.6528290900197282E-2</v>
      </c>
      <c r="V573">
        <f t="shared" si="440"/>
        <v>-1.5042188620395707</v>
      </c>
      <c r="X573">
        <f t="shared" si="457"/>
        <v>-57.123799894274555</v>
      </c>
      <c r="Y573">
        <f t="shared" si="441"/>
        <v>-176.69651571943777</v>
      </c>
      <c r="Z573">
        <f t="shared" si="458"/>
        <v>3.3034842805622304</v>
      </c>
      <c r="AC573">
        <v>1</v>
      </c>
      <c r="AD573">
        <f t="shared" si="442"/>
        <v>874.633530926925</v>
      </c>
      <c r="AE573">
        <f t="shared" si="443"/>
        <v>-0.80888037009128866</v>
      </c>
      <c r="AF573">
        <f t="shared" si="444"/>
        <v>5.3932914827757E-2</v>
      </c>
      <c r="AG573">
        <f t="shared" si="473"/>
        <v>70.546139010920541</v>
      </c>
      <c r="AH573">
        <f t="shared" si="474"/>
        <v>-1076.5853693815586</v>
      </c>
      <c r="AJ573">
        <f t="shared" si="445"/>
        <v>22100</v>
      </c>
      <c r="AK573">
        <f t="shared" si="446"/>
        <v>212660.7989912242</v>
      </c>
      <c r="AL573">
        <v>1</v>
      </c>
      <c r="AM573">
        <f t="shared" si="447"/>
        <v>682.5998725853832</v>
      </c>
      <c r="AN573">
        <f t="shared" si="475"/>
        <v>311.59208676953409</v>
      </c>
      <c r="AO573">
        <f t="shared" si="476"/>
        <v>-31.919736273471187</v>
      </c>
      <c r="AQ573">
        <f t="shared" si="448"/>
        <v>7.7590949977812869E-4</v>
      </c>
      <c r="AR573">
        <f t="shared" si="449"/>
        <v>-2.785515104203482</v>
      </c>
      <c r="AT573">
        <f t="shared" si="470"/>
        <v>-2998.7900699573852</v>
      </c>
      <c r="AU573">
        <f t="shared" si="471"/>
        <v>-197.34266857358296</v>
      </c>
      <c r="AV573">
        <f t="shared" si="459"/>
        <v>-3.0758799728083375</v>
      </c>
      <c r="AW573">
        <f t="shared" si="460"/>
        <v>290.52549332992879</v>
      </c>
      <c r="AX573">
        <f t="shared" si="461"/>
        <v>-2056.6989204159345</v>
      </c>
      <c r="AY573">
        <f t="shared" si="469"/>
        <v>-1.4304666306165346</v>
      </c>
      <c r="BA573">
        <f t="shared" si="450"/>
        <v>1.4468497417194701</v>
      </c>
      <c r="BB573">
        <f t="shared" si="462"/>
        <v>3.2084686219594798</v>
      </c>
      <c r="BC573">
        <f t="shared" si="463"/>
        <v>-1.6454133421918029</v>
      </c>
      <c r="BD573">
        <f t="shared" si="451"/>
        <v>-274.27524016983057</v>
      </c>
      <c r="BF573">
        <f t="shared" si="452"/>
        <v>-64.657842616276412</v>
      </c>
      <c r="BG573">
        <f t="shared" si="453"/>
        <v>-190.56987650816492</v>
      </c>
      <c r="BH573">
        <f t="shared" si="464"/>
        <v>-10.569876508164924</v>
      </c>
      <c r="BI573">
        <f t="shared" si="465"/>
        <v>-10.569876508164924</v>
      </c>
      <c r="BJ573">
        <f t="shared" si="454"/>
        <v>0</v>
      </c>
      <c r="BK573">
        <f t="shared" si="466"/>
        <v>0</v>
      </c>
      <c r="BM573">
        <f t="shared" si="467"/>
        <v>-67.866311238235895</v>
      </c>
      <c r="BN573">
        <f t="shared" si="455"/>
        <v>-96.294636338334357</v>
      </c>
      <c r="BQ573" s="47">
        <f t="shared" si="468"/>
        <v>20.110429422244618</v>
      </c>
    </row>
    <row r="574" spans="1:69">
      <c r="A574">
        <f t="shared" si="472"/>
        <v>1800000</v>
      </c>
      <c r="B574">
        <f t="shared" si="456"/>
        <v>1800</v>
      </c>
      <c r="C574">
        <f t="shared" si="425"/>
        <v>9.1028812228498612</v>
      </c>
      <c r="D574">
        <f t="shared" si="426"/>
        <v>1.4607188311991388</v>
      </c>
      <c r="F574">
        <f t="shared" si="427"/>
        <v>2.9525116830083998E-6</v>
      </c>
      <c r="G574">
        <f t="shared" si="428"/>
        <v>5.180629305016458E-4</v>
      </c>
      <c r="H574">
        <f t="shared" si="429"/>
        <v>-3.1410745870694985</v>
      </c>
      <c r="J574">
        <f t="shared" si="430"/>
        <v>15</v>
      </c>
      <c r="M574">
        <f t="shared" si="431"/>
        <v>8.3665378776998057E-4</v>
      </c>
      <c r="N574">
        <f t="shared" si="432"/>
        <v>-1.5707963250000001</v>
      </c>
      <c r="O574">
        <f t="shared" si="433"/>
        <v>877.07040610684658</v>
      </c>
      <c r="P574">
        <f t="shared" si="434"/>
        <v>1.5696561672253821</v>
      </c>
      <c r="Q574">
        <f t="shared" si="435"/>
        <v>684.50199544657812</v>
      </c>
      <c r="R574">
        <f t="shared" si="436"/>
        <v>1.5693354101542365</v>
      </c>
      <c r="S574">
        <f t="shared" si="437"/>
        <v>0.10308064101968488</v>
      </c>
      <c r="T574">
        <f t="shared" si="438"/>
        <v>-1.4675322580878882</v>
      </c>
      <c r="U574">
        <f t="shared" si="439"/>
        <v>6.6344304633121645E-2</v>
      </c>
      <c r="V574">
        <f t="shared" si="440"/>
        <v>-1.5044032556936009</v>
      </c>
      <c r="X574">
        <f t="shared" si="457"/>
        <v>-57.172050511700547</v>
      </c>
      <c r="Y574">
        <f t="shared" si="441"/>
        <v>-176.70568560472068</v>
      </c>
      <c r="Z574">
        <f t="shared" si="458"/>
        <v>3.294314395279315</v>
      </c>
      <c r="AC574">
        <v>1</v>
      </c>
      <c r="AD574">
        <f t="shared" si="442"/>
        <v>877.06983602700006</v>
      </c>
      <c r="AE574">
        <f t="shared" si="443"/>
        <v>-0.81339294359782288</v>
      </c>
      <c r="AF574">
        <f t="shared" si="444"/>
        <v>5.4083145788280003E-2</v>
      </c>
      <c r="AG574">
        <f t="shared" si="473"/>
        <v>70.156483033194007</v>
      </c>
      <c r="AH574">
        <f t="shared" si="474"/>
        <v>-1073.6207630034573</v>
      </c>
      <c r="AJ574">
        <f t="shared" si="445"/>
        <v>22100</v>
      </c>
      <c r="AK574">
        <f t="shared" si="446"/>
        <v>213253.16890484883</v>
      </c>
      <c r="AL574">
        <v>1</v>
      </c>
      <c r="AM574">
        <f t="shared" si="447"/>
        <v>684.50126498812801</v>
      </c>
      <c r="AN574">
        <f t="shared" si="475"/>
        <v>311.59182734200857</v>
      </c>
      <c r="AO574">
        <f t="shared" si="476"/>
        <v>-31.83107071838047</v>
      </c>
      <c r="AQ574">
        <f t="shared" si="448"/>
        <v>7.7160487873419148E-4</v>
      </c>
      <c r="AR574">
        <f t="shared" si="449"/>
        <v>-2.7777775634430895</v>
      </c>
      <c r="AT574">
        <f t="shared" si="470"/>
        <v>-2982.2255340330712</v>
      </c>
      <c r="AU574">
        <f t="shared" si="471"/>
        <v>-195.70751551832589</v>
      </c>
      <c r="AV574">
        <f t="shared" si="459"/>
        <v>-3.0760619642873785</v>
      </c>
      <c r="AW574">
        <f t="shared" si="460"/>
        <v>290.64375655174928</v>
      </c>
      <c r="AX574">
        <f t="shared" si="461"/>
        <v>-2051.0098246512721</v>
      </c>
      <c r="AY574">
        <f t="shared" si="469"/>
        <v>-1.4300259683743717</v>
      </c>
      <c r="BA574">
        <f t="shared" si="450"/>
        <v>1.4427416188961699</v>
      </c>
      <c r="BB574">
        <f t="shared" si="462"/>
        <v>3.1837712021166178</v>
      </c>
      <c r="BC574">
        <f t="shared" si="463"/>
        <v>-1.6460359959130069</v>
      </c>
      <c r="BD574">
        <f t="shared" si="451"/>
        <v>-274.31091560019445</v>
      </c>
      <c r="BF574">
        <f t="shared" si="452"/>
        <v>-64.706993601916182</v>
      </c>
      <c r="BG574">
        <f t="shared" si="453"/>
        <v>-190.5882086020942</v>
      </c>
      <c r="BH574">
        <f t="shared" si="464"/>
        <v>-10.588208602094198</v>
      </c>
      <c r="BI574">
        <f t="shared" si="465"/>
        <v>-10.588208602094198</v>
      </c>
      <c r="BJ574">
        <f t="shared" si="454"/>
        <v>0</v>
      </c>
      <c r="BK574">
        <f t="shared" si="466"/>
        <v>0</v>
      </c>
      <c r="BM574">
        <f t="shared" si="467"/>
        <v>-67.890764804032798</v>
      </c>
      <c r="BN574">
        <f t="shared" si="455"/>
        <v>-96.27729300189975</v>
      </c>
      <c r="BQ574" s="47">
        <f t="shared" si="468"/>
        <v>20.085732002401752</v>
      </c>
    </row>
    <row r="575" spans="1:69">
      <c r="A575">
        <f t="shared" si="472"/>
        <v>1805000</v>
      </c>
      <c r="B575">
        <f t="shared" si="456"/>
        <v>1805</v>
      </c>
      <c r="C575">
        <f t="shared" si="425"/>
        <v>9.1278622679001717</v>
      </c>
      <c r="D575">
        <f t="shared" si="426"/>
        <v>1.4610213078888916</v>
      </c>
      <c r="F575">
        <f t="shared" si="427"/>
        <v>2.9361768866034612E-6</v>
      </c>
      <c r="G575">
        <f t="shared" si="428"/>
        <v>5.1662784479665209E-4</v>
      </c>
      <c r="H575">
        <f t="shared" si="429"/>
        <v>-3.1410760221552034</v>
      </c>
      <c r="J575">
        <f t="shared" si="430"/>
        <v>15</v>
      </c>
      <c r="M575">
        <f t="shared" si="431"/>
        <v>8.3433618724984223E-4</v>
      </c>
      <c r="N575">
        <f t="shared" si="432"/>
        <v>-1.5707963250000001</v>
      </c>
      <c r="O575">
        <f t="shared" si="433"/>
        <v>879.50670962775416</v>
      </c>
      <c r="P575">
        <f t="shared" si="434"/>
        <v>1.569659325559414</v>
      </c>
      <c r="Q575">
        <f t="shared" si="435"/>
        <v>686.40338582589447</v>
      </c>
      <c r="R575">
        <f t="shared" si="436"/>
        <v>1.5693394570090027</v>
      </c>
      <c r="S575">
        <f t="shared" si="437"/>
        <v>0.10279812067552339</v>
      </c>
      <c r="T575">
        <f t="shared" si="438"/>
        <v>-1.4678162873009297</v>
      </c>
      <c r="U575">
        <f t="shared" si="439"/>
        <v>6.6161330969159091E-2</v>
      </c>
      <c r="V575">
        <f t="shared" si="440"/>
        <v>-1.5045866322602774</v>
      </c>
      <c r="X575">
        <f t="shared" si="457"/>
        <v>-57.220167681998134</v>
      </c>
      <c r="Y575">
        <f t="shared" si="441"/>
        <v>-176.71480474295046</v>
      </c>
      <c r="Z575">
        <f t="shared" si="458"/>
        <v>3.2851952570495371</v>
      </c>
      <c r="AC575">
        <v>1</v>
      </c>
      <c r="AD575">
        <f t="shared" si="442"/>
        <v>879.50614112707513</v>
      </c>
      <c r="AE575">
        <f t="shared" si="443"/>
        <v>-0.81791806946459789</v>
      </c>
      <c r="AF575">
        <f t="shared" si="444"/>
        <v>5.4233376748803006E-2</v>
      </c>
      <c r="AG575">
        <f t="shared" si="473"/>
        <v>69.770041807514104</v>
      </c>
      <c r="AH575">
        <f t="shared" si="474"/>
        <v>-1070.6723678781038</v>
      </c>
      <c r="AJ575">
        <f t="shared" si="445"/>
        <v>22100</v>
      </c>
      <c r="AK575">
        <f t="shared" si="446"/>
        <v>213845.5388184734</v>
      </c>
      <c r="AL575">
        <v>1</v>
      </c>
      <c r="AM575">
        <f t="shared" si="447"/>
        <v>686.40265739087272</v>
      </c>
      <c r="AN575">
        <f t="shared" si="475"/>
        <v>311.59157006739679</v>
      </c>
      <c r="AO575">
        <f t="shared" si="476"/>
        <v>-31.742896382065098</v>
      </c>
      <c r="AQ575">
        <f t="shared" si="448"/>
        <v>7.6733598059131069E-4</v>
      </c>
      <c r="AR575">
        <f t="shared" si="449"/>
        <v>-2.7700828899346313</v>
      </c>
      <c r="AT575">
        <f t="shared" si="470"/>
        <v>-2965.7976699214864</v>
      </c>
      <c r="AU575">
        <f t="shared" si="471"/>
        <v>-194.09036447231648</v>
      </c>
      <c r="AV575">
        <f t="shared" si="459"/>
        <v>-3.0762429519874925</v>
      </c>
      <c r="AW575">
        <f t="shared" si="460"/>
        <v>290.76102025241789</v>
      </c>
      <c r="AX575">
        <f t="shared" si="461"/>
        <v>-2045.3520503625336</v>
      </c>
      <c r="AY575">
        <f t="shared" si="469"/>
        <v>-1.4295855230368191</v>
      </c>
      <c r="BA575">
        <f t="shared" si="450"/>
        <v>1.4386560133212063</v>
      </c>
      <c r="BB575">
        <f t="shared" si="462"/>
        <v>3.1591393064598332</v>
      </c>
      <c r="BC575">
        <f t="shared" si="463"/>
        <v>-1.6466574289506735</v>
      </c>
      <c r="BD575">
        <f t="shared" si="451"/>
        <v>-274.34652109054343</v>
      </c>
      <c r="BF575">
        <f t="shared" si="452"/>
        <v>-64.756009634236747</v>
      </c>
      <c r="BG575">
        <f t="shared" si="453"/>
        <v>-190.60656567905369</v>
      </c>
      <c r="BH575">
        <f t="shared" si="464"/>
        <v>-10.606565679053688</v>
      </c>
      <c r="BI575">
        <f t="shared" si="465"/>
        <v>-10.606565679053688</v>
      </c>
      <c r="BJ575">
        <f t="shared" si="454"/>
        <v>0</v>
      </c>
      <c r="BK575">
        <f t="shared" si="466"/>
        <v>0</v>
      </c>
      <c r="BM575">
        <f t="shared" si="467"/>
        <v>-67.915148940696582</v>
      </c>
      <c r="BN575">
        <f t="shared" si="455"/>
        <v>-96.260044588510269</v>
      </c>
      <c r="BQ575" s="47">
        <f t="shared" si="468"/>
        <v>20.06110010674497</v>
      </c>
    </row>
    <row r="576" spans="1:69">
      <c r="A576">
        <f t="shared" si="472"/>
        <v>1810000</v>
      </c>
      <c r="B576">
        <f t="shared" si="456"/>
        <v>1810</v>
      </c>
      <c r="C576">
        <f t="shared" si="425"/>
        <v>9.1528441435195003</v>
      </c>
      <c r="D576">
        <f t="shared" si="426"/>
        <v>1.4613221334394932</v>
      </c>
      <c r="F576">
        <f t="shared" si="427"/>
        <v>2.9199772748887268E-6</v>
      </c>
      <c r="G576">
        <f t="shared" si="428"/>
        <v>5.1520068781075274E-4</v>
      </c>
      <c r="H576">
        <f t="shared" si="429"/>
        <v>-3.1410774493121894</v>
      </c>
      <c r="J576">
        <f t="shared" si="430"/>
        <v>15</v>
      </c>
      <c r="M576">
        <f t="shared" si="431"/>
        <v>8.3203139115246687E-4</v>
      </c>
      <c r="N576">
        <f t="shared" si="432"/>
        <v>-1.5707963250000001</v>
      </c>
      <c r="O576">
        <f t="shared" si="433"/>
        <v>881.94301315738619</v>
      </c>
      <c r="P576">
        <f t="shared" si="434"/>
        <v>1.569662466444109</v>
      </c>
      <c r="Q576">
        <f t="shared" si="435"/>
        <v>688.30477621639</v>
      </c>
      <c r="R576">
        <f t="shared" si="436"/>
        <v>1.5693434815055027</v>
      </c>
      <c r="S576">
        <f t="shared" si="437"/>
        <v>0.1025171365425008</v>
      </c>
      <c r="T576">
        <f t="shared" si="438"/>
        <v>-1.4680987638292393</v>
      </c>
      <c r="U576">
        <f t="shared" si="439"/>
        <v>6.5979361590019991E-2</v>
      </c>
      <c r="V576">
        <f t="shared" si="440"/>
        <v>-1.5047690001193734</v>
      </c>
      <c r="X576">
        <f t="shared" si="457"/>
        <v>-57.268152140168539</v>
      </c>
      <c r="Y576">
        <f t="shared" si="441"/>
        <v>-176.72387355404126</v>
      </c>
      <c r="Z576">
        <f t="shared" si="458"/>
        <v>3.276126445958738</v>
      </c>
      <c r="AC576">
        <v>1</v>
      </c>
      <c r="AD576">
        <f t="shared" si="442"/>
        <v>881.94244622715007</v>
      </c>
      <c r="AE576">
        <f t="shared" si="443"/>
        <v>-0.82245574769161345</v>
      </c>
      <c r="AF576">
        <f t="shared" si="444"/>
        <v>5.4383607709326008E-2</v>
      </c>
      <c r="AG576">
        <f t="shared" si="473"/>
        <v>69.386780119109517</v>
      </c>
      <c r="AH576">
        <f t="shared" si="474"/>
        <v>-1067.7400519866217</v>
      </c>
      <c r="AJ576">
        <f t="shared" si="445"/>
        <v>22100</v>
      </c>
      <c r="AK576">
        <f t="shared" si="446"/>
        <v>214437.90873209797</v>
      </c>
      <c r="AL576">
        <v>1</v>
      </c>
      <c r="AM576">
        <f t="shared" si="447"/>
        <v>688.30404979361754</v>
      </c>
      <c r="AN576">
        <f t="shared" si="475"/>
        <v>311.5913149219428</v>
      </c>
      <c r="AO576">
        <f t="shared" si="476"/>
        <v>-31.655209193685749</v>
      </c>
      <c r="AQ576">
        <f t="shared" si="448"/>
        <v>7.6310241116705753E-4</v>
      </c>
      <c r="AR576">
        <f t="shared" si="449"/>
        <v>-2.7624307284247482</v>
      </c>
      <c r="AT576">
        <f t="shared" si="470"/>
        <v>-2949.5049803584698</v>
      </c>
      <c r="AU576">
        <f t="shared" si="471"/>
        <v>-192.49096855565017</v>
      </c>
      <c r="AV576">
        <f t="shared" si="459"/>
        <v>-3.0764229441781614</v>
      </c>
      <c r="AW576">
        <f t="shared" si="460"/>
        <v>290.87729570822898</v>
      </c>
      <c r="AX576">
        <f t="shared" si="461"/>
        <v>-2039.7253401315675</v>
      </c>
      <c r="AY576">
        <f t="shared" si="469"/>
        <v>-1.4291452932801798</v>
      </c>
      <c r="BA576">
        <f t="shared" si="450"/>
        <v>1.4345927386297284</v>
      </c>
      <c r="BB576">
        <f t="shared" si="462"/>
        <v>3.1345725653847003</v>
      </c>
      <c r="BC576">
        <f t="shared" si="463"/>
        <v>-1.6472776508979816</v>
      </c>
      <c r="BD576">
        <f t="shared" si="451"/>
        <v>-274.38205719052615</v>
      </c>
      <c r="BF576">
        <f t="shared" si="452"/>
        <v>-64.804891479945042</v>
      </c>
      <c r="BG576">
        <f t="shared" si="453"/>
        <v>-190.62494751466966</v>
      </c>
      <c r="BH576">
        <f t="shared" si="464"/>
        <v>-10.624947514669657</v>
      </c>
      <c r="BI576">
        <f t="shared" si="465"/>
        <v>-10.624947514669657</v>
      </c>
      <c r="BJ576">
        <f t="shared" si="454"/>
        <v>0</v>
      </c>
      <c r="BK576">
        <f t="shared" si="466"/>
        <v>0</v>
      </c>
      <c r="BM576">
        <f t="shared" si="467"/>
        <v>-67.939464045329743</v>
      </c>
      <c r="BN576">
        <f t="shared" si="455"/>
        <v>-96.242890324143474</v>
      </c>
      <c r="BQ576" s="47">
        <f t="shared" si="468"/>
        <v>20.036533365669836</v>
      </c>
    </row>
    <row r="577" spans="1:69">
      <c r="A577">
        <f t="shared" si="472"/>
        <v>1815000</v>
      </c>
      <c r="B577">
        <f t="shared" si="456"/>
        <v>1815</v>
      </c>
      <c r="C577">
        <f t="shared" si="425"/>
        <v>9.1778268429254641</v>
      </c>
      <c r="D577">
        <f t="shared" si="426"/>
        <v>1.4616213212798288</v>
      </c>
      <c r="F577">
        <f t="shared" si="427"/>
        <v>2.9039113602724549E-6</v>
      </c>
      <c r="G577">
        <f t="shared" si="428"/>
        <v>5.137813940165885E-4</v>
      </c>
      <c r="H577">
        <f t="shared" si="429"/>
        <v>-3.1410788686059834</v>
      </c>
      <c r="J577">
        <f t="shared" si="430"/>
        <v>15</v>
      </c>
      <c r="M577">
        <f t="shared" si="431"/>
        <v>8.2973929365617915E-4</v>
      </c>
      <c r="N577">
        <f t="shared" si="432"/>
        <v>-1.5707963250000001</v>
      </c>
      <c r="O577">
        <f t="shared" si="433"/>
        <v>884.37931669567104</v>
      </c>
      <c r="P577">
        <f t="shared" si="434"/>
        <v>1.5696655900236764</v>
      </c>
      <c r="Q577">
        <f t="shared" si="435"/>
        <v>690.20616661797214</v>
      </c>
      <c r="R577">
        <f t="shared" si="436"/>
        <v>1.5693474838285149</v>
      </c>
      <c r="S577">
        <f t="shared" si="437"/>
        <v>0.10223767619188474</v>
      </c>
      <c r="T577">
        <f t="shared" si="438"/>
        <v>-1.4683797003253463</v>
      </c>
      <c r="U577">
        <f t="shared" si="439"/>
        <v>6.5798388268075367E-2</v>
      </c>
      <c r="V577">
        <f t="shared" si="440"/>
        <v>-1.5049503675589926</v>
      </c>
      <c r="X577">
        <f t="shared" si="457"/>
        <v>-57.31600461516669</v>
      </c>
      <c r="Y577">
        <f t="shared" si="441"/>
        <v>-176.73289245328937</v>
      </c>
      <c r="Z577">
        <f t="shared" si="458"/>
        <v>3.2671075467106334</v>
      </c>
      <c r="AC577">
        <v>1</v>
      </c>
      <c r="AD577">
        <f t="shared" si="442"/>
        <v>884.37875132722513</v>
      </c>
      <c r="AE577">
        <f t="shared" si="443"/>
        <v>-0.82700597827886979</v>
      </c>
      <c r="AF577">
        <f t="shared" si="444"/>
        <v>5.4533838669849011E-2</v>
      </c>
      <c r="AG577">
        <f t="shared" si="473"/>
        <v>69.006663233372663</v>
      </c>
      <c r="AH577">
        <f t="shared" si="474"/>
        <v>-1064.8236847332253</v>
      </c>
      <c r="AJ577">
        <f t="shared" si="445"/>
        <v>22100</v>
      </c>
      <c r="AK577">
        <f t="shared" si="446"/>
        <v>215030.27864572252</v>
      </c>
      <c r="AL577">
        <v>1</v>
      </c>
      <c r="AM577">
        <f t="shared" si="447"/>
        <v>690.20544219636236</v>
      </c>
      <c r="AN577">
        <f t="shared" si="475"/>
        <v>311.5910618822171</v>
      </c>
      <c r="AO577">
        <f t="shared" si="476"/>
        <v>-31.568005127260378</v>
      </c>
      <c r="AQ577">
        <f t="shared" si="448"/>
        <v>7.5890378170102358E-4</v>
      </c>
      <c r="AR577">
        <f t="shared" si="449"/>
        <v>-2.7548207275747156</v>
      </c>
      <c r="AT577">
        <f t="shared" si="470"/>
        <v>-2933.3459884978829</v>
      </c>
      <c r="AU577">
        <f t="shared" si="471"/>
        <v>-190.90908493725192</v>
      </c>
      <c r="AV577">
        <f t="shared" si="459"/>
        <v>-3.0766019490384142</v>
      </c>
      <c r="AW577">
        <f t="shared" si="460"/>
        <v>290.99259403633232</v>
      </c>
      <c r="AX577">
        <f t="shared" si="461"/>
        <v>-2034.1294393475291</v>
      </c>
      <c r="AY577">
        <f t="shared" si="469"/>
        <v>-1.428705277797822</v>
      </c>
      <c r="BA577">
        <f t="shared" si="450"/>
        <v>1.4305516105092468</v>
      </c>
      <c r="BB577">
        <f t="shared" si="462"/>
        <v>3.1100706123474398</v>
      </c>
      <c r="BC577">
        <f t="shared" si="463"/>
        <v>-1.6478966712405922</v>
      </c>
      <c r="BD577">
        <f t="shared" si="451"/>
        <v>-274.41752444363101</v>
      </c>
      <c r="BF577">
        <f t="shared" si="452"/>
        <v>-64.853639899261111</v>
      </c>
      <c r="BG577">
        <f t="shared" si="453"/>
        <v>-190.64335388676642</v>
      </c>
      <c r="BH577">
        <f t="shared" si="464"/>
        <v>-10.64335388676642</v>
      </c>
      <c r="BI577">
        <f t="shared" si="465"/>
        <v>-10.64335388676642</v>
      </c>
      <c r="BJ577">
        <f t="shared" si="454"/>
        <v>0</v>
      </c>
      <c r="BK577">
        <f t="shared" si="466"/>
        <v>0</v>
      </c>
      <c r="BM577">
        <f t="shared" si="467"/>
        <v>-67.963710511608554</v>
      </c>
      <c r="BN577">
        <f t="shared" si="455"/>
        <v>-96.22582944313541</v>
      </c>
      <c r="BQ577" s="47">
        <f t="shared" si="468"/>
        <v>20.012031412632577</v>
      </c>
    </row>
    <row r="578" spans="1:69">
      <c r="A578">
        <f t="shared" si="472"/>
        <v>1820000</v>
      </c>
      <c r="B578">
        <f t="shared" si="456"/>
        <v>1820</v>
      </c>
      <c r="C578">
        <f t="shared" si="425"/>
        <v>9.2028103594091082</v>
      </c>
      <c r="D578">
        <f t="shared" si="426"/>
        <v>1.4619188846941378</v>
      </c>
      <c r="F578">
        <f t="shared" si="427"/>
        <v>2.8879776755688624E-6</v>
      </c>
      <c r="G578">
        <f t="shared" si="428"/>
        <v>5.1236989860689174E-4</v>
      </c>
      <c r="H578">
        <f t="shared" si="429"/>
        <v>-3.1410802801013933</v>
      </c>
      <c r="J578">
        <f t="shared" si="430"/>
        <v>15</v>
      </c>
      <c r="M578">
        <f t="shared" si="431"/>
        <v>8.2745979010217857E-4</v>
      </c>
      <c r="N578">
        <f t="shared" si="432"/>
        <v>-1.5707963250000001</v>
      </c>
      <c r="O578">
        <f t="shared" si="433"/>
        <v>886.81562024253685</v>
      </c>
      <c r="P578">
        <f t="shared" si="434"/>
        <v>1.5696686964407407</v>
      </c>
      <c r="Q578">
        <f t="shared" si="435"/>
        <v>692.10755703054986</v>
      </c>
      <c r="R578">
        <f t="shared" si="436"/>
        <v>1.5693514641607873</v>
      </c>
      <c r="S578">
        <f t="shared" si="437"/>
        <v>0.10195972732792412</v>
      </c>
      <c r="T578">
        <f t="shared" si="438"/>
        <v>-1.4686591093051664</v>
      </c>
      <c r="U578">
        <f t="shared" si="439"/>
        <v>6.5618402865127878E-2</v>
      </c>
      <c r="V578">
        <f t="shared" si="440"/>
        <v>-1.505130742776819</v>
      </c>
      <c r="X578">
        <f t="shared" si="457"/>
        <v>-57.363725829967215</v>
      </c>
      <c r="Y578">
        <f t="shared" si="441"/>
        <v>-176.74186185143651</v>
      </c>
      <c r="Z578">
        <f t="shared" si="458"/>
        <v>3.2581381485634893</v>
      </c>
      <c r="AC578">
        <v>1</v>
      </c>
      <c r="AD578">
        <f t="shared" si="442"/>
        <v>886.81505642729996</v>
      </c>
      <c r="AE578">
        <f t="shared" si="443"/>
        <v>-0.8315687612263668</v>
      </c>
      <c r="AF578">
        <f t="shared" si="444"/>
        <v>5.4684069630372006E-2</v>
      </c>
      <c r="AG578">
        <f t="shared" si="473"/>
        <v>68.629656888035939</v>
      </c>
      <c r="AH578">
        <f t="shared" si="474"/>
        <v>-1061.9231369261861</v>
      </c>
      <c r="AJ578">
        <f t="shared" si="445"/>
        <v>22100</v>
      </c>
      <c r="AK578">
        <f t="shared" si="446"/>
        <v>215622.64855934714</v>
      </c>
      <c r="AL578">
        <v>1</v>
      </c>
      <c r="AM578">
        <f t="shared" si="447"/>
        <v>692.10683459910717</v>
      </c>
      <c r="AN578">
        <f t="shared" si="475"/>
        <v>311.59081092511207</v>
      </c>
      <c r="AO578">
        <f t="shared" si="476"/>
        <v>-31.481280201048023</v>
      </c>
      <c r="AQ578">
        <f t="shared" si="448"/>
        <v>7.547397087655696E-4</v>
      </c>
      <c r="AR578">
        <f t="shared" si="449"/>
        <v>-2.7472525399066736</v>
      </c>
      <c r="AT578">
        <f t="shared" si="470"/>
        <v>-2917.3192375788749</v>
      </c>
      <c r="AU578">
        <f t="shared" si="471"/>
        <v>-189.34447475767536</v>
      </c>
      <c r="AV578">
        <f t="shared" si="459"/>
        <v>-3.0767799746580575</v>
      </c>
      <c r="AW578">
        <f t="shared" si="460"/>
        <v>291.10692619743014</v>
      </c>
      <c r="AX578">
        <f t="shared" si="461"/>
        <v>-2028.5640961687989</v>
      </c>
      <c r="AY578">
        <f t="shared" si="469"/>
        <v>-1.4282654752999238</v>
      </c>
      <c r="BA578">
        <f t="shared" si="450"/>
        <v>1.4265324466714639</v>
      </c>
      <c r="BB578">
        <f t="shared" si="462"/>
        <v>3.0856330838312855</v>
      </c>
      <c r="BC578">
        <f t="shared" si="463"/>
        <v>-1.6485144993581338</v>
      </c>
      <c r="BD578">
        <f t="shared" si="451"/>
        <v>-274.45292338727108</v>
      </c>
      <c r="BF578">
        <f t="shared" si="452"/>
        <v>-64.902255645991318</v>
      </c>
      <c r="BG578">
        <f t="shared" si="453"/>
        <v>-190.66178457533951</v>
      </c>
      <c r="BH578">
        <f t="shared" si="464"/>
        <v>-10.66178457533951</v>
      </c>
      <c r="BI578">
        <f t="shared" si="465"/>
        <v>-10.66178457533951</v>
      </c>
      <c r="BJ578">
        <f t="shared" si="454"/>
        <v>0</v>
      </c>
      <c r="BK578">
        <f t="shared" si="466"/>
        <v>0</v>
      </c>
      <c r="BM578">
        <f t="shared" si="467"/>
        <v>-67.9878887298226</v>
      </c>
      <c r="BN578">
        <f t="shared" si="455"/>
        <v>-96.208861188068397</v>
      </c>
      <c r="BQ578" s="47">
        <f t="shared" si="468"/>
        <v>19.987593884116421</v>
      </c>
    </row>
    <row r="579" spans="1:69">
      <c r="A579">
        <f t="shared" si="472"/>
        <v>1825000</v>
      </c>
      <c r="B579">
        <f t="shared" si="456"/>
        <v>1825</v>
      </c>
      <c r="C579">
        <f t="shared" si="425"/>
        <v>9.2277946863339189</v>
      </c>
      <c r="D579">
        <f t="shared" si="426"/>
        <v>1.4622148368239491</v>
      </c>
      <c r="F579">
        <f t="shared" si="427"/>
        <v>2.8721747736631443E-6</v>
      </c>
      <c r="G579">
        <f t="shared" si="428"/>
        <v>5.1096613748462109E-4</v>
      </c>
      <c r="H579">
        <f t="shared" si="429"/>
        <v>-3.1410816838625157</v>
      </c>
      <c r="J579">
        <f t="shared" si="430"/>
        <v>15</v>
      </c>
      <c r="M579">
        <f t="shared" si="431"/>
        <v>8.2519277697861099E-4</v>
      </c>
      <c r="N579">
        <f t="shared" si="432"/>
        <v>-1.5707963250000001</v>
      </c>
      <c r="O579">
        <f t="shared" si="433"/>
        <v>889.25192379791372</v>
      </c>
      <c r="P579">
        <f t="shared" si="434"/>
        <v>1.5696717858363631</v>
      </c>
      <c r="Q579">
        <f t="shared" si="435"/>
        <v>694.00894745403241</v>
      </c>
      <c r="R579">
        <f t="shared" si="436"/>
        <v>1.5693554226830653</v>
      </c>
      <c r="S579">
        <f t="shared" si="437"/>
        <v>0.10168327778608502</v>
      </c>
      <c r="T579">
        <f t="shared" si="438"/>
        <v>-1.4689370031498354</v>
      </c>
      <c r="U579">
        <f t="shared" si="439"/>
        <v>6.5439397331202631E-2</v>
      </c>
      <c r="V579">
        <f t="shared" si="440"/>
        <v>-1.5053101338813435</v>
      </c>
      <c r="X579">
        <f t="shared" si="457"/>
        <v>-57.411316501629614</v>
      </c>
      <c r="Y579">
        <f t="shared" si="441"/>
        <v>-176.75078215473192</v>
      </c>
      <c r="Z579">
        <f t="shared" si="458"/>
        <v>3.2492178452680776</v>
      </c>
      <c r="AC579">
        <v>1</v>
      </c>
      <c r="AD579">
        <f t="shared" si="442"/>
        <v>889.25136152737502</v>
      </c>
      <c r="AE579">
        <f t="shared" si="443"/>
        <v>-0.8361440965341046</v>
      </c>
      <c r="AF579">
        <f t="shared" si="444"/>
        <v>5.4834300590895009E-2</v>
      </c>
      <c r="AG579">
        <f t="shared" si="473"/>
        <v>68.25572728549605</v>
      </c>
      <c r="AH579">
        <f t="shared" si="474"/>
        <v>-1059.0382807591034</v>
      </c>
      <c r="AJ579">
        <f t="shared" si="445"/>
        <v>22100</v>
      </c>
      <c r="AK579">
        <f t="shared" si="446"/>
        <v>216215.01847297171</v>
      </c>
      <c r="AL579">
        <v>1</v>
      </c>
      <c r="AM579">
        <f t="shared" si="447"/>
        <v>694.00822700185199</v>
      </c>
      <c r="AN579">
        <f t="shared" si="475"/>
        <v>311.5905620278354</v>
      </c>
      <c r="AO579">
        <f t="shared" si="476"/>
        <v>-31.395030476942775</v>
      </c>
      <c r="AQ579">
        <f t="shared" si="448"/>
        <v>7.5060981417828378E-4</v>
      </c>
      <c r="AR579">
        <f t="shared" si="449"/>
        <v>-2.7397258217507359</v>
      </c>
      <c r="AT579">
        <f t="shared" si="470"/>
        <v>-2901.4232905994468</v>
      </c>
      <c r="AU579">
        <f t="shared" si="471"/>
        <v>-187.79690305357806</v>
      </c>
      <c r="AV579">
        <f t="shared" si="459"/>
        <v>-3.0769570290388888</v>
      </c>
      <c r="AW579">
        <f t="shared" si="460"/>
        <v>291.22030299841919</v>
      </c>
      <c r="AX579">
        <f t="shared" si="461"/>
        <v>-2023.0290614855076</v>
      </c>
      <c r="AY579">
        <f t="shared" si="469"/>
        <v>-1.427825884513223</v>
      </c>
      <c r="BA579">
        <f t="shared" si="450"/>
        <v>1.4225350668245782</v>
      </c>
      <c r="BB579">
        <f t="shared" si="462"/>
        <v>3.0612596193133816</v>
      </c>
      <c r="BC579">
        <f t="shared" si="463"/>
        <v>-1.6491311445256658</v>
      </c>
      <c r="BD579">
        <f t="shared" si="451"/>
        <v>-274.48825455286823</v>
      </c>
      <c r="BF579">
        <f t="shared" si="452"/>
        <v>-64.950739467600513</v>
      </c>
      <c r="BG579">
        <f t="shared" si="453"/>
        <v>-190.68023936252899</v>
      </c>
      <c r="BH579">
        <f t="shared" si="464"/>
        <v>-10.680239362528994</v>
      </c>
      <c r="BI579">
        <f t="shared" si="465"/>
        <v>-10.680239362528994</v>
      </c>
      <c r="BJ579">
        <f t="shared" si="454"/>
        <v>0</v>
      </c>
      <c r="BK579">
        <f t="shared" si="466"/>
        <v>0</v>
      </c>
      <c r="BM579">
        <f t="shared" si="467"/>
        <v>-68.011999086913889</v>
      </c>
      <c r="BN579">
        <f t="shared" si="455"/>
        <v>-96.191984809660781</v>
      </c>
      <c r="BQ579" s="47">
        <f t="shared" si="468"/>
        <v>19.963220419598517</v>
      </c>
    </row>
    <row r="580" spans="1:69">
      <c r="A580">
        <f t="shared" si="472"/>
        <v>1830000</v>
      </c>
      <c r="B580">
        <f t="shared" si="456"/>
        <v>1830</v>
      </c>
      <c r="C580">
        <f t="shared" si="425"/>
        <v>9.2527798171348401</v>
      </c>
      <c r="D580">
        <f t="shared" si="426"/>
        <v>1.4625091906699841</v>
      </c>
      <c r="F580">
        <f t="shared" si="427"/>
        <v>2.8565012271828901E-6</v>
      </c>
      <c r="G580">
        <f t="shared" si="428"/>
        <v>5.0957004725326021E-4</v>
      </c>
      <c r="H580">
        <f t="shared" si="429"/>
        <v>-3.1410830799527472</v>
      </c>
      <c r="J580">
        <f t="shared" si="430"/>
        <v>15</v>
      </c>
      <c r="M580">
        <f t="shared" si="431"/>
        <v>8.2293815190489898E-4</v>
      </c>
      <c r="N580">
        <f t="shared" si="432"/>
        <v>-1.5707963250000001</v>
      </c>
      <c r="O580">
        <f t="shared" si="433"/>
        <v>891.68822736173126</v>
      </c>
      <c r="P580">
        <f t="shared" si="434"/>
        <v>1.5696748583500637</v>
      </c>
      <c r="Q580">
        <f t="shared" si="435"/>
        <v>695.91033788833079</v>
      </c>
      <c r="R580">
        <f t="shared" si="436"/>
        <v>1.5693593595741189</v>
      </c>
      <c r="S580">
        <f t="shared" si="437"/>
        <v>0.1014083155313151</v>
      </c>
      <c r="T580">
        <f t="shared" si="438"/>
        <v>-1.4692133941075107</v>
      </c>
      <c r="U580">
        <f t="shared" si="439"/>
        <v>6.5261363703357611E-2</v>
      </c>
      <c r="V580">
        <f t="shared" si="440"/>
        <v>-1.5054885488930729</v>
      </c>
      <c r="X580">
        <f t="shared" si="457"/>
        <v>-57.458777341362492</v>
      </c>
      <c r="Y580">
        <f t="shared" si="441"/>
        <v>-176.75965376499383</v>
      </c>
      <c r="Z580">
        <f t="shared" si="458"/>
        <v>3.2403462350061716</v>
      </c>
      <c r="AC580">
        <v>1</v>
      </c>
      <c r="AD580">
        <f t="shared" si="442"/>
        <v>891.6876666274502</v>
      </c>
      <c r="AE580">
        <f t="shared" si="443"/>
        <v>-0.84073198420208306</v>
      </c>
      <c r="AF580">
        <f t="shared" si="444"/>
        <v>5.4984531551418005E-2</v>
      </c>
      <c r="AG580">
        <f t="shared" si="473"/>
        <v>67.884841085283369</v>
      </c>
      <c r="AH580">
        <f t="shared" si="474"/>
        <v>-1056.1689897924705</v>
      </c>
      <c r="AJ580">
        <f t="shared" si="445"/>
        <v>22100</v>
      </c>
      <c r="AK580">
        <f t="shared" si="446"/>
        <v>216807.38838659629</v>
      </c>
      <c r="AL580">
        <v>1</v>
      </c>
      <c r="AM580">
        <f t="shared" si="447"/>
        <v>695.90961940459681</v>
      </c>
      <c r="AN580">
        <f t="shared" si="475"/>
        <v>311.59031516790645</v>
      </c>
      <c r="AO580">
        <f t="shared" si="476"/>
        <v>-31.309252059877721</v>
      </c>
      <c r="AQ580">
        <f t="shared" si="448"/>
        <v>7.4651372491611235E-4</v>
      </c>
      <c r="AR580">
        <f t="shared" si="449"/>
        <v>-2.7322402331929712</v>
      </c>
      <c r="AT580">
        <f t="shared" si="470"/>
        <v>-2885.6567299961803</v>
      </c>
      <c r="AU580">
        <f t="shared" si="471"/>
        <v>-186.2661386838333</v>
      </c>
      <c r="AV580">
        <f t="shared" si="459"/>
        <v>-3.0771331200958856</v>
      </c>
      <c r="AW580">
        <f t="shared" si="460"/>
        <v>291.33273509498287</v>
      </c>
      <c r="AX580">
        <f t="shared" si="461"/>
        <v>-2017.5240888826781</v>
      </c>
      <c r="AY580">
        <f t="shared" si="469"/>
        <v>-1.4273865041807721</v>
      </c>
      <c r="BA580">
        <f t="shared" si="450"/>
        <v>1.4185592926460266</v>
      </c>
      <c r="BB580">
        <f t="shared" si="462"/>
        <v>3.0369498612320349</v>
      </c>
      <c r="BC580">
        <f t="shared" si="463"/>
        <v>-1.6497466159151135</v>
      </c>
      <c r="BD580">
        <f t="shared" si="451"/>
        <v>-274.5235184659349</v>
      </c>
      <c r="BF580">
        <f t="shared" si="452"/>
        <v>-64.99909210528314</v>
      </c>
      <c r="BG580">
        <f t="shared" si="453"/>
        <v>-190.69871803259335</v>
      </c>
      <c r="BH580">
        <f t="shared" si="464"/>
        <v>-10.698718032593348</v>
      </c>
      <c r="BI580">
        <f t="shared" si="465"/>
        <v>-10.698718032593348</v>
      </c>
      <c r="BJ580">
        <f t="shared" si="454"/>
        <v>0</v>
      </c>
      <c r="BK580">
        <f t="shared" si="466"/>
        <v>0</v>
      </c>
      <c r="BM580">
        <f t="shared" si="467"/>
        <v>-68.036041966515171</v>
      </c>
      <c r="BN580">
        <f t="shared" si="455"/>
        <v>-96.175199566658435</v>
      </c>
      <c r="BQ580" s="47">
        <f t="shared" si="468"/>
        <v>19.93891066151717</v>
      </c>
    </row>
    <row r="581" spans="1:69">
      <c r="A581">
        <f t="shared" si="472"/>
        <v>1835000</v>
      </c>
      <c r="B581">
        <f t="shared" si="456"/>
        <v>1835</v>
      </c>
      <c r="C581">
        <f t="shared" si="425"/>
        <v>9.2777657453173301</v>
      </c>
      <c r="D581">
        <f t="shared" si="426"/>
        <v>1.4628019590940298</v>
      </c>
      <c r="F581">
        <f t="shared" si="427"/>
        <v>2.8409556281757572E-6</v>
      </c>
      <c r="G581">
        <f t="shared" si="428"/>
        <v>5.0818156520727163E-4</v>
      </c>
      <c r="H581">
        <f t="shared" si="429"/>
        <v>-3.1410844684347929</v>
      </c>
      <c r="J581">
        <f t="shared" si="430"/>
        <v>15</v>
      </c>
      <c r="M581">
        <f t="shared" si="431"/>
        <v>8.2069581361632977E-4</v>
      </c>
      <c r="N581">
        <f t="shared" si="432"/>
        <v>-1.5707963250000001</v>
      </c>
      <c r="O581">
        <f t="shared" si="433"/>
        <v>894.12453093392094</v>
      </c>
      <c r="P581">
        <f t="shared" si="434"/>
        <v>1.5696779141198411</v>
      </c>
      <c r="Q581">
        <f t="shared" si="435"/>
        <v>697.8117283333562</v>
      </c>
      <c r="R581">
        <f t="shared" si="436"/>
        <v>1.5693632750107693</v>
      </c>
      <c r="S581">
        <f t="shared" si="437"/>
        <v>0.10113482865633455</v>
      </c>
      <c r="T581">
        <f t="shared" si="438"/>
        <v>-1.4694882942951468</v>
      </c>
      <c r="U581">
        <f t="shared" si="439"/>
        <v>6.5084294104513205E-2</v>
      </c>
      <c r="V581">
        <f t="shared" si="440"/>
        <v>-1.5056659957457177</v>
      </c>
      <c r="X581">
        <f t="shared" si="457"/>
        <v>-57.506109054586936</v>
      </c>
      <c r="Y581">
        <f t="shared" si="441"/>
        <v>-176.76847707966948</v>
      </c>
      <c r="Z581">
        <f t="shared" si="458"/>
        <v>3.2315229203305194</v>
      </c>
      <c r="AC581">
        <v>1</v>
      </c>
      <c r="AD581">
        <f t="shared" si="442"/>
        <v>894.12397172752503</v>
      </c>
      <c r="AE581">
        <f t="shared" si="443"/>
        <v>-0.84533242423030219</v>
      </c>
      <c r="AF581">
        <f t="shared" si="444"/>
        <v>5.5134762511941E-2</v>
      </c>
      <c r="AG581">
        <f t="shared" si="473"/>
        <v>67.516965396672745</v>
      </c>
      <c r="AH581">
        <f t="shared" si="474"/>
        <v>-1053.3151389355342</v>
      </c>
      <c r="AJ581">
        <f t="shared" si="445"/>
        <v>22100</v>
      </c>
      <c r="AK581">
        <f t="shared" si="446"/>
        <v>217399.75830022088</v>
      </c>
      <c r="AL581">
        <v>1</v>
      </c>
      <c r="AM581">
        <f t="shared" si="447"/>
        <v>697.81101180734163</v>
      </c>
      <c r="AN581">
        <f t="shared" si="475"/>
        <v>311.59007032315014</v>
      </c>
      <c r="AO581">
        <f t="shared" si="476"/>
        <v>-31.223941097238519</v>
      </c>
      <c r="AQ581">
        <f t="shared" si="448"/>
        <v>7.4245107303112551E-4</v>
      </c>
      <c r="AR581">
        <f t="shared" si="449"/>
        <v>-2.724795438024231</v>
      </c>
      <c r="AT581">
        <f t="shared" si="470"/>
        <v>-2870.018157329996</v>
      </c>
      <c r="AU581">
        <f t="shared" si="471"/>
        <v>-184.75195425723638</v>
      </c>
      <c r="AV581">
        <f t="shared" si="459"/>
        <v>-3.0773082556583802</v>
      </c>
      <c r="AW581">
        <f t="shared" si="460"/>
        <v>291.4442329941304</v>
      </c>
      <c r="AX581">
        <f t="shared" si="461"/>
        <v>-2012.0489346039499</v>
      </c>
      <c r="AY581">
        <f t="shared" si="469"/>
        <v>-1.4269473330616957</v>
      </c>
      <c r="BA581">
        <f t="shared" si="450"/>
        <v>1.4146049477556888</v>
      </c>
      <c r="BB581">
        <f t="shared" si="462"/>
        <v>3.0127034549545191</v>
      </c>
      <c r="BC581">
        <f t="shared" si="463"/>
        <v>-1.6503609225966844</v>
      </c>
      <c r="BD581">
        <f t="shared" si="451"/>
        <v>-274.55871564615586</v>
      </c>
      <c r="BF581">
        <f t="shared" si="452"/>
        <v>-65.047314294033342</v>
      </c>
      <c r="BG581">
        <f t="shared" si="453"/>
        <v>-190.71722037188383</v>
      </c>
      <c r="BH581">
        <f t="shared" si="464"/>
        <v>-10.717220371883826</v>
      </c>
      <c r="BI581">
        <f t="shared" si="465"/>
        <v>-10.717220371883826</v>
      </c>
      <c r="BJ581">
        <f t="shared" si="454"/>
        <v>0</v>
      </c>
      <c r="BK581">
        <f t="shared" si="466"/>
        <v>0</v>
      </c>
      <c r="BM581">
        <f t="shared" si="467"/>
        <v>-68.060017748987875</v>
      </c>
      <c r="BN581">
        <f t="shared" si="455"/>
        <v>-96.158504725727994</v>
      </c>
      <c r="BQ581" s="47">
        <f t="shared" si="468"/>
        <v>19.914664255239657</v>
      </c>
    </row>
    <row r="582" spans="1:69">
      <c r="A582">
        <f t="shared" si="472"/>
        <v>1840000</v>
      </c>
      <c r="B582">
        <f t="shared" si="456"/>
        <v>1840</v>
      </c>
      <c r="C582">
        <f t="shared" si="425"/>
        <v>9.3027524644564128</v>
      </c>
      <c r="D582">
        <f t="shared" si="426"/>
        <v>1.4630931548207828</v>
      </c>
      <c r="F582">
        <f t="shared" si="427"/>
        <v>2.8255365877932668E-6</v>
      </c>
      <c r="G582">
        <f t="shared" si="428"/>
        <v>5.068006293227099E-4</v>
      </c>
      <c r="H582">
        <f t="shared" si="429"/>
        <v>-3.1410858493706777</v>
      </c>
      <c r="J582">
        <f t="shared" si="430"/>
        <v>15</v>
      </c>
      <c r="M582">
        <f t="shared" si="431"/>
        <v>8.1846566194889413E-4</v>
      </c>
      <c r="N582">
        <f t="shared" si="432"/>
        <v>-1.5707963250000001</v>
      </c>
      <c r="O582">
        <f t="shared" si="433"/>
        <v>896.5608345144143</v>
      </c>
      <c r="P582">
        <f t="shared" si="434"/>
        <v>1.5696809532821949</v>
      </c>
      <c r="Q582">
        <f t="shared" si="435"/>
        <v>699.71311878902145</v>
      </c>
      <c r="R582">
        <f t="shared" si="436"/>
        <v>1.5693671691679165</v>
      </c>
      <c r="S582">
        <f t="shared" si="437"/>
        <v>0.10086280537995453</v>
      </c>
      <c r="T582">
        <f t="shared" si="438"/>
        <v>-1.4697617157002398</v>
      </c>
      <c r="U582">
        <f t="shared" si="439"/>
        <v>6.4908180742300564E-2</v>
      </c>
      <c r="V582">
        <f t="shared" si="440"/>
        <v>-1.5058424822873613</v>
      </c>
      <c r="X582">
        <f t="shared" si="457"/>
        <v>-57.553312340999064</v>
      </c>
      <c r="Y582">
        <f t="shared" si="441"/>
        <v>-176.77725249189425</v>
      </c>
      <c r="Z582">
        <f t="shared" si="458"/>
        <v>3.2227475081057548</v>
      </c>
      <c r="AC582">
        <v>1</v>
      </c>
      <c r="AD582">
        <f t="shared" si="442"/>
        <v>896.56027682760009</v>
      </c>
      <c r="AE582">
        <f t="shared" si="443"/>
        <v>-0.84994541661876222</v>
      </c>
      <c r="AF582">
        <f t="shared" si="444"/>
        <v>5.5284993472464003E-2</v>
      </c>
      <c r="AG582">
        <f t="shared" si="473"/>
        <v>67.152067771433622</v>
      </c>
      <c r="AH582">
        <f t="shared" si="474"/>
        <v>-1050.4766044284409</v>
      </c>
      <c r="AJ582">
        <f t="shared" si="445"/>
        <v>22100</v>
      </c>
      <c r="AK582">
        <f t="shared" si="446"/>
        <v>217992.12821384546</v>
      </c>
      <c r="AL582">
        <v>1</v>
      </c>
      <c r="AM582">
        <f t="shared" si="447"/>
        <v>699.71240421008645</v>
      </c>
      <c r="AN582">
        <f t="shared" si="475"/>
        <v>311.58982747169205</v>
      </c>
      <c r="AO582">
        <f t="shared" si="476"/>
        <v>-31.139093778286664</v>
      </c>
      <c r="AQ582">
        <f t="shared" si="448"/>
        <v>7.3842149556788345E-4</v>
      </c>
      <c r="AR582">
        <f t="shared" si="449"/>
        <v>-2.7173911036898111</v>
      </c>
      <c r="AT582">
        <f t="shared" si="470"/>
        <v>-2854.5061929778117</v>
      </c>
      <c r="AU582">
        <f t="shared" si="471"/>
        <v>-183.25412606177011</v>
      </c>
      <c r="AV582">
        <f t="shared" si="459"/>
        <v>-3.0774824434712134</v>
      </c>
      <c r="AW582">
        <f t="shared" si="460"/>
        <v>291.55480705668708</v>
      </c>
      <c r="AX582">
        <f t="shared" si="461"/>
        <v>-2006.603357515894</v>
      </c>
      <c r="AY582">
        <f t="shared" si="469"/>
        <v>-1.4265083699309546</v>
      </c>
      <c r="BA582">
        <f t="shared" si="450"/>
        <v>1.4106718576895112</v>
      </c>
      <c r="BB582">
        <f t="shared" si="462"/>
        <v>2.9885200487452099</v>
      </c>
      <c r="BC582">
        <f t="shared" si="463"/>
        <v>-1.6509740735402587</v>
      </c>
      <c r="BD582">
        <f t="shared" si="451"/>
        <v>-274.59384660746724</v>
      </c>
      <c r="BF582">
        <f t="shared" si="452"/>
        <v>-65.095406762714234</v>
      </c>
      <c r="BG582">
        <f t="shared" si="453"/>
        <v>-190.73574616881905</v>
      </c>
      <c r="BH582">
        <f t="shared" si="464"/>
        <v>-10.735746168819048</v>
      </c>
      <c r="BI582">
        <f t="shared" si="465"/>
        <v>-10.735746168819048</v>
      </c>
      <c r="BJ582">
        <f t="shared" si="454"/>
        <v>0</v>
      </c>
      <c r="BK582">
        <f t="shared" si="466"/>
        <v>0</v>
      </c>
      <c r="BM582">
        <f t="shared" si="467"/>
        <v>-68.083926811459449</v>
      </c>
      <c r="BN582">
        <f t="shared" si="455"/>
        <v>-96.141899561351806</v>
      </c>
      <c r="BQ582" s="47">
        <f t="shared" si="468"/>
        <v>19.890480849030347</v>
      </c>
    </row>
    <row r="583" spans="1:69">
      <c r="A583">
        <f t="shared" si="472"/>
        <v>1845000</v>
      </c>
      <c r="B583">
        <f t="shared" si="456"/>
        <v>1845</v>
      </c>
      <c r="C583">
        <f t="shared" si="425"/>
        <v>9.327739968195754</v>
      </c>
      <c r="D583">
        <f t="shared" si="426"/>
        <v>1.463382790439663</v>
      </c>
      <c r="F583">
        <f t="shared" si="427"/>
        <v>2.8102427359805956E-6</v>
      </c>
      <c r="G583">
        <f t="shared" si="428"/>
        <v>5.0542717824798541E-4</v>
      </c>
      <c r="H583">
        <f t="shared" si="429"/>
        <v>-3.1410872228217523</v>
      </c>
      <c r="J583">
        <f t="shared" si="430"/>
        <v>15</v>
      </c>
      <c r="M583">
        <f t="shared" si="431"/>
        <v>8.1624759782437126E-4</v>
      </c>
      <c r="N583">
        <f t="shared" si="432"/>
        <v>-1.5707963250000001</v>
      </c>
      <c r="O583">
        <f t="shared" si="433"/>
        <v>898.99713810314381</v>
      </c>
      <c r="P583">
        <f t="shared" si="434"/>
        <v>1.5696839759721446</v>
      </c>
      <c r="Q583">
        <f t="shared" si="435"/>
        <v>701.6145092552398</v>
      </c>
      <c r="R583">
        <f t="shared" si="436"/>
        <v>1.5693710422185638</v>
      </c>
      <c r="S583">
        <f t="shared" si="437"/>
        <v>0.10059223404542157</v>
      </c>
      <c r="T583">
        <f t="shared" si="438"/>
        <v>-1.4700336701825472</v>
      </c>
      <c r="U583">
        <f t="shared" si="439"/>
        <v>6.4733015907928321E-2</v>
      </c>
      <c r="V583">
        <f t="shared" si="440"/>
        <v>-1.5060180162816115</v>
      </c>
      <c r="X583">
        <f t="shared" si="457"/>
        <v>-57.600387894631702</v>
      </c>
      <c r="Y583">
        <f t="shared" si="441"/>
        <v>-176.78598039055032</v>
      </c>
      <c r="Z583">
        <f t="shared" si="458"/>
        <v>3.2140196094496787</v>
      </c>
      <c r="AC583">
        <v>1</v>
      </c>
      <c r="AD583">
        <f t="shared" si="442"/>
        <v>898.99658192767504</v>
      </c>
      <c r="AE583">
        <f t="shared" si="443"/>
        <v>-0.8545709613674628</v>
      </c>
      <c r="AF583">
        <f t="shared" si="444"/>
        <v>5.5435224432987006E-2</v>
      </c>
      <c r="AG583">
        <f t="shared" si="473"/>
        <v>66.790116196715488</v>
      </c>
      <c r="AH583">
        <f t="shared" si="474"/>
        <v>-1047.6532638246658</v>
      </c>
      <c r="AJ583">
        <f t="shared" si="445"/>
        <v>22100</v>
      </c>
      <c r="AK583">
        <f t="shared" si="446"/>
        <v>218584.49812747003</v>
      </c>
      <c r="AL583">
        <v>1</v>
      </c>
      <c r="AM583">
        <f t="shared" si="447"/>
        <v>701.61379661283115</v>
      </c>
      <c r="AN583">
        <f t="shared" si="475"/>
        <v>311.5895865919544</v>
      </c>
      <c r="AO583">
        <f t="shared" si="476"/>
        <v>-31.054706333592041</v>
      </c>
      <c r="AQ583">
        <f t="shared" si="448"/>
        <v>7.3442463448236759E-4</v>
      </c>
      <c r="AR583">
        <f t="shared" si="449"/>
        <v>-2.7100269012399365</v>
      </c>
      <c r="AT583">
        <f t="shared" si="470"/>
        <v>-2839.1194758299903</v>
      </c>
      <c r="AU583">
        <f t="shared" si="471"/>
        <v>-181.77243399538887</v>
      </c>
      <c r="AV583">
        <f t="shared" si="459"/>
        <v>-3.0776556911958672</v>
      </c>
      <c r="AW583">
        <f t="shared" si="460"/>
        <v>291.66446749973704</v>
      </c>
      <c r="AX583">
        <f t="shared" si="461"/>
        <v>-2001.1871190729016</v>
      </c>
      <c r="AY583">
        <f t="shared" si="469"/>
        <v>-1.426069613579112</v>
      </c>
      <c r="BA583">
        <f t="shared" si="450"/>
        <v>1.4067598498735743</v>
      </c>
      <c r="BB583">
        <f t="shared" si="462"/>
        <v>2.96439929373425</v>
      </c>
      <c r="BC583">
        <f t="shared" si="463"/>
        <v>-1.6515860776167552</v>
      </c>
      <c r="BD583">
        <f t="shared" si="451"/>
        <v>-274.62891185813538</v>
      </c>
      <c r="BF583">
        <f t="shared" si="452"/>
        <v>-65.143370234125911</v>
      </c>
      <c r="BG583">
        <f t="shared" si="453"/>
        <v>-190.75429521385973</v>
      </c>
      <c r="BH583">
        <f t="shared" si="464"/>
        <v>-10.754295213859734</v>
      </c>
      <c r="BI583">
        <f t="shared" si="465"/>
        <v>-10.754295213859734</v>
      </c>
      <c r="BJ583">
        <f t="shared" si="454"/>
        <v>0</v>
      </c>
      <c r="BK583">
        <f t="shared" si="466"/>
        <v>0</v>
      </c>
      <c r="BM583">
        <f t="shared" si="467"/>
        <v>-68.107769527860157</v>
      </c>
      <c r="BN583">
        <f t="shared" si="455"/>
        <v>-96.125383355724395</v>
      </c>
      <c r="BQ583" s="47">
        <f t="shared" si="468"/>
        <v>19.866360094019388</v>
      </c>
    </row>
    <row r="584" spans="1:69">
      <c r="A584">
        <f t="shared" si="472"/>
        <v>1850000</v>
      </c>
      <c r="B584">
        <f t="shared" si="456"/>
        <v>1850</v>
      </c>
      <c r="C584">
        <f t="shared" si="425"/>
        <v>9.3527282502467539</v>
      </c>
      <c r="D584">
        <f t="shared" si="426"/>
        <v>1.4636708784066006</v>
      </c>
      <c r="F584">
        <f t="shared" si="427"/>
        <v>2.7950727211722219E-6</v>
      </c>
      <c r="G584">
        <f t="shared" si="428"/>
        <v>5.0406115129477747E-4</v>
      </c>
      <c r="H584">
        <f t="shared" si="429"/>
        <v>-3.1410885888487052</v>
      </c>
      <c r="J584">
        <f t="shared" si="430"/>
        <v>15</v>
      </c>
      <c r="M584">
        <f t="shared" si="431"/>
        <v>8.1404152323565678E-4</v>
      </c>
      <c r="N584">
        <f t="shared" si="432"/>
        <v>-1.5707963250000001</v>
      </c>
      <c r="O584">
        <f t="shared" si="433"/>
        <v>901.43344170004286</v>
      </c>
      <c r="P584">
        <f t="shared" si="434"/>
        <v>1.5696869823232498</v>
      </c>
      <c r="Q584">
        <f t="shared" si="435"/>
        <v>703.51589973192608</v>
      </c>
      <c r="R584">
        <f t="shared" si="436"/>
        <v>1.5693748943338446</v>
      </c>
      <c r="S584">
        <f t="shared" si="437"/>
        <v>0.10032310311878789</v>
      </c>
      <c r="T584">
        <f t="shared" si="438"/>
        <v>-1.4703041694757781</v>
      </c>
      <c r="U584">
        <f t="shared" si="439"/>
        <v>6.4558791975067545E-2</v>
      </c>
      <c r="V584">
        <f t="shared" si="440"/>
        <v>-1.5061926054087313</v>
      </c>
      <c r="X584">
        <f t="shared" si="457"/>
        <v>-57.64733640391519</v>
      </c>
      <c r="Y584">
        <f t="shared" si="441"/>
        <v>-176.79466116032373</v>
      </c>
      <c r="Z584">
        <f t="shared" si="458"/>
        <v>3.2053388396762728</v>
      </c>
      <c r="AC584">
        <v>1</v>
      </c>
      <c r="AD584">
        <f t="shared" si="442"/>
        <v>901.4328870277501</v>
      </c>
      <c r="AE584">
        <f t="shared" si="443"/>
        <v>-0.85920905847640394</v>
      </c>
      <c r="AF584">
        <f t="shared" si="444"/>
        <v>5.5585455393510008E-2</v>
      </c>
      <c r="AG584">
        <f t="shared" si="473"/>
        <v>66.431079088066411</v>
      </c>
      <c r="AH584">
        <f t="shared" si="474"/>
        <v>-1044.8449959737147</v>
      </c>
      <c r="AJ584">
        <f t="shared" si="445"/>
        <v>22100</v>
      </c>
      <c r="AK584">
        <f t="shared" si="446"/>
        <v>219176.86804109463</v>
      </c>
      <c r="AL584">
        <v>1</v>
      </c>
      <c r="AM584">
        <f t="shared" si="447"/>
        <v>703.51518901557597</v>
      </c>
      <c r="AN584">
        <f t="shared" si="475"/>
        <v>311.5893476626498</v>
      </c>
      <c r="AO584">
        <f t="shared" si="476"/>
        <v>-30.970775034474702</v>
      </c>
      <c r="AQ584">
        <f t="shared" si="448"/>
        <v>7.3046013656244435E-4</v>
      </c>
      <c r="AR584">
        <f t="shared" si="449"/>
        <v>-2.7027025052810441</v>
      </c>
      <c r="AT584">
        <f t="shared" si="470"/>
        <v>-2823.8566629934185</v>
      </c>
      <c r="AU584">
        <f t="shared" si="471"/>
        <v>-180.30666149828579</v>
      </c>
      <c r="AV584">
        <f t="shared" si="459"/>
        <v>-3.0778280064115853</v>
      </c>
      <c r="AW584">
        <f t="shared" si="460"/>
        <v>291.77322439901508</v>
      </c>
      <c r="AX584">
        <f t="shared" si="461"/>
        <v>-1995.7999832826245</v>
      </c>
      <c r="AY584">
        <f t="shared" si="469"/>
        <v>-1.4256310628121047</v>
      </c>
      <c r="BA584">
        <f t="shared" si="450"/>
        <v>1.40286875359857</v>
      </c>
      <c r="BB584">
        <f t="shared" si="462"/>
        <v>2.940340843886565</v>
      </c>
      <c r="BC584">
        <f t="shared" si="463"/>
        <v>-1.6521969435994805</v>
      </c>
      <c r="BD584">
        <f t="shared" si="451"/>
        <v>-274.66391190083363</v>
      </c>
      <c r="BF584">
        <f t="shared" si="452"/>
        <v>-65.191205425072823</v>
      </c>
      <c r="BG584">
        <f t="shared" si="453"/>
        <v>-190.77286729948432</v>
      </c>
      <c r="BH584">
        <f t="shared" si="464"/>
        <v>-10.772867299484318</v>
      </c>
      <c r="BI584">
        <f t="shared" si="465"/>
        <v>-10.772867299484318</v>
      </c>
      <c r="BJ584">
        <f t="shared" si="454"/>
        <v>0</v>
      </c>
      <c r="BK584">
        <f t="shared" si="466"/>
        <v>0</v>
      </c>
      <c r="BM584">
        <f t="shared" si="467"/>
        <v>-68.131546268959397</v>
      </c>
      <c r="BN584">
        <f t="shared" si="455"/>
        <v>-96.108955398650693</v>
      </c>
      <c r="BQ584" s="47">
        <f t="shared" si="468"/>
        <v>19.842301644171702</v>
      </c>
    </row>
    <row r="585" spans="1:69">
      <c r="A585">
        <f t="shared" si="472"/>
        <v>1855000</v>
      </c>
      <c r="B585">
        <f t="shared" si="456"/>
        <v>1855</v>
      </c>
      <c r="C585">
        <f t="shared" ref="C585:C626" si="477">SQRT((A585/Fesr)^2+1)</f>
        <v>9.3777173043876356</v>
      </c>
      <c r="D585">
        <f t="shared" ref="D585:D614" si="478">ATAN(A585/Fesr)</f>
        <v>1.4639574310457921</v>
      </c>
      <c r="F585">
        <f t="shared" ref="F585:F626" si="479">(Ro/(Ro+Rdcr))/SQRT((A585/(Q*Fo))^2+(1-(A585^2/Fo^2))^2)</f>
        <v>2.7800252099933091E-6</v>
      </c>
      <c r="G585">
        <f t="shared" ref="G585:G614" si="480">-ATAN(A585*Fo/(Q*(Fo^2-A585^2)))</f>
        <v>5.027024884290967E-4</v>
      </c>
      <c r="H585">
        <f t="shared" ref="H585:H648" si="481">IF(G585&gt;0,G585-Pi,G585)</f>
        <v>-3.141089947511571</v>
      </c>
      <c r="J585">
        <f t="shared" ref="J585:J648" si="482">Vin/Vramp</f>
        <v>15</v>
      </c>
      <c r="M585">
        <f t="shared" ref="M585:M614" si="483">1/(2*Pi*_Rfb1*(Cc1ea_u+Cc2ea_u)*A585)</f>
        <v>8.1184734123232612E-4</v>
      </c>
      <c r="N585">
        <f t="shared" ref="N585:N648" si="484">-Pi/2</f>
        <v>-1.5707963250000001</v>
      </c>
      <c r="O585">
        <f t="shared" ref="O585:O614" si="485">SQRT(1+(A585/Fz1_u)^2)</f>
        <v>903.86974530504517</v>
      </c>
      <c r="P585">
        <f t="shared" ref="P585:P648" si="486">ATAN2(Fz1_u,A585)</f>
        <v>1.5696899724676303</v>
      </c>
      <c r="Q585">
        <f t="shared" ref="Q585:Q614" si="487">SQRT(1+(A585/Fz2_u)^2)</f>
        <v>705.41729021899528</v>
      </c>
      <c r="R585">
        <f t="shared" ref="R585:R648" si="488">ATAN2(Fz2_u,A585)</f>
        <v>1.5693787256830471</v>
      </c>
      <c r="S585">
        <f t="shared" ref="S585:S614" si="489">1/SQRT(1+(A585/Fp1_u)^2)</f>
        <v>0.10005540118730728</v>
      </c>
      <c r="T585">
        <f t="shared" ref="T585:T648" si="490">-ATAN2(Fp1_u,A585)</f>
        <v>-1.4705732251892574</v>
      </c>
      <c r="U585">
        <f t="shared" ref="U585:U626" si="491">1/SQRT(1+(A585/Fp2_u)^2)</f>
        <v>6.4385501398754305E-2</v>
      </c>
      <c r="V585">
        <f t="shared" ref="V585:V648" si="492">-ATAN2(Fp2_u,A585)</f>
        <v>-1.5063662572667531</v>
      </c>
      <c r="X585">
        <f t="shared" si="457"/>
        <v>-57.694158551737559</v>
      </c>
      <c r="Y585">
        <f t="shared" ref="Y585:Y614" si="493">(180/Pi)*(D585+H585+N585+P585+R585+T585+V585)</f>
        <v>-176.80329518176077</v>
      </c>
      <c r="Z585">
        <f t="shared" si="458"/>
        <v>3.1967048182392261</v>
      </c>
      <c r="AC585">
        <v>1</v>
      </c>
      <c r="AD585">
        <f t="shared" ref="AD585:AD626" si="494">Rcea1_u*Cc1ea_u*A585*2*Pi</f>
        <v>903.86919212782516</v>
      </c>
      <c r="AE585">
        <f t="shared" ref="AE585:AE626" si="495">-Rcea1_u*Cc1ea_u*Cc2ea_u*(A585*2*Pi)^2</f>
        <v>-0.86385970794558598</v>
      </c>
      <c r="AF585">
        <f t="shared" ref="AF585:AF626" si="496">(Cc2ea_u+Cc1ea_u)*A585*2*Pi</f>
        <v>5.5735686354033011E-2</v>
      </c>
      <c r="AG585">
        <f t="shared" si="473"/>
        <v>66.074925282581646</v>
      </c>
      <c r="AH585">
        <f t="shared" si="474"/>
        <v>-1042.0516810041004</v>
      </c>
      <c r="AJ585">
        <f t="shared" ref="AJ585:AJ648" si="497">_Rfb1</f>
        <v>22100</v>
      </c>
      <c r="AK585">
        <f t="shared" ref="AK585:AK626" si="498">_Rfb1*Rcea2_u*Cc3ea_u*A585*2*Pi</f>
        <v>219769.2379547192</v>
      </c>
      <c r="AL585">
        <v>1</v>
      </c>
      <c r="AM585">
        <f t="shared" ref="AM585:AM626" si="499">(_Rfb1+Rcea2_u)*Cc3ea_u*A585*2*Pi</f>
        <v>705.41658141832079</v>
      </c>
      <c r="AN585">
        <f t="shared" si="475"/>
        <v>311.5891106627779</v>
      </c>
      <c r="AO585">
        <f t="shared" si="476"/>
        <v>-30.887296192455711</v>
      </c>
      <c r="AQ585">
        <f t="shared" ref="AQ585:AQ626" si="500">Eadcg/(1+(Eadcg*A585/GBP)^2)</f>
        <v>7.2652765334982653E-4</v>
      </c>
      <c r="AR585">
        <f t="shared" ref="AR585:AR626" si="501">-(A585*Eadcg*Eadcg/GBP)/(1+(Eadcg*A585/GBP)^2)</f>
        <v>-2.6954175939278562</v>
      </c>
      <c r="AT585">
        <f t="shared" si="470"/>
        <v>-2808.7164295001394</v>
      </c>
      <c r="AU585">
        <f t="shared" si="471"/>
        <v>-178.85659548660823</v>
      </c>
      <c r="AV585">
        <f t="shared" si="459"/>
        <v>-3.0779993966164678</v>
      </c>
      <c r="AW585">
        <f t="shared" si="460"/>
        <v>291.88108769125614</v>
      </c>
      <c r="AX585">
        <f t="shared" si="461"/>
        <v>-1990.4417166719768</v>
      </c>
      <c r="AY585">
        <f t="shared" si="469"/>
        <v>-1.4251927164510185</v>
      </c>
      <c r="BA585">
        <f t="shared" ref="BA585:BA648" si="502">SQRT(AT585^2+AU585^2)/SQRT(AW585^2+AX585^2)</f>
        <v>1.3989983999946956</v>
      </c>
      <c r="BB585">
        <f t="shared" si="462"/>
        <v>2.9163443559713329</v>
      </c>
      <c r="BC585">
        <f t="shared" si="463"/>
        <v>-1.6528066801654493</v>
      </c>
      <c r="BD585">
        <f t="shared" ref="BD585:BD648" si="503">BC585*180/Pi-180</f>
        <v>-274.69884723271838</v>
      </c>
      <c r="BF585">
        <f t="shared" ref="BF585:BF648" si="504">20*LOG(BA585*J585*F585*C585)</f>
        <v>-65.238913046430042</v>
      </c>
      <c r="BG585">
        <f t="shared" ref="BG585:BG648" si="505">(180/Pi)*(D585+H585+BC585)</f>
        <v>-190.79146222016433</v>
      </c>
      <c r="BH585">
        <f t="shared" si="464"/>
        <v>-10.791462220164334</v>
      </c>
      <c r="BI585">
        <f t="shared" si="465"/>
        <v>-10.791462220164334</v>
      </c>
      <c r="BJ585">
        <f t="shared" ref="BJ585:BJ648" si="506">SUM((BF586&lt;0)*(BF585&gt;0))*A585</f>
        <v>0</v>
      </c>
      <c r="BK585">
        <f t="shared" si="466"/>
        <v>0</v>
      </c>
      <c r="BM585">
        <f t="shared" si="467"/>
        <v>-68.155257402401389</v>
      </c>
      <c r="BN585">
        <f t="shared" ref="BN585:BN648" si="507">(H585+D585)*180/Pi</f>
        <v>-96.092614987445984</v>
      </c>
      <c r="BQ585" s="47">
        <f t="shared" si="468"/>
        <v>19.818305156256471</v>
      </c>
    </row>
    <row r="586" spans="1:69">
      <c r="A586">
        <f t="shared" si="472"/>
        <v>1860000</v>
      </c>
      <c r="B586">
        <f t="shared" ref="B586:B649" si="508">A586/1000</f>
        <v>1860</v>
      </c>
      <c r="C586">
        <f t="shared" si="477"/>
        <v>9.4027071244625802</v>
      </c>
      <c r="D586">
        <f t="shared" si="478"/>
        <v>1.4642424605514317</v>
      </c>
      <c r="F586">
        <f t="shared" si="479"/>
        <v>2.7650988869667009E-6</v>
      </c>
      <c r="G586">
        <f t="shared" si="480"/>
        <v>5.013511302624892E-4</v>
      </c>
      <c r="H586">
        <f t="shared" si="481"/>
        <v>-3.1410912988697377</v>
      </c>
      <c r="J586">
        <f t="shared" si="482"/>
        <v>15</v>
      </c>
      <c r="M586">
        <f t="shared" si="483"/>
        <v>8.0966495590643287E-4</v>
      </c>
      <c r="N586">
        <f t="shared" si="484"/>
        <v>-1.5707963250000001</v>
      </c>
      <c r="O586">
        <f t="shared" si="485"/>
        <v>906.30604891808559</v>
      </c>
      <c r="P586">
        <f t="shared" si="486"/>
        <v>1.5696929465359855</v>
      </c>
      <c r="Q586">
        <f t="shared" si="487"/>
        <v>707.31868071636382</v>
      </c>
      <c r="R586">
        <f t="shared" si="488"/>
        <v>1.5693825364336393</v>
      </c>
      <c r="S586">
        <f t="shared" si="489"/>
        <v>9.978911695785582E-2</v>
      </c>
      <c r="T586">
        <f t="shared" si="490"/>
        <v>-1.470840848809565</v>
      </c>
      <c r="U586">
        <f t="shared" si="491"/>
        <v>6.4213136714309907E-2</v>
      </c>
      <c r="V586">
        <f t="shared" si="492"/>
        <v>-1.5065389793725747</v>
      </c>
      <c r="X586">
        <f t="shared" ref="X586:X614" si="509">20*LOG(C586*J586*O586*Q586*F586*M586*S586*U586)</f>
        <v>-57.740855015503627</v>
      </c>
      <c r="Y586">
        <f t="shared" si="493"/>
        <v>-176.81188283132369</v>
      </c>
      <c r="Z586">
        <f t="shared" ref="Z586:Z649" si="510">Y586+180</f>
        <v>3.1881171686763139</v>
      </c>
      <c r="AC586">
        <v>1</v>
      </c>
      <c r="AD586">
        <f t="shared" si="494"/>
        <v>906.30549722789999</v>
      </c>
      <c r="AE586">
        <f t="shared" si="495"/>
        <v>-0.86852290977500868</v>
      </c>
      <c r="AF586">
        <f t="shared" si="496"/>
        <v>5.5885917314556013E-2</v>
      </c>
      <c r="AG586">
        <f t="shared" si="473"/>
        <v>65.721624032179562</v>
      </c>
      <c r="AH586">
        <f t="shared" si="474"/>
        <v>-1039.2732003065835</v>
      </c>
      <c r="AJ586">
        <f t="shared" si="497"/>
        <v>22100</v>
      </c>
      <c r="AK586">
        <f t="shared" si="498"/>
        <v>220361.60786834377</v>
      </c>
      <c r="AL586">
        <v>1</v>
      </c>
      <c r="AM586">
        <f t="shared" si="499"/>
        <v>707.31797382106561</v>
      </c>
      <c r="AN586">
        <f t="shared" si="475"/>
        <v>311.58887557162018</v>
      </c>
      <c r="AO586">
        <f t="shared" si="476"/>
        <v>-30.804266158716789</v>
      </c>
      <c r="AQ586">
        <f t="shared" si="500"/>
        <v>7.2262684106350148E-4</v>
      </c>
      <c r="AR586">
        <f t="shared" si="501"/>
        <v>-2.6881718487562254</v>
      </c>
      <c r="AT586">
        <f t="shared" si="470"/>
        <v>-2793.6974680213834</v>
      </c>
      <c r="AU586">
        <f t="shared" si="471"/>
        <v>-177.4220262875852</v>
      </c>
      <c r="AV586">
        <f t="shared" ref="AV586:AV649" si="511">ATAN2(AT586,AU586)</f>
        <v>-3.0781698692285566</v>
      </c>
      <c r="AW586">
        <f t="shared" ref="AW586:AW649" si="512">AG586-AH586*AO586/_Rfb2+AG586*AN586/_Rfb2+AN586-AO586*AR586+AQ586*AN586</f>
        <v>291.98806717649654</v>
      </c>
      <c r="AX586">
        <f t="shared" ref="AX586:AX649" si="513">AH586+AH586*AN586/_Rfb2+AG586*AO586/_Rfb2+AO586+AO586*AQ586+AN586*AR586</f>
        <v>-1985.1120882536727</v>
      </c>
      <c r="AY586">
        <f t="shared" si="469"/>
        <v>-1.4247545733318672</v>
      </c>
      <c r="BA586">
        <f t="shared" si="502"/>
        <v>1.3951486220069491</v>
      </c>
      <c r="BB586">
        <f t="shared" ref="BB586:BB649" si="514">20*LOG(BA586)</f>
        <v>2.8924094895318415</v>
      </c>
      <c r="BC586">
        <f t="shared" ref="BC586:BC649" si="515">AV586-AY586</f>
        <v>-1.6534152958966895</v>
      </c>
      <c r="BD586">
        <f t="shared" si="503"/>
        <v>-274.73371834550352</v>
      </c>
      <c r="BF586">
        <f t="shared" si="504"/>
        <v>-65.286493803208671</v>
      </c>
      <c r="BG586">
        <f t="shared" si="505"/>
        <v>-190.81007977234066</v>
      </c>
      <c r="BH586">
        <f t="shared" ref="BH586:BH649" si="516">IF(BG586&gt;180,BG586-180,BG586+180)</f>
        <v>-10.810079772340657</v>
      </c>
      <c r="BI586">
        <f t="shared" ref="BI586:BI649" si="517">IF(BH586&gt;180,BH586-360,BH586)</f>
        <v>-10.810079772340657</v>
      </c>
      <c r="BJ586">
        <f t="shared" si="506"/>
        <v>0</v>
      </c>
      <c r="BK586">
        <f t="shared" ref="BK586:BK649" si="518">IF(BJ586&gt;0,BI586,0)</f>
        <v>0</v>
      </c>
      <c r="BM586">
        <f t="shared" ref="BM586:BM649" si="519">20*LOG(J586*F586*C586)</f>
        <v>-68.178903292740515</v>
      </c>
      <c r="BN586">
        <f t="shared" si="507"/>
        <v>-96.076361426837138</v>
      </c>
      <c r="BQ586" s="47">
        <f t="shared" ref="BQ586:BQ649" si="520">20*LOG(BA586*7)</f>
        <v>19.794370289816978</v>
      </c>
    </row>
    <row r="587" spans="1:69">
      <c r="A587">
        <f t="shared" si="472"/>
        <v>1865000</v>
      </c>
      <c r="B587">
        <f t="shared" si="508"/>
        <v>1865</v>
      </c>
      <c r="C587">
        <f t="shared" si="477"/>
        <v>9.4276977043808454</v>
      </c>
      <c r="D587">
        <f t="shared" si="478"/>
        <v>1.4645259789894138</v>
      </c>
      <c r="F587">
        <f t="shared" si="479"/>
        <v>2.7502924542254087E-6</v>
      </c>
      <c r="G587">
        <f t="shared" si="480"/>
        <v>5.0000701804338288E-4</v>
      </c>
      <c r="H587">
        <f t="shared" si="481"/>
        <v>-3.141092642981957</v>
      </c>
      <c r="J587">
        <f t="shared" si="482"/>
        <v>15</v>
      </c>
      <c r="M587">
        <f t="shared" si="483"/>
        <v>8.0749427237853365E-4</v>
      </c>
      <c r="N587">
        <f t="shared" si="484"/>
        <v>-1.5707963250000001</v>
      </c>
      <c r="O587">
        <f t="shared" si="485"/>
        <v>908.74235253909933</v>
      </c>
      <c r="P587">
        <f t="shared" si="486"/>
        <v>1.5696959046576127</v>
      </c>
      <c r="Q587">
        <f t="shared" si="487"/>
        <v>709.22007122394893</v>
      </c>
      <c r="R587">
        <f t="shared" si="488"/>
        <v>1.5693863267512933</v>
      </c>
      <c r="S587">
        <f t="shared" si="489"/>
        <v>9.9524239255377026E-2</v>
      </c>
      <c r="T587">
        <f t="shared" si="490"/>
        <v>-1.471107051702147</v>
      </c>
      <c r="U587">
        <f t="shared" si="491"/>
        <v>6.4041690536277909E-2</v>
      </c>
      <c r="V587">
        <f t="shared" si="492"/>
        <v>-1.506710779163039</v>
      </c>
      <c r="X587">
        <f t="shared" si="509"/>
        <v>-57.787426467193541</v>
      </c>
      <c r="Y587">
        <f t="shared" si="493"/>
        <v>-176.82042448144514</v>
      </c>
      <c r="Z587">
        <f t="shared" si="510"/>
        <v>3.1795755185548558</v>
      </c>
      <c r="AC587">
        <v>1</v>
      </c>
      <c r="AD587">
        <f t="shared" si="494"/>
        <v>908.74180232797505</v>
      </c>
      <c r="AE587">
        <f t="shared" si="495"/>
        <v>-0.87319866396467194</v>
      </c>
      <c r="AF587">
        <f t="shared" si="496"/>
        <v>5.6036148275079002E-2</v>
      </c>
      <c r="AG587">
        <f t="shared" si="473"/>
        <v>65.371144997002219</v>
      </c>
      <c r="AH587">
        <f t="shared" si="474"/>
        <v>-1036.5094365176778</v>
      </c>
      <c r="AJ587">
        <f t="shared" si="497"/>
        <v>22100</v>
      </c>
      <c r="AK587">
        <f t="shared" si="498"/>
        <v>220953.97778196834</v>
      </c>
      <c r="AL587">
        <v>1</v>
      </c>
      <c r="AM587">
        <f t="shared" si="499"/>
        <v>709.21936622381043</v>
      </c>
      <c r="AN587">
        <f t="shared" si="475"/>
        <v>311.58864236873529</v>
      </c>
      <c r="AO587">
        <f t="shared" si="476"/>
        <v>-30.721681323568699</v>
      </c>
      <c r="AQ587">
        <f t="shared" si="500"/>
        <v>7.1875736052459508E-4</v>
      </c>
      <c r="AR587">
        <f t="shared" si="501"/>
        <v>-2.6809649547567398</v>
      </c>
      <c r="AT587">
        <f t="shared" si="470"/>
        <v>-2778.7984885869178</v>
      </c>
      <c r="AU587">
        <f t="shared" si="471"/>
        <v>-176.00274757603461</v>
      </c>
      <c r="AV587">
        <f t="shared" si="511"/>
        <v>-3.078339431586897</v>
      </c>
      <c r="AW587">
        <f t="shared" si="512"/>
        <v>292.09417252033137</v>
      </c>
      <c r="AX587">
        <f t="shared" si="513"/>
        <v>-1979.8108694932976</v>
      </c>
      <c r="AY587">
        <f t="shared" ref="AY587:AY650" si="521">ATAN2(AW587,AX587)</f>
        <v>-1.4243166323053753</v>
      </c>
      <c r="BA587">
        <f t="shared" si="502"/>
        <v>1.3913192543708273</v>
      </c>
      <c r="BB587">
        <f t="shared" si="514"/>
        <v>2.8685359068557785</v>
      </c>
      <c r="BC587">
        <f t="shared" si="515"/>
        <v>-1.6540227992815217</v>
      </c>
      <c r="BD587">
        <f t="shared" si="503"/>
        <v>-274.76852572553412</v>
      </c>
      <c r="BF587">
        <f t="shared" si="504"/>
        <v>-65.333948394620251</v>
      </c>
      <c r="BG587">
        <f t="shared" si="505"/>
        <v>-190.82871975439963</v>
      </c>
      <c r="BH587">
        <f t="shared" si="516"/>
        <v>-10.828719754399629</v>
      </c>
      <c r="BI587">
        <f t="shared" si="517"/>
        <v>-10.828719754399629</v>
      </c>
      <c r="BJ587">
        <f t="shared" si="506"/>
        <v>0</v>
      </c>
      <c r="BK587">
        <f t="shared" si="518"/>
        <v>0</v>
      </c>
      <c r="BM587">
        <f t="shared" si="519"/>
        <v>-68.202484301476019</v>
      </c>
      <c r="BN587">
        <f t="shared" si="507"/>
        <v>-96.060194028865496</v>
      </c>
      <c r="BQ587" s="47">
        <f t="shared" si="520"/>
        <v>19.770496707140914</v>
      </c>
    </row>
    <row r="588" spans="1:69">
      <c r="A588">
        <f t="shared" si="472"/>
        <v>1870000</v>
      </c>
      <c r="B588">
        <f t="shared" si="508"/>
        <v>1870</v>
      </c>
      <c r="C588">
        <f t="shared" si="477"/>
        <v>9.452689038115917</v>
      </c>
      <c r="D588">
        <f t="shared" si="478"/>
        <v>1.4648079982990099</v>
      </c>
      <c r="F588">
        <f t="shared" si="479"/>
        <v>2.7356046312304701E-6</v>
      </c>
      <c r="G588">
        <f t="shared" si="480"/>
        <v>4.9867009364857359E-4</v>
      </c>
      <c r="H588">
        <f t="shared" si="481"/>
        <v>-3.1410939799063518</v>
      </c>
      <c r="J588">
        <f t="shared" si="482"/>
        <v>15</v>
      </c>
      <c r="M588">
        <f t="shared" si="483"/>
        <v>8.0533519678393855E-4</v>
      </c>
      <c r="N588">
        <f t="shared" si="484"/>
        <v>-1.5707963250000001</v>
      </c>
      <c r="O588">
        <f t="shared" si="485"/>
        <v>911.17865616802248</v>
      </c>
      <c r="P588">
        <f t="shared" si="486"/>
        <v>1.5696988469604267</v>
      </c>
      <c r="Q588">
        <f t="shared" si="487"/>
        <v>711.12146174166844</v>
      </c>
      <c r="R588">
        <f t="shared" si="488"/>
        <v>1.569390096799909</v>
      </c>
      <c r="S588">
        <f t="shared" si="489"/>
        <v>9.9260757021351093E-2</v>
      </c>
      <c r="T588">
        <f t="shared" si="490"/>
        <v>-1.4713718451129036</v>
      </c>
      <c r="U588">
        <f t="shared" si="491"/>
        <v>6.3871155557378323E-2</v>
      </c>
      <c r="V588">
        <f t="shared" si="492"/>
        <v>-1.506881663995993</v>
      </c>
      <c r="X588">
        <f t="shared" si="509"/>
        <v>-57.833873573420462</v>
      </c>
      <c r="Y588">
        <f t="shared" si="493"/>
        <v>-176.82892050058192</v>
      </c>
      <c r="Z588">
        <f t="shared" si="510"/>
        <v>3.1710794994180844</v>
      </c>
      <c r="AC588">
        <v>1</v>
      </c>
      <c r="AD588">
        <f t="shared" si="494"/>
        <v>911.17810742805</v>
      </c>
      <c r="AE588">
        <f t="shared" si="495"/>
        <v>-0.87788697051457598</v>
      </c>
      <c r="AF588">
        <f t="shared" si="496"/>
        <v>5.6186379235602005E-2</v>
      </c>
      <c r="AG588">
        <f t="shared" si="473"/>
        <v>65.023458238937792</v>
      </c>
      <c r="AH588">
        <f t="shared" si="474"/>
        <v>-1033.7602735034084</v>
      </c>
      <c r="AJ588">
        <f t="shared" si="497"/>
        <v>22100</v>
      </c>
      <c r="AK588">
        <f t="shared" si="498"/>
        <v>221546.34769559294</v>
      </c>
      <c r="AL588">
        <v>1</v>
      </c>
      <c r="AM588">
        <f t="shared" si="499"/>
        <v>711.12075862655524</v>
      </c>
      <c r="AN588">
        <f t="shared" si="475"/>
        <v>311.5884110339548</v>
      </c>
      <c r="AO588">
        <f t="shared" si="476"/>
        <v>-30.639538115928101</v>
      </c>
      <c r="AQ588">
        <f t="shared" si="500"/>
        <v>7.1491887708263909E-4</v>
      </c>
      <c r="AR588">
        <f t="shared" si="501"/>
        <v>-2.6737966002890703</v>
      </c>
      <c r="AT588">
        <f t="shared" si="470"/>
        <v>-2764.0182183095649</v>
      </c>
      <c r="AU588">
        <f t="shared" si="471"/>
        <v>-174.59855631221592</v>
      </c>
      <c r="AV588">
        <f t="shared" si="511"/>
        <v>-3.0785080909525866</v>
      </c>
      <c r="AW588">
        <f t="shared" si="512"/>
        <v>292.19941325612825</v>
      </c>
      <c r="AX588">
        <f t="shared" si="513"/>
        <v>-1974.5378342768947</v>
      </c>
      <c r="AY588">
        <f t="shared" si="521"/>
        <v>-1.4238788922367647</v>
      </c>
      <c r="BA588">
        <f t="shared" si="502"/>
        <v>1.3875101335884057</v>
      </c>
      <c r="BB588">
        <f t="shared" si="514"/>
        <v>2.844723272945886</v>
      </c>
      <c r="BC588">
        <f t="shared" si="515"/>
        <v>-1.6546291987158219</v>
      </c>
      <c r="BD588">
        <f t="shared" si="503"/>
        <v>-274.80326985385835</v>
      </c>
      <c r="BF588">
        <f t="shared" si="504"/>
        <v>-65.381277514140479</v>
      </c>
      <c r="BG588">
        <f t="shared" si="505"/>
        <v>-190.84738196664975</v>
      </c>
      <c r="BH588">
        <f t="shared" si="516"/>
        <v>-10.847381966649749</v>
      </c>
      <c r="BI588">
        <f t="shared" si="517"/>
        <v>-10.847381966649749</v>
      </c>
      <c r="BJ588">
        <f t="shared" si="506"/>
        <v>0</v>
      </c>
      <c r="BK588">
        <f t="shared" si="518"/>
        <v>0</v>
      </c>
      <c r="BM588">
        <f t="shared" si="519"/>
        <v>-68.226000787086363</v>
      </c>
      <c r="BN588">
        <f t="shared" si="507"/>
        <v>-96.044112112791424</v>
      </c>
      <c r="BQ588" s="47">
        <f t="shared" si="520"/>
        <v>19.746684073231023</v>
      </c>
    </row>
    <row r="589" spans="1:69">
      <c r="A589">
        <f t="shared" si="472"/>
        <v>1875000</v>
      </c>
      <c r="B589">
        <f t="shared" si="508"/>
        <v>1875</v>
      </c>
      <c r="C589">
        <f t="shared" si="477"/>
        <v>9.4776811197046626</v>
      </c>
      <c r="D589">
        <f t="shared" si="478"/>
        <v>1.465088530294518</v>
      </c>
      <c r="F589">
        <f t="shared" si="479"/>
        <v>2.7210341544940717E-6</v>
      </c>
      <c r="G589">
        <f t="shared" si="480"/>
        <v>4.9734029957484614E-4</v>
      </c>
      <c r="H589">
        <f t="shared" si="481"/>
        <v>-3.1410953097004253</v>
      </c>
      <c r="J589">
        <f t="shared" si="482"/>
        <v>15</v>
      </c>
      <c r="M589">
        <f t="shared" si="483"/>
        <v>8.0318763625918143E-4</v>
      </c>
      <c r="N589">
        <f t="shared" si="484"/>
        <v>-1.5707963250000001</v>
      </c>
      <c r="O589">
        <f t="shared" si="485"/>
        <v>913.61495980479174</v>
      </c>
      <c r="P589">
        <f t="shared" si="486"/>
        <v>1.5697017735709782</v>
      </c>
      <c r="Q589">
        <f t="shared" si="487"/>
        <v>713.02285226944139</v>
      </c>
      <c r="R589">
        <f t="shared" si="488"/>
        <v>1.5693938467416384</v>
      </c>
      <c r="S589">
        <f t="shared" si="489"/>
        <v>9.899865931228792E-2</v>
      </c>
      <c r="T589">
        <f t="shared" si="490"/>
        <v>-1.4716352401697514</v>
      </c>
      <c r="U589">
        <f t="shared" si="491"/>
        <v>6.3701524547477933E-2</v>
      </c>
      <c r="V589">
        <f t="shared" si="492"/>
        <v>-1.5070516411513351</v>
      </c>
      <c r="X589">
        <f t="shared" si="509"/>
        <v>-57.88019699548741</v>
      </c>
      <c r="Y589">
        <f t="shared" si="493"/>
        <v>-176.83737125326795</v>
      </c>
      <c r="Z589">
        <f t="shared" si="510"/>
        <v>3.1626287467320537</v>
      </c>
      <c r="AC589">
        <v>1</v>
      </c>
      <c r="AD589">
        <f t="shared" si="494"/>
        <v>913.61441252812506</v>
      </c>
      <c r="AE589">
        <f t="shared" si="495"/>
        <v>-0.8825878294247208</v>
      </c>
      <c r="AF589">
        <f t="shared" si="496"/>
        <v>5.6336610196125007E-2</v>
      </c>
      <c r="AG589">
        <f t="shared" si="473"/>
        <v>64.678534215262644</v>
      </c>
      <c r="AH589">
        <f t="shared" si="474"/>
        <v>-1031.0255963433244</v>
      </c>
      <c r="AJ589">
        <f t="shared" si="497"/>
        <v>22100</v>
      </c>
      <c r="AK589">
        <f t="shared" si="498"/>
        <v>222138.71760921751</v>
      </c>
      <c r="AL589">
        <v>1</v>
      </c>
      <c r="AM589">
        <f t="shared" si="499"/>
        <v>713.02215102930006</v>
      </c>
      <c r="AN589">
        <f t="shared" si="475"/>
        <v>311.58818154737918</v>
      </c>
      <c r="AO589">
        <f t="shared" si="476"/>
        <v>-30.557833002802852</v>
      </c>
      <c r="AQ589">
        <f t="shared" si="500"/>
        <v>7.1111106054321351E-4</v>
      </c>
      <c r="AR589">
        <f t="shared" si="501"/>
        <v>-2.6666664770370505</v>
      </c>
      <c r="AT589">
        <f t="shared" si="470"/>
        <v>-2749.3554011148171</v>
      </c>
      <c r="AU589">
        <f t="shared" si="471"/>
        <v>-173.20925268099768</v>
      </c>
      <c r="AV589">
        <f t="shared" si="511"/>
        <v>-3.0786758545098043</v>
      </c>
      <c r="AW589">
        <f t="shared" si="512"/>
        <v>292.30379878720021</v>
      </c>
      <c r="AX589">
        <f t="shared" si="513"/>
        <v>-1969.2927588790708</v>
      </c>
      <c r="AY589">
        <f t="shared" si="521"/>
        <v>-1.4234413520055451</v>
      </c>
      <c r="BA589">
        <f t="shared" si="502"/>
        <v>1.3837210979048074</v>
      </c>
      <c r="BB589">
        <f t="shared" si="514"/>
        <v>2.8209712554910293</v>
      </c>
      <c r="BC589">
        <f t="shared" si="515"/>
        <v>-1.6552345025042592</v>
      </c>
      <c r="BD589">
        <f t="shared" si="503"/>
        <v>-274.83795120629873</v>
      </c>
      <c r="BF589">
        <f t="shared" si="504"/>
        <v>-65.428481849571867</v>
      </c>
      <c r="BG589">
        <f t="shared" si="505"/>
        <v>-190.86606621129889</v>
      </c>
      <c r="BH589">
        <f t="shared" si="516"/>
        <v>-10.866066211298886</v>
      </c>
      <c r="BI589">
        <f t="shared" si="517"/>
        <v>-10.866066211298886</v>
      </c>
      <c r="BJ589">
        <f t="shared" si="506"/>
        <v>0</v>
      </c>
      <c r="BK589">
        <f t="shared" si="518"/>
        <v>0</v>
      </c>
      <c r="BM589">
        <f t="shared" si="519"/>
        <v>-68.249453105062898</v>
      </c>
      <c r="BN589">
        <f t="shared" si="507"/>
        <v>-96.028115005000174</v>
      </c>
      <c r="BQ589" s="47">
        <f t="shared" si="520"/>
        <v>19.722932055776166</v>
      </c>
    </row>
    <row r="590" spans="1:69">
      <c r="A590">
        <f t="shared" si="472"/>
        <v>1880000</v>
      </c>
      <c r="B590">
        <f t="shared" si="508"/>
        <v>1880</v>
      </c>
      <c r="C590">
        <f t="shared" si="477"/>
        <v>9.5026739432465046</v>
      </c>
      <c r="D590">
        <f t="shared" si="478"/>
        <v>1.4653675866668876</v>
      </c>
      <c r="F590">
        <f t="shared" si="479"/>
        <v>2.7065797773078163E-6</v>
      </c>
      <c r="G590">
        <f t="shared" si="480"/>
        <v>4.9601757893073036E-4</v>
      </c>
      <c r="H590">
        <f t="shared" si="481"/>
        <v>-3.1410966324210694</v>
      </c>
      <c r="J590">
        <f t="shared" si="482"/>
        <v>15</v>
      </c>
      <c r="M590">
        <f t="shared" si="483"/>
        <v>8.0105149892870477E-4</v>
      </c>
      <c r="N590">
        <f t="shared" si="484"/>
        <v>-1.5707963250000001</v>
      </c>
      <c r="O590">
        <f t="shared" si="485"/>
        <v>916.05126344934456</v>
      </c>
      <c r="P590">
        <f t="shared" si="486"/>
        <v>1.5697046846144707</v>
      </c>
      <c r="Q590">
        <f t="shared" si="487"/>
        <v>714.92424280718762</v>
      </c>
      <c r="R590">
        <f t="shared" si="488"/>
        <v>1.5693975767369084</v>
      </c>
      <c r="S590">
        <f t="shared" si="489"/>
        <v>9.873793529824304E-2</v>
      </c>
      <c r="T590">
        <f t="shared" si="490"/>
        <v>-1.4718972478841612</v>
      </c>
      <c r="U590">
        <f t="shared" si="491"/>
        <v>6.3532790352577181E-2</v>
      </c>
      <c r="V590">
        <f t="shared" si="492"/>
        <v>-1.5072207178320414</v>
      </c>
      <c r="X590">
        <f t="shared" si="509"/>
        <v>-57.926397389443522</v>
      </c>
      <c r="Y590">
        <f t="shared" si="493"/>
        <v>-176.84577710016637</v>
      </c>
      <c r="Z590">
        <f t="shared" si="510"/>
        <v>3.154222899833627</v>
      </c>
      <c r="AC590">
        <v>1</v>
      </c>
      <c r="AD590">
        <f t="shared" si="494"/>
        <v>916.05071762820012</v>
      </c>
      <c r="AE590">
        <f t="shared" si="495"/>
        <v>-0.88730124069510641</v>
      </c>
      <c r="AF590">
        <f t="shared" si="496"/>
        <v>5.648684115664801E-2</v>
      </c>
      <c r="AG590">
        <f t="shared" si="473"/>
        <v>64.336343772400099</v>
      </c>
      <c r="AH590">
        <f t="shared" si="474"/>
        <v>-1028.3052913147599</v>
      </c>
      <c r="AJ590">
        <f t="shared" si="497"/>
        <v>22100</v>
      </c>
      <c r="AK590">
        <f t="shared" si="498"/>
        <v>222731.08752284208</v>
      </c>
      <c r="AL590">
        <v>1</v>
      </c>
      <c r="AM590">
        <f t="shared" si="499"/>
        <v>714.92354343204477</v>
      </c>
      <c r="AN590">
        <f t="shared" si="475"/>
        <v>311.58795388937261</v>
      </c>
      <c r="AO590">
        <f t="shared" si="476"/>
        <v>-30.476562488785447</v>
      </c>
      <c r="AQ590">
        <f t="shared" si="500"/>
        <v>7.073335850969341E-4</v>
      </c>
      <c r="AR590">
        <f t="shared" si="501"/>
        <v>-2.6595742799644722</v>
      </c>
      <c r="AT590">
        <f t="shared" si="470"/>
        <v>-2734.8087974754167</v>
      </c>
      <c r="AU590">
        <f t="shared" si="471"/>
        <v>-171.83464003230756</v>
      </c>
      <c r="AV590">
        <f t="shared" si="511"/>
        <v>-3.0788427293668259</v>
      </c>
      <c r="AW590">
        <f t="shared" si="512"/>
        <v>292.4073383889334</v>
      </c>
      <c r="AX590">
        <f t="shared" si="513"/>
        <v>-1964.0754219315982</v>
      </c>
      <c r="AY590">
        <f t="shared" si="521"/>
        <v>-1.4230040105053086</v>
      </c>
      <c r="BA590">
        <f t="shared" si="502"/>
        <v>1.3799519872850436</v>
      </c>
      <c r="BB590">
        <f t="shared" si="514"/>
        <v>2.7972795248376467</v>
      </c>
      <c r="BC590">
        <f t="shared" si="515"/>
        <v>-1.6558387188615173</v>
      </c>
      <c r="BD590">
        <f t="shared" si="503"/>
        <v>-274.87257025352193</v>
      </c>
      <c r="BF590">
        <f t="shared" si="504"/>
        <v>-65.475562083105615</v>
      </c>
      <c r="BG590">
        <f t="shared" si="505"/>
        <v>-190.88477229243131</v>
      </c>
      <c r="BH590">
        <f t="shared" si="516"/>
        <v>-10.884772292431308</v>
      </c>
      <c r="BI590">
        <f t="shared" si="517"/>
        <v>-10.884772292431308</v>
      </c>
      <c r="BJ590">
        <f t="shared" si="506"/>
        <v>0</v>
      </c>
      <c r="BK590">
        <f t="shared" si="518"/>
        <v>0</v>
      </c>
      <c r="BM590">
        <f t="shared" si="519"/>
        <v>-68.272841607943249</v>
      </c>
      <c r="BN590">
        <f t="shared" si="507"/>
        <v>-96.012202038909365</v>
      </c>
      <c r="BQ590" s="47">
        <f t="shared" si="520"/>
        <v>19.699240325122783</v>
      </c>
    </row>
    <row r="591" spans="1:69">
      <c r="A591">
        <f t="shared" si="472"/>
        <v>1885000</v>
      </c>
      <c r="B591">
        <f t="shared" si="508"/>
        <v>1885</v>
      </c>
      <c r="C591">
        <f t="shared" si="477"/>
        <v>9.5276675029026077</v>
      </c>
      <c r="D591">
        <f t="shared" si="478"/>
        <v>1.4656451789853198</v>
      </c>
      <c r="F591">
        <f t="shared" si="479"/>
        <v>2.692240269476028E-6</v>
      </c>
      <c r="G591">
        <f t="shared" si="480"/>
        <v>4.9470187542838663E-4</v>
      </c>
      <c r="H591">
        <f t="shared" si="481"/>
        <v>-3.141097948124572</v>
      </c>
      <c r="J591">
        <f t="shared" si="482"/>
        <v>15</v>
      </c>
      <c r="M591">
        <f t="shared" si="483"/>
        <v>7.9892669389175866E-4</v>
      </c>
      <c r="N591">
        <f t="shared" si="484"/>
        <v>-1.5707963250000001</v>
      </c>
      <c r="O591">
        <f t="shared" si="485"/>
        <v>918.48756710161888</v>
      </c>
      <c r="P591">
        <f t="shared" si="486"/>
        <v>1.56970758021478</v>
      </c>
      <c r="Q591">
        <f t="shared" si="487"/>
        <v>716.8256333548278</v>
      </c>
      <c r="R591">
        <f t="shared" si="488"/>
        <v>1.5694012869444438</v>
      </c>
      <c r="S591">
        <f t="shared" si="489"/>
        <v>9.8478574261356616E-2</v>
      </c>
      <c r="T591">
        <f t="shared" si="490"/>
        <v>-1.4721578791526724</v>
      </c>
      <c r="U591">
        <f t="shared" si="491"/>
        <v>6.3364945893812613E-2</v>
      </c>
      <c r="V591">
        <f t="shared" si="492"/>
        <v>-1.5073889011651789</v>
      </c>
      <c r="X591">
        <f t="shared" si="509"/>
        <v>-57.972475406139417</v>
      </c>
      <c r="Y591">
        <f t="shared" si="493"/>
        <v>-176.85413839812057</v>
      </c>
      <c r="Z591">
        <f t="shared" si="510"/>
        <v>3.1458616018794316</v>
      </c>
      <c r="AC591">
        <v>1</v>
      </c>
      <c r="AD591">
        <f t="shared" si="494"/>
        <v>918.48702272827506</v>
      </c>
      <c r="AE591">
        <f t="shared" si="495"/>
        <v>-0.89202720432573268</v>
      </c>
      <c r="AF591">
        <f t="shared" si="496"/>
        <v>5.6637072117171006E-2</v>
      </c>
      <c r="AG591">
        <f t="shared" si="473"/>
        <v>63.996858139793879</v>
      </c>
      <c r="AH591">
        <f t="shared" si="474"/>
        <v>-1025.5992458773355</v>
      </c>
      <c r="AJ591">
        <f t="shared" si="497"/>
        <v>22100</v>
      </c>
      <c r="AK591">
        <f t="shared" si="498"/>
        <v>223323.45743646668</v>
      </c>
      <c r="AL591">
        <v>1</v>
      </c>
      <c r="AM591">
        <f t="shared" si="499"/>
        <v>716.82493583478958</v>
      </c>
      <c r="AN591">
        <f t="shared" si="475"/>
        <v>311.58772804055991</v>
      </c>
      <c r="AO591">
        <f t="shared" si="476"/>
        <v>-30.395723115554578</v>
      </c>
      <c r="AQ591">
        <f t="shared" si="500"/>
        <v>7.0358612924975692E-4</v>
      </c>
      <c r="AR591">
        <f t="shared" si="501"/>
        <v>-2.6525197072715838</v>
      </c>
      <c r="AT591">
        <f t="shared" si="470"/>
        <v>-2720.3771841508046</v>
      </c>
      <c r="AU591">
        <f t="shared" si="471"/>
        <v>-170.47452482283543</v>
      </c>
      <c r="AV591">
        <f t="shared" si="511"/>
        <v>-3.0790087225570231</v>
      </c>
      <c r="AW591">
        <f t="shared" si="512"/>
        <v>292.51004121087823</v>
      </c>
      <c r="AX591">
        <f t="shared" si="513"/>
        <v>-1958.8856043925132</v>
      </c>
      <c r="AY591">
        <f t="shared" si="521"/>
        <v>-1.4225668666435256</v>
      </c>
      <c r="BA591">
        <f t="shared" si="502"/>
        <v>1.3762026433912207</v>
      </c>
      <c r="BB591">
        <f t="shared" si="514"/>
        <v>2.7736477539615514</v>
      </c>
      <c r="BC591">
        <f t="shared" si="515"/>
        <v>-1.6564418559134975</v>
      </c>
      <c r="BD591">
        <f t="shared" si="503"/>
        <v>-274.90712746110785</v>
      </c>
      <c r="BF591">
        <f t="shared" si="504"/>
        <v>-65.522518891382646</v>
      </c>
      <c r="BG591">
        <f t="shared" si="505"/>
        <v>-190.90350001598549</v>
      </c>
      <c r="BH591">
        <f t="shared" si="516"/>
        <v>-10.903500015985486</v>
      </c>
      <c r="BI591">
        <f t="shared" si="517"/>
        <v>-10.903500015985486</v>
      </c>
      <c r="BJ591">
        <f t="shared" si="506"/>
        <v>0</v>
      </c>
      <c r="BK591">
        <f t="shared" si="518"/>
        <v>0</v>
      </c>
      <c r="BM591">
        <f t="shared" si="519"/>
        <v>-68.296166645344201</v>
      </c>
      <c r="BN591">
        <f t="shared" si="507"/>
        <v>-95.996372554877652</v>
      </c>
      <c r="BQ591" s="47">
        <f t="shared" si="520"/>
        <v>19.67560855424669</v>
      </c>
    </row>
    <row r="592" spans="1:69">
      <c r="A592">
        <f>A591+5000</f>
        <v>1890000</v>
      </c>
      <c r="B592">
        <f t="shared" si="508"/>
        <v>1890</v>
      </c>
      <c r="C592">
        <f t="shared" si="477"/>
        <v>9.5526617928950639</v>
      </c>
      <c r="D592">
        <f t="shared" si="478"/>
        <v>1.4659213186988413</v>
      </c>
      <c r="F592">
        <f t="shared" si="479"/>
        <v>2.678014417053993E-6</v>
      </c>
      <c r="G592">
        <f t="shared" si="480"/>
        <v>4.9339313337562203E-4</v>
      </c>
      <c r="H592">
        <f t="shared" si="481"/>
        <v>-3.1410992568666245</v>
      </c>
      <c r="J592">
        <f t="shared" si="482"/>
        <v>15</v>
      </c>
      <c r="M592">
        <f t="shared" si="483"/>
        <v>7.9681313120950523E-4</v>
      </c>
      <c r="N592">
        <f t="shared" si="484"/>
        <v>-1.5707963250000001</v>
      </c>
      <c r="O592">
        <f t="shared" si="485"/>
        <v>920.92387076155364</v>
      </c>
      <c r="P592">
        <f t="shared" si="486"/>
        <v>1.5697104604944709</v>
      </c>
      <c r="Q592">
        <f t="shared" si="487"/>
        <v>718.72702391228336</v>
      </c>
      <c r="R592">
        <f t="shared" si="488"/>
        <v>1.5694049775212895</v>
      </c>
      <c r="S592">
        <f t="shared" si="489"/>
        <v>9.8220565594414597E-2</v>
      </c>
      <c r="T592">
        <f t="shared" si="490"/>
        <v>-1.4724171447583831</v>
      </c>
      <c r="U592">
        <f t="shared" si="491"/>
        <v>6.319798416647511E-2</v>
      </c>
      <c r="V592">
        <f t="shared" si="492"/>
        <v>-1.5075561982029002</v>
      </c>
      <c r="X592">
        <f t="shared" si="509"/>
        <v>-58.018431691281897</v>
      </c>
      <c r="Y592">
        <f t="shared" si="493"/>
        <v>-176.86245550020465</v>
      </c>
      <c r="Z592">
        <f t="shared" si="510"/>
        <v>3.1375444997953537</v>
      </c>
      <c r="AC592">
        <v>1</v>
      </c>
      <c r="AD592">
        <f t="shared" si="494"/>
        <v>920.92332782835012</v>
      </c>
      <c r="AE592">
        <f t="shared" si="495"/>
        <v>-0.89676572031659962</v>
      </c>
      <c r="AF592">
        <f t="shared" si="496"/>
        <v>5.6787303077694008E-2</v>
      </c>
      <c r="AG592">
        <f t="shared" si="473"/>
        <v>63.660048923893584</v>
      </c>
      <c r="AH592">
        <f t="shared" si="474"/>
        <v>-1022.9073486577031</v>
      </c>
      <c r="AJ592">
        <f t="shared" si="497"/>
        <v>22100</v>
      </c>
      <c r="AK592">
        <f t="shared" si="498"/>
        <v>223915.82735009125</v>
      </c>
      <c r="AL592">
        <v>1</v>
      </c>
      <c r="AM592">
        <f t="shared" si="499"/>
        <v>718.7263282375344</v>
      </c>
      <c r="AN592">
        <f t="shared" si="475"/>
        <v>311.58750398182144</v>
      </c>
      <c r="AO592">
        <f t="shared" si="476"/>
        <v>-30.315311461384574</v>
      </c>
      <c r="AQ592">
        <f t="shared" si="500"/>
        <v>6.9986837575457185E-4</v>
      </c>
      <c r="AR592">
        <f t="shared" si="501"/>
        <v>-2.6455024603522816</v>
      </c>
      <c r="AT592">
        <f t="shared" si="470"/>
        <v>-2706.0593539313418</v>
      </c>
      <c r="AU592">
        <f t="shared" si="471"/>
        <v>-169.12871655895958</v>
      </c>
      <c r="AV592">
        <f t="shared" si="511"/>
        <v>-3.0791738410398439</v>
      </c>
      <c r="AW592">
        <f t="shared" si="512"/>
        <v>292.61191627879771</v>
      </c>
      <c r="AX592">
        <f t="shared" si="513"/>
        <v>-1953.7230895156972</v>
      </c>
      <c r="AY592">
        <f t="shared" si="521"/>
        <v>-1.4221299193413472</v>
      </c>
      <c r="BA592">
        <f t="shared" si="502"/>
        <v>1.3724729095601154</v>
      </c>
      <c r="BB592">
        <f t="shared" si="514"/>
        <v>2.7500756184401576</v>
      </c>
      <c r="BC592">
        <f t="shared" si="515"/>
        <v>-1.6570439216984967</v>
      </c>
      <c r="BD592">
        <f t="shared" si="503"/>
        <v>-274.94162328961693</v>
      </c>
      <c r="BF592">
        <f t="shared" si="504"/>
        <v>-65.569352945553831</v>
      </c>
      <c r="BG592">
        <f t="shared" si="505"/>
        <v>-190.92224918973196</v>
      </c>
      <c r="BH592">
        <f t="shared" si="516"/>
        <v>-10.922249189731957</v>
      </c>
      <c r="BI592">
        <f t="shared" si="517"/>
        <v>-10.922249189731957</v>
      </c>
      <c r="BJ592">
        <f t="shared" si="506"/>
        <v>0</v>
      </c>
      <c r="BK592">
        <f t="shared" si="518"/>
        <v>0</v>
      </c>
      <c r="BM592">
        <f t="shared" si="519"/>
        <v>-68.319428563993995</v>
      </c>
      <c r="BN592">
        <f t="shared" si="507"/>
        <v>-95.980625900115015</v>
      </c>
      <c r="BQ592" s="47">
        <f t="shared" si="520"/>
        <v>19.652036418725295</v>
      </c>
    </row>
    <row r="593" spans="1:69">
      <c r="A593">
        <f t="shared" ref="A593:A598" si="522">A592+5000</f>
        <v>1895000</v>
      </c>
      <c r="B593">
        <f t="shared" si="508"/>
        <v>1895</v>
      </c>
      <c r="C593">
        <f t="shared" si="477"/>
        <v>9.5776568075061217</v>
      </c>
      <c r="D593">
        <f t="shared" si="478"/>
        <v>1.466196017137855</v>
      </c>
      <c r="F593">
        <f t="shared" si="479"/>
        <v>2.6639010220910253E-6</v>
      </c>
      <c r="G593">
        <f t="shared" si="480"/>
        <v>4.9209129766803188E-4</v>
      </c>
      <c r="H593">
        <f t="shared" si="481"/>
        <v>-3.1411005587023322</v>
      </c>
      <c r="J593">
        <f t="shared" si="482"/>
        <v>15</v>
      </c>
      <c r="M593">
        <f t="shared" si="483"/>
        <v>7.9471072189232989E-4</v>
      </c>
      <c r="N593">
        <f t="shared" si="484"/>
        <v>-1.5707963250000001</v>
      </c>
      <c r="O593">
        <f t="shared" si="485"/>
        <v>923.36017442908803</v>
      </c>
      <c r="P593">
        <f t="shared" si="486"/>
        <v>1.5697133255748146</v>
      </c>
      <c r="Q593">
        <f t="shared" si="487"/>
        <v>720.62841447947653</v>
      </c>
      <c r="R593">
        <f t="shared" si="488"/>
        <v>1.5694086486228331</v>
      </c>
      <c r="S593">
        <f t="shared" si="489"/>
        <v>9.7963898799431973E-2</v>
      </c>
      <c r="T593">
        <f t="shared" si="490"/>
        <v>-1.4726750553724184</v>
      </c>
      <c r="U593">
        <f t="shared" si="491"/>
        <v>6.3031898239043468E-2</v>
      </c>
      <c r="V593">
        <f t="shared" si="492"/>
        <v>-1.5077226159234249</v>
      </c>
      <c r="X593">
        <f t="shared" si="509"/>
        <v>-58.064266885487974</v>
      </c>
      <c r="Y593">
        <f t="shared" si="493"/>
        <v>-176.87072875577331</v>
      </c>
      <c r="Z593">
        <f t="shared" si="510"/>
        <v>3.1292712442266861</v>
      </c>
      <c r="AC593">
        <v>1</v>
      </c>
      <c r="AD593">
        <f t="shared" si="494"/>
        <v>923.35963292842519</v>
      </c>
      <c r="AE593">
        <f t="shared" si="495"/>
        <v>-0.90151678866770735</v>
      </c>
      <c r="AF593">
        <f t="shared" si="496"/>
        <v>5.6937534038217011E-2</v>
      </c>
      <c r="AG593">
        <f t="shared" si="473"/>
        <v>63.325888102249706</v>
      </c>
      <c r="AH593">
        <f t="shared" si="474"/>
        <v>-1020.2294894345199</v>
      </c>
      <c r="AJ593">
        <f t="shared" si="497"/>
        <v>22100</v>
      </c>
      <c r="AK593">
        <f t="shared" si="498"/>
        <v>224508.19726371582</v>
      </c>
      <c r="AL593">
        <v>1</v>
      </c>
      <c r="AM593">
        <f t="shared" si="499"/>
        <v>720.62772064027922</v>
      </c>
      <c r="AN593">
        <f t="shared" si="475"/>
        <v>311.58728169428952</v>
      </c>
      <c r="AO593">
        <f t="shared" si="476"/>
        <v>-30.235324140662613</v>
      </c>
      <c r="AQ593">
        <f t="shared" si="500"/>
        <v>6.9618001154405696E-4</v>
      </c>
      <c r="AR593">
        <f t="shared" si="501"/>
        <v>-2.638522243751976</v>
      </c>
      <c r="AT593">
        <f t="shared" si="470"/>
        <v>-2691.8541153871925</v>
      </c>
      <c r="AU593">
        <f t="shared" si="471"/>
        <v>-167.79702774086655</v>
      </c>
      <c r="AV593">
        <f t="shared" si="511"/>
        <v>-3.0793380917017825</v>
      </c>
      <c r="AW593">
        <f t="shared" si="512"/>
        <v>292.71297249667788</v>
      </c>
      <c r="AX593">
        <f t="shared" si="513"/>
        <v>-1948.5876628209307</v>
      </c>
      <c r="AY593">
        <f t="shared" si="521"/>
        <v>-1.4216931675334095</v>
      </c>
      <c r="BA593">
        <f t="shared" si="502"/>
        <v>1.3687626307810967</v>
      </c>
      <c r="BB593">
        <f t="shared" si="514"/>
        <v>2.7265627964250245</v>
      </c>
      <c r="BC593">
        <f t="shared" si="515"/>
        <v>-1.6576449241683731</v>
      </c>
      <c r="BD593">
        <f t="shared" si="503"/>
        <v>-274.97605819465713</v>
      </c>
      <c r="BF593">
        <f t="shared" si="504"/>
        <v>-65.616064911339308</v>
      </c>
      <c r="BG593">
        <f t="shared" si="505"/>
        <v>-190.94101962325161</v>
      </c>
      <c r="BH593">
        <f t="shared" si="516"/>
        <v>-10.941019623251606</v>
      </c>
      <c r="BI593">
        <f t="shared" si="517"/>
        <v>-10.941019623251606</v>
      </c>
      <c r="BJ593">
        <f t="shared" si="506"/>
        <v>0</v>
      </c>
      <c r="BK593">
        <f t="shared" si="518"/>
        <v>0</v>
      </c>
      <c r="BM593">
        <f t="shared" si="519"/>
        <v>-68.342627707764336</v>
      </c>
      <c r="BN593">
        <f t="shared" si="507"/>
        <v>-95.964961428594464</v>
      </c>
      <c r="BQ593" s="47">
        <f t="shared" si="520"/>
        <v>19.62852359671016</v>
      </c>
    </row>
    <row r="594" spans="1:69">
      <c r="A594">
        <f t="shared" si="522"/>
        <v>1900000</v>
      </c>
      <c r="B594">
        <f t="shared" si="508"/>
        <v>1900</v>
      </c>
      <c r="C594">
        <f t="shared" si="477"/>
        <v>9.6026525410773882</v>
      </c>
      <c r="D594">
        <f t="shared" si="478"/>
        <v>1.4664692855156669</v>
      </c>
      <c r="F594">
        <f t="shared" si="479"/>
        <v>2.6498989023782636E-6</v>
      </c>
      <c r="G594">
        <f t="shared" si="480"/>
        <v>4.9079631378126545E-4</v>
      </c>
      <c r="H594">
        <f t="shared" si="481"/>
        <v>-3.141101853686219</v>
      </c>
      <c r="J594">
        <f t="shared" si="482"/>
        <v>15</v>
      </c>
      <c r="M594">
        <f t="shared" si="483"/>
        <v>7.9261937788735015E-4</v>
      </c>
      <c r="N594">
        <f t="shared" si="484"/>
        <v>-1.5707963250000001</v>
      </c>
      <c r="O594">
        <f t="shared" si="485"/>
        <v>925.79647810416213</v>
      </c>
      <c r="P594">
        <f t="shared" si="486"/>
        <v>1.5697161755758056</v>
      </c>
      <c r="Q594">
        <f t="shared" si="487"/>
        <v>722.52980505633047</v>
      </c>
      <c r="R594">
        <f t="shared" si="488"/>
        <v>1.5694123004028269</v>
      </c>
      <c r="S594">
        <f t="shared" si="489"/>
        <v>9.7708563486257741E-2</v>
      </c>
      <c r="T594">
        <f t="shared" si="490"/>
        <v>-1.4729316215553743</v>
      </c>
      <c r="U594">
        <f t="shared" si="491"/>
        <v>6.2866681252232881E-2</v>
      </c>
      <c r="V594">
        <f t="shared" si="492"/>
        <v>-1.5078881612320048</v>
      </c>
      <c r="X594">
        <f t="shared" si="509"/>
        <v>-58.10998162433809</v>
      </c>
      <c r="Y594">
        <f t="shared" si="493"/>
        <v>-176.87895851051016</v>
      </c>
      <c r="Z594">
        <f t="shared" si="510"/>
        <v>3.1210414894898406</v>
      </c>
      <c r="AC594">
        <v>1</v>
      </c>
      <c r="AD594">
        <f t="shared" si="494"/>
        <v>925.79593802850002</v>
      </c>
      <c r="AE594">
        <f t="shared" si="495"/>
        <v>-0.90628040937905552</v>
      </c>
      <c r="AF594">
        <f t="shared" si="496"/>
        <v>5.708776499874E-2</v>
      </c>
      <c r="AG594">
        <f t="shared" si="473"/>
        <v>62.994348017716518</v>
      </c>
      <c r="AH594">
        <f t="shared" si="474"/>
        <v>-1017.5655591236574</v>
      </c>
      <c r="AJ594">
        <f t="shared" si="497"/>
        <v>22100</v>
      </c>
      <c r="AK594">
        <f t="shared" si="498"/>
        <v>225100.56717734042</v>
      </c>
      <c r="AL594">
        <v>1</v>
      </c>
      <c r="AM594">
        <f t="shared" si="499"/>
        <v>722.52911304302404</v>
      </c>
      <c r="AN594">
        <f t="shared" si="475"/>
        <v>311.58706115934467</v>
      </c>
      <c r="AO594">
        <f t="shared" si="476"/>
        <v>-30.155757803413568</v>
      </c>
      <c r="AQ594">
        <f t="shared" si="500"/>
        <v>6.9252072766476955E-4</v>
      </c>
      <c r="AR594">
        <f t="shared" si="501"/>
        <v>-2.6315787651261244</v>
      </c>
      <c r="AT594">
        <f t="shared" si="470"/>
        <v>-2677.7602926217805</v>
      </c>
      <c r="AU594">
        <f t="shared" si="471"/>
        <v>-166.47927380783869</v>
      </c>
      <c r="AV594">
        <f t="shared" si="511"/>
        <v>-3.0795014813573305</v>
      </c>
      <c r="AW594">
        <f t="shared" si="512"/>
        <v>292.81321864870091</v>
      </c>
      <c r="AX594">
        <f t="shared" si="513"/>
        <v>-1943.4791120644215</v>
      </c>
      <c r="AY594">
        <f t="shared" si="521"/>
        <v>-1.4212566101676403</v>
      </c>
      <c r="BA594">
        <f t="shared" si="502"/>
        <v>1.3650716536743985</v>
      </c>
      <c r="BB594">
        <f t="shared" si="514"/>
        <v>2.7031089686147669</v>
      </c>
      <c r="BC594">
        <f t="shared" si="515"/>
        <v>-1.6582448711896902</v>
      </c>
      <c r="BD594">
        <f t="shared" si="503"/>
        <v>-275.01043262694935</v>
      </c>
      <c r="BF594">
        <f t="shared" si="504"/>
        <v>-65.66265544908714</v>
      </c>
      <c r="BG594">
        <f t="shared" si="505"/>
        <v>-190.95981112791424</v>
      </c>
      <c r="BH594">
        <f t="shared" si="516"/>
        <v>-10.959811127914236</v>
      </c>
      <c r="BI594">
        <f t="shared" si="517"/>
        <v>-10.959811127914236</v>
      </c>
      <c r="BJ594">
        <f t="shared" si="506"/>
        <v>0</v>
      </c>
      <c r="BK594">
        <f t="shared" si="518"/>
        <v>0</v>
      </c>
      <c r="BM594">
        <f t="shared" si="519"/>
        <v>-68.365764417701897</v>
      </c>
      <c r="BN594">
        <f t="shared" si="507"/>
        <v>-95.949378500964897</v>
      </c>
      <c r="BQ594" s="47">
        <f t="shared" si="520"/>
        <v>19.605069768899902</v>
      </c>
    </row>
    <row r="595" spans="1:69">
      <c r="A595">
        <f t="shared" si="522"/>
        <v>1905000</v>
      </c>
      <c r="B595">
        <f t="shared" si="508"/>
        <v>1905</v>
      </c>
      <c r="C595">
        <f t="shared" si="477"/>
        <v>9.6276489880090743</v>
      </c>
      <c r="D595">
        <f t="shared" si="478"/>
        <v>1.466741134929989</v>
      </c>
      <c r="F595">
        <f t="shared" si="479"/>
        <v>2.6360068912010898E-6</v>
      </c>
      <c r="G595">
        <f t="shared" si="480"/>
        <v>4.8950812776341339E-4</v>
      </c>
      <c r="H595">
        <f t="shared" si="481"/>
        <v>-3.1411031418722368</v>
      </c>
      <c r="J595">
        <f t="shared" si="482"/>
        <v>15</v>
      </c>
      <c r="M595">
        <f t="shared" si="483"/>
        <v>7.9053901206612342E-4</v>
      </c>
      <c r="N595">
        <f t="shared" si="484"/>
        <v>-1.5707963250000001</v>
      </c>
      <c r="O595">
        <f t="shared" si="485"/>
        <v>928.23278178671649</v>
      </c>
      <c r="P595">
        <f t="shared" si="486"/>
        <v>1.5697190106161789</v>
      </c>
      <c r="Q595">
        <f t="shared" si="487"/>
        <v>724.43119564276901</v>
      </c>
      <c r="R595">
        <f t="shared" si="488"/>
        <v>1.5694159330134085</v>
      </c>
      <c r="S595">
        <f t="shared" si="489"/>
        <v>9.745454937120078E-2</v>
      </c>
      <c r="T595">
        <f t="shared" si="490"/>
        <v>-1.4731868537587416</v>
      </c>
      <c r="U595">
        <f t="shared" si="491"/>
        <v>6.2702326418058354E-2</v>
      </c>
      <c r="V595">
        <f t="shared" si="492"/>
        <v>-1.5080528409618723</v>
      </c>
      <c r="X595">
        <f t="shared" si="509"/>
        <v>-58.15557653842874</v>
      </c>
      <c r="Y595">
        <f t="shared" si="493"/>
        <v>-176.88714510647628</v>
      </c>
      <c r="Z595">
        <f t="shared" si="510"/>
        <v>3.1128548935237177</v>
      </c>
      <c r="AC595">
        <v>1</v>
      </c>
      <c r="AD595">
        <f t="shared" si="494"/>
        <v>928.23224312857508</v>
      </c>
      <c r="AE595">
        <f t="shared" si="495"/>
        <v>-0.91105658245064458</v>
      </c>
      <c r="AF595">
        <f t="shared" si="496"/>
        <v>5.7237995959263002E-2</v>
      </c>
      <c r="AG595">
        <f t="shared" si="473"/>
        <v>62.665401372759824</v>
      </c>
      <c r="AH595">
        <f t="shared" si="474"/>
        <v>-1014.9154497636342</v>
      </c>
      <c r="AJ595">
        <f t="shared" si="497"/>
        <v>22100</v>
      </c>
      <c r="AK595">
        <f t="shared" si="498"/>
        <v>225692.93709096499</v>
      </c>
      <c r="AL595">
        <v>1</v>
      </c>
      <c r="AM595">
        <f t="shared" si="499"/>
        <v>724.43050544576886</v>
      </c>
      <c r="AN595">
        <f t="shared" si="475"/>
        <v>311.58684235861114</v>
      </c>
      <c r="AO595">
        <f t="shared" si="476"/>
        <v>-30.076609134832296</v>
      </c>
      <c r="AQ595">
        <f t="shared" si="500"/>
        <v>6.8889021921244556E-4</v>
      </c>
      <c r="AR595">
        <f t="shared" si="501"/>
        <v>-2.6246717351994175</v>
      </c>
      <c r="AT595">
        <f t="shared" si="470"/>
        <v>-2663.7767250297261</v>
      </c>
      <c r="AU595">
        <f t="shared" si="471"/>
        <v>-165.17527308467925</v>
      </c>
      <c r="AV595">
        <f t="shared" si="511"/>
        <v>-3.0796640167499127</v>
      </c>
      <c r="AW595">
        <f t="shared" si="512"/>
        <v>292.91266340117926</v>
      </c>
      <c r="AX595">
        <f t="shared" si="513"/>
        <v>-1938.3972272097783</v>
      </c>
      <c r="AY595">
        <f t="shared" si="521"/>
        <v>-1.4208202462050712</v>
      </c>
      <c r="BA595">
        <f t="shared" si="502"/>
        <v>1.3613998264697398</v>
      </c>
      <c r="BB595">
        <f t="shared" si="514"/>
        <v>2.6797138182283682</v>
      </c>
      <c r="BC595">
        <f t="shared" si="515"/>
        <v>-1.6588437705448416</v>
      </c>
      <c r="BD595">
        <f t="shared" si="503"/>
        <v>-275.0447470323918</v>
      </c>
      <c r="BF595">
        <f t="shared" si="504"/>
        <v>-65.709125213830987</v>
      </c>
      <c r="BG595">
        <f t="shared" si="505"/>
        <v>-190.97862351685728</v>
      </c>
      <c r="BH595">
        <f t="shared" si="516"/>
        <v>-10.978623516857283</v>
      </c>
      <c r="BI595">
        <f t="shared" si="517"/>
        <v>-10.978623516857283</v>
      </c>
      <c r="BJ595">
        <f t="shared" si="506"/>
        <v>0</v>
      </c>
      <c r="BK595">
        <f t="shared" si="518"/>
        <v>0</v>
      </c>
      <c r="BM595">
        <f t="shared" si="519"/>
        <v>-68.388839032059366</v>
      </c>
      <c r="BN595">
        <f t="shared" si="507"/>
        <v>-95.933876484465472</v>
      </c>
      <c r="BQ595" s="47">
        <f t="shared" si="520"/>
        <v>19.581674618513503</v>
      </c>
    </row>
    <row r="596" spans="1:69">
      <c r="A596">
        <f t="shared" si="522"/>
        <v>1910000</v>
      </c>
      <c r="B596">
        <f t="shared" si="508"/>
        <v>1910</v>
      </c>
      <c r="C596">
        <f t="shared" si="477"/>
        <v>9.6526461427592345</v>
      </c>
      <c r="D596">
        <f t="shared" si="478"/>
        <v>1.4670115763644196</v>
      </c>
      <c r="F596">
        <f t="shared" si="479"/>
        <v>2.6222238370960836E-6</v>
      </c>
      <c r="G596">
        <f t="shared" si="480"/>
        <v>4.8822668622751537E-4</v>
      </c>
      <c r="H596">
        <f t="shared" si="481"/>
        <v>-3.1411044233137728</v>
      </c>
      <c r="J596">
        <f t="shared" si="482"/>
        <v>15</v>
      </c>
      <c r="M596">
        <f t="shared" si="483"/>
        <v>7.884695382125472E-4</v>
      </c>
      <c r="N596">
        <f t="shared" si="484"/>
        <v>-1.5707963250000001</v>
      </c>
      <c r="O596">
        <f t="shared" si="485"/>
        <v>930.66908547669254</v>
      </c>
      <c r="P596">
        <f t="shared" si="486"/>
        <v>1.569721830813426</v>
      </c>
      <c r="Q596">
        <f t="shared" si="487"/>
        <v>726.33258623871711</v>
      </c>
      <c r="R596">
        <f t="shared" si="488"/>
        <v>1.5694195466051228</v>
      </c>
      <c r="S596">
        <f t="shared" si="489"/>
        <v>9.7201846275676879E-2</v>
      </c>
      <c r="T596">
        <f t="shared" si="490"/>
        <v>-1.4734407623263053</v>
      </c>
      <c r="U596">
        <f t="shared" si="491"/>
        <v>6.2538827018912502E-2</v>
      </c>
      <c r="V596">
        <f t="shared" si="492"/>
        <v>-1.5082166618751778</v>
      </c>
      <c r="X596">
        <f t="shared" si="509"/>
        <v>-58.201052253424344</v>
      </c>
      <c r="Y596">
        <f t="shared" si="493"/>
        <v>-176.89528888215716</v>
      </c>
      <c r="Z596">
        <f t="shared" si="510"/>
        <v>3.1047111178428395</v>
      </c>
      <c r="AC596">
        <v>1</v>
      </c>
      <c r="AD596">
        <f t="shared" si="494"/>
        <v>930.66854822865002</v>
      </c>
      <c r="AE596">
        <f t="shared" si="495"/>
        <v>-0.91584530788247442</v>
      </c>
      <c r="AF596">
        <f t="shared" si="496"/>
        <v>5.7388226919786005E-2</v>
      </c>
      <c r="AG596">
        <f t="shared" si="473"/>
        <v>62.339021223867903</v>
      </c>
      <c r="AH596">
        <f t="shared" si="474"/>
        <v>-1012.2790545012718</v>
      </c>
      <c r="AJ596">
        <f t="shared" si="497"/>
        <v>22100</v>
      </c>
      <c r="AK596">
        <f t="shared" si="498"/>
        <v>226285.30700458956</v>
      </c>
      <c r="AL596">
        <v>1</v>
      </c>
      <c r="AM596">
        <f t="shared" si="499"/>
        <v>726.33189784851368</v>
      </c>
      <c r="AN596">
        <f t="shared" si="475"/>
        <v>311.58662527395359</v>
      </c>
      <c r="AO596">
        <f t="shared" si="476"/>
        <v>-29.99787485482334</v>
      </c>
      <c r="AQ596">
        <f t="shared" si="500"/>
        <v>6.8528818526848322E-4</v>
      </c>
      <c r="AR596">
        <f t="shared" si="501"/>
        <v>-2.6178008677256059</v>
      </c>
      <c r="AT596">
        <f t="shared" si="470"/>
        <v>-2649.9022670591594</v>
      </c>
      <c r="AU596">
        <f t="shared" si="471"/>
        <v>-163.88484672925085</v>
      </c>
      <c r="AV596">
        <f t="shared" si="511"/>
        <v>-3.0798257045528126</v>
      </c>
      <c r="AW596">
        <f t="shared" si="512"/>
        <v>293.01131530445474</v>
      </c>
      <c r="AX596">
        <f t="shared" si="513"/>
        <v>-1933.341800399447</v>
      </c>
      <c r="AY596">
        <f t="shared" si="521"/>
        <v>-1.4203840746196508</v>
      </c>
      <c r="BA596">
        <f t="shared" si="502"/>
        <v>1.3577469989852708</v>
      </c>
      <c r="BB596">
        <f t="shared" si="514"/>
        <v>2.6563770309787778</v>
      </c>
      <c r="BC596">
        <f t="shared" si="515"/>
        <v>-1.6594416299331618</v>
      </c>
      <c r="BD596">
        <f t="shared" si="503"/>
        <v>-275.07900185212401</v>
      </c>
      <c r="BF596">
        <f t="shared" si="504"/>
        <v>-65.755474855347259</v>
      </c>
      <c r="BG596">
        <f t="shared" si="505"/>
        <v>-190.99745660496521</v>
      </c>
      <c r="BH596">
        <f t="shared" si="516"/>
        <v>-10.997456604965208</v>
      </c>
      <c r="BI596">
        <f t="shared" si="517"/>
        <v>-10.997456604965208</v>
      </c>
      <c r="BJ596">
        <f t="shared" si="506"/>
        <v>0</v>
      </c>
      <c r="BK596">
        <f t="shared" si="518"/>
        <v>0</v>
      </c>
      <c r="BM596">
        <f t="shared" si="519"/>
        <v>-68.411851886326033</v>
      </c>
      <c r="BN596">
        <f t="shared" si="507"/>
        <v>-95.918454752841228</v>
      </c>
      <c r="BQ596" s="47">
        <f t="shared" si="520"/>
        <v>19.558337831263913</v>
      </c>
    </row>
    <row r="597" spans="1:69">
      <c r="A597">
        <f t="shared" si="522"/>
        <v>1915000</v>
      </c>
      <c r="B597">
        <f t="shared" si="508"/>
        <v>1915</v>
      </c>
      <c r="C597">
        <f t="shared" si="477"/>
        <v>9.6776439998430277</v>
      </c>
      <c r="D597">
        <f t="shared" si="478"/>
        <v>1.4672806206899007</v>
      </c>
      <c r="F597">
        <f t="shared" si="479"/>
        <v>2.6085486036124094E-6</v>
      </c>
      <c r="G597">
        <f t="shared" si="480"/>
        <v>4.8695193634418465E-4</v>
      </c>
      <c r="H597">
        <f t="shared" si="481"/>
        <v>-3.1411056980636558</v>
      </c>
      <c r="J597">
        <f t="shared" si="482"/>
        <v>15</v>
      </c>
      <c r="M597">
        <f t="shared" si="483"/>
        <v>7.864108710109478E-4</v>
      </c>
      <c r="N597">
        <f t="shared" si="484"/>
        <v>-1.5707963250000001</v>
      </c>
      <c r="O597">
        <f t="shared" si="485"/>
        <v>933.10538917403187</v>
      </c>
      <c r="P597">
        <f t="shared" si="486"/>
        <v>1.5697246362838115</v>
      </c>
      <c r="Q597">
        <f t="shared" si="487"/>
        <v>728.23397684410008</v>
      </c>
      <c r="R597">
        <f t="shared" si="488"/>
        <v>1.5694231413269419</v>
      </c>
      <c r="S597">
        <f t="shared" si="489"/>
        <v>9.6950444124876092E-2</v>
      </c>
      <c r="T597">
        <f t="shared" si="490"/>
        <v>-1.4736933574955253</v>
      </c>
      <c r="U597">
        <f t="shared" si="491"/>
        <v>6.237617640665765E-2</v>
      </c>
      <c r="V597">
        <f t="shared" si="492"/>
        <v>-1.508379630663909</v>
      </c>
      <c r="X597">
        <f t="shared" si="509"/>
        <v>-58.246409390108496</v>
      </c>
      <c r="Y597">
        <f t="shared" si="493"/>
        <v>-176.9033901725096</v>
      </c>
      <c r="Z597">
        <f t="shared" si="510"/>
        <v>3.096609827490397</v>
      </c>
      <c r="AC597">
        <v>1</v>
      </c>
      <c r="AD597">
        <f t="shared" si="494"/>
        <v>933.10485332872508</v>
      </c>
      <c r="AE597">
        <f t="shared" si="495"/>
        <v>-0.92064658567454494</v>
      </c>
      <c r="AF597">
        <f t="shared" si="496"/>
        <v>5.7538457880309007E-2</v>
      </c>
      <c r="AG597">
        <f t="shared" si="473"/>
        <v>62.01518097606364</v>
      </c>
      <c r="AH597">
        <f t="shared" si="474"/>
        <v>-1009.6562675775696</v>
      </c>
      <c r="AJ597">
        <f t="shared" si="497"/>
        <v>22100</v>
      </c>
      <c r="AK597">
        <f t="shared" si="498"/>
        <v>226877.67691821413</v>
      </c>
      <c r="AL597">
        <v>1</v>
      </c>
      <c r="AM597">
        <f t="shared" si="499"/>
        <v>728.23329025125838</v>
      </c>
      <c r="AN597">
        <f t="shared" si="475"/>
        <v>311.586409887473</v>
      </c>
      <c r="AO597">
        <f t="shared" si="476"/>
        <v>-29.919551717547805</v>
      </c>
      <c r="AQ597">
        <f t="shared" si="500"/>
        <v>6.8171432883758643E-4</v>
      </c>
      <c r="AR597">
        <f t="shared" si="501"/>
        <v>-2.610965879447956</v>
      </c>
      <c r="AT597">
        <f t="shared" si="470"/>
        <v>-2636.1357879783327</v>
      </c>
      <c r="AU597">
        <f t="shared" si="471"/>
        <v>-162.60781868110044</v>
      </c>
      <c r="AV597">
        <f t="shared" si="511"/>
        <v>-3.0799865513700793</v>
      </c>
      <c r="AW597">
        <f t="shared" si="512"/>
        <v>293.10918279476164</v>
      </c>
      <c r="AX597">
        <f t="shared" si="513"/>
        <v>-1928.3126259265823</v>
      </c>
      <c r="AY597">
        <f t="shared" si="521"/>
        <v>-1.4199480943980627</v>
      </c>
      <c r="BA597">
        <f t="shared" si="502"/>
        <v>1.3541130226068556</v>
      </c>
      <c r="BB597">
        <f t="shared" si="514"/>
        <v>2.6330982950468922</v>
      </c>
      <c r="BC597">
        <f t="shared" si="515"/>
        <v>-1.6600384569720166</v>
      </c>
      <c r="BD597">
        <f t="shared" si="503"/>
        <v>-275.11319752258873</v>
      </c>
      <c r="BF597">
        <f t="shared" si="504"/>
        <v>-65.801705018211223</v>
      </c>
      <c r="BG597">
        <f t="shared" si="505"/>
        <v>-191.01631020884864</v>
      </c>
      <c r="BH597">
        <f t="shared" si="516"/>
        <v>-11.016310208848637</v>
      </c>
      <c r="BI597">
        <f t="shared" si="517"/>
        <v>-11.016310208848637</v>
      </c>
      <c r="BJ597">
        <f t="shared" si="506"/>
        <v>0</v>
      </c>
      <c r="BK597">
        <f t="shared" si="518"/>
        <v>0</v>
      </c>
      <c r="BM597">
        <f t="shared" si="519"/>
        <v>-68.434803313258115</v>
      </c>
      <c r="BN597">
        <f t="shared" si="507"/>
        <v>-95.903112686259917</v>
      </c>
      <c r="BQ597" s="47">
        <f t="shared" si="520"/>
        <v>19.535059095332031</v>
      </c>
    </row>
    <row r="598" spans="1:69">
      <c r="A598">
        <f t="shared" si="522"/>
        <v>1920000</v>
      </c>
      <c r="B598">
        <f t="shared" si="508"/>
        <v>1920</v>
      </c>
      <c r="C598">
        <f t="shared" si="477"/>
        <v>9.7026425538319838</v>
      </c>
      <c r="D598">
        <f t="shared" si="478"/>
        <v>1.4675482786661538</v>
      </c>
      <c r="F598">
        <f t="shared" si="479"/>
        <v>2.5949800690775524E-6</v>
      </c>
      <c r="G598">
        <f t="shared" si="480"/>
        <v>4.8568382583434735E-4</v>
      </c>
      <c r="H598">
        <f t="shared" si="481"/>
        <v>-3.1411069661741657</v>
      </c>
      <c r="J598">
        <f t="shared" si="482"/>
        <v>15</v>
      </c>
      <c r="M598">
        <f t="shared" si="483"/>
        <v>7.8436292603435687E-4</v>
      </c>
      <c r="N598">
        <f t="shared" si="484"/>
        <v>-1.5707963250000001</v>
      </c>
      <c r="O598">
        <f t="shared" si="485"/>
        <v>935.54169287867728</v>
      </c>
      <c r="P598">
        <f t="shared" si="486"/>
        <v>1.5697274271423889</v>
      </c>
      <c r="Q598">
        <f t="shared" si="487"/>
        <v>730.13536745884448</v>
      </c>
      <c r="R598">
        <f t="shared" si="488"/>
        <v>1.569426717326287</v>
      </c>
      <c r="S598">
        <f t="shared" si="489"/>
        <v>9.6700332946450113E-2</v>
      </c>
      <c r="T598">
        <f t="shared" si="490"/>
        <v>-1.4739446493988941</v>
      </c>
      <c r="U598">
        <f t="shared" si="491"/>
        <v>6.2214368001731891E-2</v>
      </c>
      <c r="V598">
        <f t="shared" si="492"/>
        <v>-1.5085417539507973</v>
      </c>
      <c r="X598">
        <f t="shared" si="509"/>
        <v>-58.29164856443451</v>
      </c>
      <c r="Y598">
        <f t="shared" si="493"/>
        <v>-176.91144930900728</v>
      </c>
      <c r="Z598">
        <f t="shared" si="510"/>
        <v>3.0885506909927187</v>
      </c>
      <c r="AC598">
        <v>1</v>
      </c>
      <c r="AD598">
        <f t="shared" si="494"/>
        <v>935.54115842880014</v>
      </c>
      <c r="AE598">
        <f t="shared" si="495"/>
        <v>-0.92546041582685612</v>
      </c>
      <c r="AF598">
        <f t="shared" si="496"/>
        <v>5.768868884083201E-2</v>
      </c>
      <c r="AG598">
        <f t="shared" si="473"/>
        <v>61.693854377515088</v>
      </c>
      <c r="AH598">
        <f t="shared" si="474"/>
        <v>-1007.0469843137927</v>
      </c>
      <c r="AJ598">
        <f t="shared" si="497"/>
        <v>22100</v>
      </c>
      <c r="AK598">
        <f t="shared" si="498"/>
        <v>227470.04683183873</v>
      </c>
      <c r="AL598">
        <v>1</v>
      </c>
      <c r="AM598">
        <f t="shared" si="499"/>
        <v>730.1346826540032</v>
      </c>
      <c r="AN598">
        <f t="shared" si="475"/>
        <v>311.58619618150306</v>
      </c>
      <c r="AO598">
        <f t="shared" si="476"/>
        <v>-29.84163651097726</v>
      </c>
      <c r="AQ598">
        <f t="shared" si="500"/>
        <v>6.7816835678654263E-4</v>
      </c>
      <c r="AR598">
        <f t="shared" si="501"/>
        <v>-2.6041664900603236</v>
      </c>
      <c r="AT598">
        <f t="shared" ref="AT598:AT626" si="523">-AR598*AH598+AG598*AQ598</f>
        <v>-2622.4761716464363</v>
      </c>
      <c r="AU598">
        <f t="shared" ref="AU598:AU626" si="524">AQ598*AH598+AG598*AR598</f>
        <v>-161.34401561114512</v>
      </c>
      <c r="AV598">
        <f t="shared" si="511"/>
        <v>-3.0801465637374217</v>
      </c>
      <c r="AW598">
        <f t="shared" si="512"/>
        <v>293.2062741960541</v>
      </c>
      <c r="AX598">
        <f t="shared" si="513"/>
        <v>-1923.3095002073514</v>
      </c>
      <c r="AY598">
        <f t="shared" si="521"/>
        <v>-1.4195123045395457</v>
      </c>
      <c r="BA598">
        <f t="shared" si="502"/>
        <v>1.3504977502676754</v>
      </c>
      <c r="BB598">
        <f t="shared" si="514"/>
        <v>2.6098773010558709</v>
      </c>
      <c r="BC598">
        <f t="shared" si="515"/>
        <v>-1.660634259197876</v>
      </c>
      <c r="BD598">
        <f t="shared" si="503"/>
        <v>-275.14733447559399</v>
      </c>
      <c r="BF598">
        <f t="shared" si="504"/>
        <v>-65.847816341852607</v>
      </c>
      <c r="BG598">
        <f t="shared" si="505"/>
        <v>-191.03518414682429</v>
      </c>
      <c r="BH598">
        <f t="shared" si="516"/>
        <v>-11.035184146824292</v>
      </c>
      <c r="BI598">
        <f t="shared" si="517"/>
        <v>-11.035184146824292</v>
      </c>
      <c r="BJ598">
        <f t="shared" si="506"/>
        <v>0</v>
      </c>
      <c r="BK598">
        <f t="shared" si="518"/>
        <v>0</v>
      </c>
      <c r="BM598">
        <f t="shared" si="519"/>
        <v>-68.457693642908467</v>
      </c>
      <c r="BN598">
        <f t="shared" si="507"/>
        <v>-95.887849671230327</v>
      </c>
      <c r="BQ598" s="47">
        <f t="shared" si="520"/>
        <v>19.511838101341009</v>
      </c>
    </row>
    <row r="599" spans="1:69">
      <c r="A599">
        <f t="shared" ref="A599:A614" si="525">A598+5000</f>
        <v>1925000</v>
      </c>
      <c r="B599">
        <f t="shared" si="508"/>
        <v>1925</v>
      </c>
      <c r="C599">
        <f t="shared" si="477"/>
        <v>9.7276417993532824</v>
      </c>
      <c r="D599">
        <f t="shared" si="478"/>
        <v>1.4678145609430926</v>
      </c>
      <c r="F599">
        <f t="shared" si="479"/>
        <v>2.5815171263673026E-6</v>
      </c>
      <c r="G599">
        <f t="shared" si="480"/>
        <v>4.8442230296209571E-4</v>
      </c>
      <c r="H599">
        <f t="shared" si="481"/>
        <v>-3.1411082276970381</v>
      </c>
      <c r="J599">
        <f t="shared" si="482"/>
        <v>15</v>
      </c>
      <c r="M599">
        <f t="shared" si="483"/>
        <v>7.8232561973296877E-4</v>
      </c>
      <c r="N599">
        <f t="shared" si="484"/>
        <v>-1.5707963250000001</v>
      </c>
      <c r="O599">
        <f t="shared" si="485"/>
        <v>937.97799659057148</v>
      </c>
      <c r="P599">
        <f t="shared" si="486"/>
        <v>1.5697302035030163</v>
      </c>
      <c r="Q599">
        <f t="shared" si="487"/>
        <v>732.0367580828771</v>
      </c>
      <c r="R599">
        <f t="shared" si="488"/>
        <v>1.5694302747490467</v>
      </c>
      <c r="S599">
        <f t="shared" si="489"/>
        <v>9.645150286921976E-2</v>
      </c>
      <c r="T599">
        <f t="shared" si="490"/>
        <v>-1.4741946480652741</v>
      </c>
      <c r="U599">
        <f t="shared" si="491"/>
        <v>6.2053395292269026E-2</v>
      </c>
      <c r="V599">
        <f t="shared" si="492"/>
        <v>-1.5087030382902111</v>
      </c>
      <c r="X599">
        <f t="shared" si="509"/>
        <v>-58.336770387575356</v>
      </c>
      <c r="Y599">
        <f t="shared" si="493"/>
        <v>-176.91946661968609</v>
      </c>
      <c r="Z599">
        <f t="shared" si="510"/>
        <v>3.0805333803139092</v>
      </c>
      <c r="AC599">
        <v>1</v>
      </c>
      <c r="AD599">
        <f t="shared" si="494"/>
        <v>937.97746352887509</v>
      </c>
      <c r="AE599">
        <f t="shared" si="495"/>
        <v>-0.93028679833940808</v>
      </c>
      <c r="AF599">
        <f t="shared" si="496"/>
        <v>5.7838919801355013E-2</v>
      </c>
      <c r="AG599">
        <f t="shared" si="473"/>
        <v>61.375015514243188</v>
      </c>
      <c r="AH599">
        <f t="shared" si="474"/>
        <v>-1004.4511010977724</v>
      </c>
      <c r="AJ599">
        <f t="shared" si="497"/>
        <v>22100</v>
      </c>
      <c r="AK599">
        <f t="shared" si="498"/>
        <v>228062.4167454633</v>
      </c>
      <c r="AL599">
        <v>1</v>
      </c>
      <c r="AM599">
        <f t="shared" si="499"/>
        <v>732.03607505674802</v>
      </c>
      <c r="AN599">
        <f t="shared" si="475"/>
        <v>311.58598413860665</v>
      </c>
      <c r="AO599">
        <f t="shared" si="476"/>
        <v>-29.764126056454717</v>
      </c>
      <c r="AQ599">
        <f t="shared" si="500"/>
        <v>6.7464997978411336E-4</v>
      </c>
      <c r="AR599">
        <f t="shared" si="501"/>
        <v>-2.5974024221688365</v>
      </c>
      <c r="AT599">
        <f t="shared" si="523"/>
        <v>-2608.9223162885328</v>
      </c>
      <c r="AU599">
        <f t="shared" si="524"/>
        <v>-160.09326687239493</v>
      </c>
      <c r="AV599">
        <f t="shared" si="511"/>
        <v>-3.0803057481230889</v>
      </c>
      <c r="AW599">
        <f t="shared" si="512"/>
        <v>293.30259772180045</v>
      </c>
      <c r="AX599">
        <f t="shared" si="513"/>
        <v>-1918.3322217536693</v>
      </c>
      <c r="AY599">
        <f t="shared" si="521"/>
        <v>-1.4190767040557175</v>
      </c>
      <c r="BA599">
        <f t="shared" si="502"/>
        <v>1.3469010364281488</v>
      </c>
      <c r="BB599">
        <f t="shared" si="514"/>
        <v>2.5867137420457667</v>
      </c>
      <c r="BC599">
        <f t="shared" si="515"/>
        <v>-1.6612290440673714</v>
      </c>
      <c r="BD599">
        <f t="shared" si="503"/>
        <v>-275.18141313837327</v>
      </c>
      <c r="BF599">
        <f t="shared" si="504"/>
        <v>-65.893809460610242</v>
      </c>
      <c r="BG599">
        <f t="shared" si="505"/>
        <v>-191.05407823889485</v>
      </c>
      <c r="BH599">
        <f t="shared" si="516"/>
        <v>-11.054078238894846</v>
      </c>
      <c r="BI599">
        <f t="shared" si="517"/>
        <v>-11.054078238894846</v>
      </c>
      <c r="BJ599">
        <f t="shared" si="506"/>
        <v>0</v>
      </c>
      <c r="BK599">
        <f t="shared" si="518"/>
        <v>0</v>
      </c>
      <c r="BM599">
        <f t="shared" si="519"/>
        <v>-68.480523202656002</v>
      </c>
      <c r="BN599">
        <f t="shared" si="507"/>
        <v>-95.872665100521601</v>
      </c>
      <c r="BQ599" s="47">
        <f t="shared" si="520"/>
        <v>19.488674542330905</v>
      </c>
    </row>
    <row r="600" spans="1:69">
      <c r="A600">
        <f t="shared" si="525"/>
        <v>1930000</v>
      </c>
      <c r="B600">
        <f t="shared" si="508"/>
        <v>1930</v>
      </c>
      <c r="C600">
        <f t="shared" si="477"/>
        <v>9.7526417310890476</v>
      </c>
      <c r="D600">
        <f t="shared" si="478"/>
        <v>1.4680794780622162</v>
      </c>
      <c r="F600">
        <f t="shared" si="479"/>
        <v>2.5681586826799079E-6</v>
      </c>
      <c r="G600">
        <f t="shared" si="480"/>
        <v>4.8316731652765267E-4</v>
      </c>
      <c r="H600">
        <f t="shared" si="481"/>
        <v>-3.1411094826834725</v>
      </c>
      <c r="J600">
        <f t="shared" si="482"/>
        <v>15</v>
      </c>
      <c r="M600">
        <f t="shared" si="483"/>
        <v>7.8029886942277977E-4</v>
      </c>
      <c r="N600">
        <f t="shared" si="484"/>
        <v>-1.5707963250000001</v>
      </c>
      <c r="O600">
        <f t="shared" si="485"/>
        <v>940.41430030965853</v>
      </c>
      <c r="P600">
        <f t="shared" si="486"/>
        <v>1.5697329654783716</v>
      </c>
      <c r="Q600">
        <f t="shared" si="487"/>
        <v>733.93814871612574</v>
      </c>
      <c r="R600">
        <f t="shared" si="488"/>
        <v>1.5694338137395984</v>
      </c>
      <c r="S600">
        <f t="shared" si="489"/>
        <v>9.6203944121901391E-2</v>
      </c>
      <c r="T600">
        <f t="shared" si="490"/>
        <v>-1.4744433634212153</v>
      </c>
      <c r="U600">
        <f t="shared" si="491"/>
        <v>6.1893251833231702E-2</v>
      </c>
      <c r="V600">
        <f t="shared" si="492"/>
        <v>-1.5088634901690339</v>
      </c>
      <c r="X600">
        <f t="shared" si="509"/>
        <v>-58.381775465972872</v>
      </c>
      <c r="Y600">
        <f t="shared" si="493"/>
        <v>-176.92744242918835</v>
      </c>
      <c r="Z600">
        <f t="shared" si="510"/>
        <v>3.0725575708116537</v>
      </c>
      <c r="AC600">
        <v>1</v>
      </c>
      <c r="AD600">
        <f t="shared" si="494"/>
        <v>940.41376862895015</v>
      </c>
      <c r="AE600">
        <f t="shared" si="495"/>
        <v>-0.93512573321220072</v>
      </c>
      <c r="AF600">
        <f t="shared" si="496"/>
        <v>5.7989150761878015E-2</v>
      </c>
      <c r="AG600">
        <f t="shared" si="473"/>
        <v>61.058638804924307</v>
      </c>
      <c r="AH600">
        <f t="shared" si="474"/>
        <v>-1001.8685153704129</v>
      </c>
      <c r="AJ600">
        <f t="shared" si="497"/>
        <v>22100</v>
      </c>
      <c r="AK600">
        <f t="shared" si="498"/>
        <v>228654.78665908787</v>
      </c>
      <c r="AL600">
        <v>1</v>
      </c>
      <c r="AM600">
        <f t="shared" si="499"/>
        <v>733.93746745949284</v>
      </c>
      <c r="AN600">
        <f t="shared" si="475"/>
        <v>311.58577374157227</v>
      </c>
      <c r="AO600">
        <f t="shared" si="476"/>
        <v>-29.687017208262311</v>
      </c>
      <c r="AQ600">
        <f t="shared" si="500"/>
        <v>6.7115891224201244E-4</v>
      </c>
      <c r="AR600">
        <f t="shared" si="501"/>
        <v>-2.5906734012541679</v>
      </c>
      <c r="AT600">
        <f t="shared" si="523"/>
        <v>-2595.4731342745281</v>
      </c>
      <c r="AU600">
        <f t="shared" si="524"/>
        <v>-158.85540445168849</v>
      </c>
      <c r="AV600">
        <f t="shared" si="511"/>
        <v>-3.0804641109287383</v>
      </c>
      <c r="AW600">
        <f t="shared" si="512"/>
        <v>293.39816147674361</v>
      </c>
      <c r="AX600">
        <f t="shared" si="513"/>
        <v>-1913.3805911463478</v>
      </c>
      <c r="AY600">
        <f t="shared" si="521"/>
        <v>-1.4186412919704003</v>
      </c>
      <c r="BA600">
        <f t="shared" si="502"/>
        <v>1.3433227370561678</v>
      </c>
      <c r="BB600">
        <f t="shared" si="514"/>
        <v>2.5636073134485162</v>
      </c>
      <c r="BC600">
        <f t="shared" si="515"/>
        <v>-1.6618228189583379</v>
      </c>
      <c r="BD600">
        <f t="shared" si="503"/>
        <v>-275.21543393364533</v>
      </c>
      <c r="BF600">
        <f t="shared" si="504"/>
        <v>-65.939685003786195</v>
      </c>
      <c r="BG600">
        <f t="shared" si="505"/>
        <v>-191.07299230672919</v>
      </c>
      <c r="BH600">
        <f t="shared" si="516"/>
        <v>-11.072992306729191</v>
      </c>
      <c r="BI600">
        <f t="shared" si="517"/>
        <v>-11.072992306729191</v>
      </c>
      <c r="BJ600">
        <f t="shared" si="506"/>
        <v>0</v>
      </c>
      <c r="BK600">
        <f t="shared" si="518"/>
        <v>0</v>
      </c>
      <c r="BM600">
        <f t="shared" si="519"/>
        <v>-68.503292317234724</v>
      </c>
      <c r="BN600">
        <f t="shared" si="507"/>
        <v>-95.857558373083819</v>
      </c>
      <c r="BQ600" s="47">
        <f t="shared" si="520"/>
        <v>19.465568113733653</v>
      </c>
    </row>
    <row r="601" spans="1:69">
      <c r="A601">
        <f t="shared" si="525"/>
        <v>1935000</v>
      </c>
      <c r="B601">
        <f t="shared" si="508"/>
        <v>1935</v>
      </c>
      <c r="C601">
        <f t="shared" si="477"/>
        <v>9.7776423437756392</v>
      </c>
      <c r="D601">
        <f t="shared" si="478"/>
        <v>1.4683430404579798</v>
      </c>
      <c r="F601">
        <f t="shared" si="479"/>
        <v>2.5549036593143082E-6</v>
      </c>
      <c r="G601">
        <f t="shared" si="480"/>
        <v>4.8191881586044405E-4</v>
      </c>
      <c r="H601">
        <f t="shared" si="481"/>
        <v>-3.1411107311841397</v>
      </c>
      <c r="J601">
        <f t="shared" si="482"/>
        <v>15</v>
      </c>
      <c r="M601">
        <f t="shared" si="483"/>
        <v>7.7828259327440057E-4</v>
      </c>
      <c r="N601">
        <f t="shared" si="484"/>
        <v>-1.5707963250000001</v>
      </c>
      <c r="O601">
        <f t="shared" si="485"/>
        <v>942.85060403588227</v>
      </c>
      <c r="P601">
        <f t="shared" si="486"/>
        <v>1.5697357131799685</v>
      </c>
      <c r="Q601">
        <f t="shared" si="487"/>
        <v>735.839539358519</v>
      </c>
      <c r="R601">
        <f t="shared" si="488"/>
        <v>1.5694373344408272</v>
      </c>
      <c r="S601">
        <f t="shared" si="489"/>
        <v>9.5957647031852902E-2</v>
      </c>
      <c r="T601">
        <f t="shared" si="490"/>
        <v>-1.4746908052922523</v>
      </c>
      <c r="U601">
        <f t="shared" si="491"/>
        <v>6.1733931245558107E-2</v>
      </c>
      <c r="V601">
        <f t="shared" si="492"/>
        <v>-1.5090231160075296</v>
      </c>
      <c r="X601">
        <f t="shared" si="509"/>
        <v>-58.42666440138651</v>
      </c>
      <c r="Y601">
        <f t="shared" si="493"/>
        <v>-176.93537705880686</v>
      </c>
      <c r="Z601">
        <f t="shared" si="510"/>
        <v>3.0646229411931358</v>
      </c>
      <c r="AC601">
        <v>1</v>
      </c>
      <c r="AD601">
        <f t="shared" si="494"/>
        <v>942.85007372902498</v>
      </c>
      <c r="AE601">
        <f t="shared" si="495"/>
        <v>-0.93997722044523402</v>
      </c>
      <c r="AF601">
        <f t="shared" si="496"/>
        <v>5.8139381722401004E-2</v>
      </c>
      <c r="AG601">
        <f t="shared" si="473"/>
        <v>60.744698995785534</v>
      </c>
      <c r="AH601">
        <f t="shared" si="474"/>
        <v>-999.29912561240008</v>
      </c>
      <c r="AJ601">
        <f t="shared" si="497"/>
        <v>22100</v>
      </c>
      <c r="AK601">
        <f t="shared" si="498"/>
        <v>229247.1565727125</v>
      </c>
      <c r="AL601">
        <v>1</v>
      </c>
      <c r="AM601">
        <f t="shared" si="499"/>
        <v>735.83885986223765</v>
      </c>
      <c r="AN601">
        <f t="shared" si="475"/>
        <v>311.58556497341067</v>
      </c>
      <c r="AO601">
        <f t="shared" si="476"/>
        <v>-29.610306853195784</v>
      </c>
      <c r="AQ601">
        <f t="shared" si="500"/>
        <v>6.6769487225695084E-4</v>
      </c>
      <c r="AR601">
        <f t="shared" si="501"/>
        <v>-2.5839791556343998</v>
      </c>
      <c r="AT601">
        <f t="shared" si="523"/>
        <v>-2582.1275519020874</v>
      </c>
      <c r="AU601">
        <f t="shared" si="524"/>
        <v>-157.63026292241796</v>
      </c>
      <c r="AV601">
        <f t="shared" si="511"/>
        <v>-3.0806216584902884</v>
      </c>
      <c r="AW601">
        <f t="shared" si="512"/>
        <v>293.49297345862902</v>
      </c>
      <c r="AX601">
        <f t="shared" si="513"/>
        <v>-1908.4544110086588</v>
      </c>
      <c r="AY601">
        <f t="shared" si="521"/>
        <v>-1.4182060673194503</v>
      </c>
      <c r="BA601">
        <f t="shared" si="502"/>
        <v>1.339762709607631</v>
      </c>
      <c r="BB601">
        <f t="shared" si="514"/>
        <v>2.5405577130632029</v>
      </c>
      <c r="BC601">
        <f t="shared" si="515"/>
        <v>-1.662415591170838</v>
      </c>
      <c r="BD601">
        <f t="shared" si="503"/>
        <v>-275.24939727967302</v>
      </c>
      <c r="BF601">
        <f t="shared" si="504"/>
        <v>-65.98544359569901</v>
      </c>
      <c r="BG601">
        <f t="shared" si="505"/>
        <v>-191.09192617364303</v>
      </c>
      <c r="BH601">
        <f t="shared" si="516"/>
        <v>-11.091926173643031</v>
      </c>
      <c r="BI601">
        <f t="shared" si="517"/>
        <v>-11.091926173643031</v>
      </c>
      <c r="BJ601">
        <f t="shared" si="506"/>
        <v>0</v>
      </c>
      <c r="BK601">
        <f t="shared" si="518"/>
        <v>0</v>
      </c>
      <c r="BM601">
        <f t="shared" si="519"/>
        <v>-68.526001308762204</v>
      </c>
      <c r="BN601">
        <f t="shared" si="507"/>
        <v>-95.842528893969984</v>
      </c>
      <c r="BQ601" s="47">
        <f t="shared" si="520"/>
        <v>19.44251851334834</v>
      </c>
    </row>
    <row r="602" spans="1:69">
      <c r="A602">
        <f t="shared" si="525"/>
        <v>1940000</v>
      </c>
      <c r="B602">
        <f t="shared" si="508"/>
        <v>1940</v>
      </c>
      <c r="C602">
        <f t="shared" si="477"/>
        <v>9.8026436322029813</v>
      </c>
      <c r="D602">
        <f t="shared" si="478"/>
        <v>1.4686052584591445</v>
      </c>
      <c r="F602">
        <f t="shared" si="479"/>
        <v>2.5417509914523615E-6</v>
      </c>
      <c r="G602">
        <f t="shared" si="480"/>
        <v>4.8067675081227951E-4</v>
      </c>
      <c r="H602">
        <f t="shared" si="481"/>
        <v>-3.1411119732491879</v>
      </c>
      <c r="J602">
        <f t="shared" si="482"/>
        <v>15</v>
      </c>
      <c r="M602">
        <f t="shared" si="483"/>
        <v>7.7627671030204386E-4</v>
      </c>
      <c r="N602">
        <f t="shared" si="484"/>
        <v>-1.5707963250000001</v>
      </c>
      <c r="O602">
        <f t="shared" si="485"/>
        <v>945.28690776918779</v>
      </c>
      <c r="P602">
        <f t="shared" si="486"/>
        <v>1.5697384467181712</v>
      </c>
      <c r="Q602">
        <f t="shared" si="487"/>
        <v>737.74093000998641</v>
      </c>
      <c r="R602">
        <f t="shared" si="488"/>
        <v>1.569440836994145</v>
      </c>
      <c r="S602">
        <f t="shared" si="489"/>
        <v>9.5712602023838106E-2</v>
      </c>
      <c r="T602">
        <f t="shared" si="490"/>
        <v>-1.4749369834041823</v>
      </c>
      <c r="U602">
        <f t="shared" si="491"/>
        <v>6.1575427215321568E-2</v>
      </c>
      <c r="V602">
        <f t="shared" si="492"/>
        <v>-1.5091819221601943</v>
      </c>
      <c r="X602">
        <f t="shared" si="509"/>
        <v>-58.471437790941209</v>
      </c>
      <c r="Y602">
        <f t="shared" si="493"/>
        <v>-176.94327082652762</v>
      </c>
      <c r="Z602">
        <f t="shared" si="510"/>
        <v>3.0567291734723767</v>
      </c>
      <c r="AC602">
        <v>1</v>
      </c>
      <c r="AD602">
        <f t="shared" si="494"/>
        <v>945.28637882910004</v>
      </c>
      <c r="AE602">
        <f t="shared" si="495"/>
        <v>-0.94484126003850799</v>
      </c>
      <c r="AF602">
        <f t="shared" si="496"/>
        <v>5.8289612682924007E-2</v>
      </c>
      <c r="AG602">
        <f t="shared" si="473"/>
        <v>60.433171155591275</v>
      </c>
      <c r="AH602">
        <f t="shared" si="474"/>
        <v>-996.74283133111396</v>
      </c>
      <c r="AJ602">
        <f t="shared" si="497"/>
        <v>22100</v>
      </c>
      <c r="AK602">
        <f t="shared" si="498"/>
        <v>229839.52648633704</v>
      </c>
      <c r="AL602">
        <v>1</v>
      </c>
      <c r="AM602">
        <f t="shared" si="499"/>
        <v>737.74025226498247</v>
      </c>
      <c r="AN602">
        <f t="shared" si="475"/>
        <v>311.58535781735077</v>
      </c>
      <c r="AO602">
        <f t="shared" si="476"/>
        <v>-29.533991910145442</v>
      </c>
      <c r="AQ602">
        <f t="shared" si="500"/>
        <v>6.6425758155372642E-4</v>
      </c>
      <c r="AR602">
        <f t="shared" si="501"/>
        <v>-2.5773194164284585</v>
      </c>
      <c r="AT602">
        <f t="shared" si="523"/>
        <v>-2568.8845091834387</v>
      </c>
      <c r="AU602">
        <f t="shared" si="524"/>
        <v>-156.41767939822066</v>
      </c>
      <c r="AV602">
        <f t="shared" si="511"/>
        <v>-3.0807783970787601</v>
      </c>
      <c r="AW602">
        <f t="shared" si="512"/>
        <v>293.58704155989903</v>
      </c>
      <c r="AX602">
        <f t="shared" si="513"/>
        <v>-1903.5534859802974</v>
      </c>
      <c r="AY602">
        <f t="shared" si="521"/>
        <v>-1.4177710291505905</v>
      </c>
      <c r="BA602">
        <f t="shared" si="502"/>
        <v>1.3362208130072919</v>
      </c>
      <c r="BB602">
        <f t="shared" si="514"/>
        <v>2.5175646410317185</v>
      </c>
      <c r="BC602">
        <f t="shared" si="515"/>
        <v>-1.6630073679281696</v>
      </c>
      <c r="BD602">
        <f t="shared" si="503"/>
        <v>-275.28330359032083</v>
      </c>
      <c r="BF602">
        <f t="shared" si="504"/>
        <v>-66.031085855736279</v>
      </c>
      <c r="BG602">
        <f t="shared" si="505"/>
        <v>-191.11087966457978</v>
      </c>
      <c r="BH602">
        <f t="shared" si="516"/>
        <v>-11.110879664579784</v>
      </c>
      <c r="BI602">
        <f t="shared" si="517"/>
        <v>-11.110879664579784</v>
      </c>
      <c r="BJ602">
        <f t="shared" si="506"/>
        <v>0</v>
      </c>
      <c r="BK602">
        <f t="shared" si="518"/>
        <v>0</v>
      </c>
      <c r="BM602">
        <f t="shared" si="519"/>
        <v>-68.548650496768005</v>
      </c>
      <c r="BN602">
        <f t="shared" si="507"/>
        <v>-95.827576074258971</v>
      </c>
      <c r="BQ602" s="47">
        <f t="shared" si="520"/>
        <v>19.419525441316853</v>
      </c>
    </row>
    <row r="603" spans="1:69">
      <c r="A603">
        <f t="shared" si="525"/>
        <v>1945000</v>
      </c>
      <c r="B603">
        <f t="shared" si="508"/>
        <v>1945</v>
      </c>
      <c r="C603">
        <f t="shared" si="477"/>
        <v>9.8276455912138694</v>
      </c>
      <c r="D603">
        <f t="shared" si="478"/>
        <v>1.4688661422901084</v>
      </c>
      <c r="F603">
        <f t="shared" si="479"/>
        <v>2.5286996279449877E-6</v>
      </c>
      <c r="G603">
        <f t="shared" si="480"/>
        <v>4.7944107175063798E-4</v>
      </c>
      <c r="H603">
        <f t="shared" si="481"/>
        <v>-3.1411132089282496</v>
      </c>
      <c r="J603">
        <f t="shared" si="482"/>
        <v>15</v>
      </c>
      <c r="M603">
        <f t="shared" si="483"/>
        <v>7.7428114035268134E-4</v>
      </c>
      <c r="N603">
        <f t="shared" si="484"/>
        <v>-1.5707963250000001</v>
      </c>
      <c r="O603">
        <f t="shared" si="485"/>
        <v>947.72321150952041</v>
      </c>
      <c r="P603">
        <f t="shared" si="486"/>
        <v>1.5697411662022085</v>
      </c>
      <c r="Q603">
        <f t="shared" si="487"/>
        <v>739.64232067045771</v>
      </c>
      <c r="R603">
        <f t="shared" si="488"/>
        <v>1.5694443215395095</v>
      </c>
      <c r="S603">
        <f t="shared" si="489"/>
        <v>9.546879961880976E-2</v>
      </c>
      <c r="T603">
        <f t="shared" si="490"/>
        <v>-1.4751819073843229</v>
      </c>
      <c r="U603">
        <f t="shared" si="491"/>
        <v>6.1417733492902818E-2</v>
      </c>
      <c r="V603">
        <f t="shared" si="492"/>
        <v>-1.5093399149165956</v>
      </c>
      <c r="X603">
        <f t="shared" si="509"/>
        <v>-58.516096227174913</v>
      </c>
      <c r="Y603">
        <f t="shared" si="493"/>
        <v>-176.9511240470726</v>
      </c>
      <c r="Z603">
        <f t="shared" si="510"/>
        <v>3.0488759529274034</v>
      </c>
      <c r="AC603">
        <v>1</v>
      </c>
      <c r="AD603">
        <f t="shared" si="494"/>
        <v>947.7226839291751</v>
      </c>
      <c r="AE603">
        <f t="shared" si="495"/>
        <v>-0.94971785199202263</v>
      </c>
      <c r="AF603">
        <f t="shared" si="496"/>
        <v>5.8439843643447009E-2</v>
      </c>
      <c r="AG603">
        <f t="shared" si="473"/>
        <v>60.124030670718774</v>
      </c>
      <c r="AH603">
        <f t="shared" si="474"/>
        <v>-994.19953304773253</v>
      </c>
      <c r="AJ603">
        <f t="shared" si="497"/>
        <v>22100</v>
      </c>
      <c r="AK603">
        <f t="shared" si="498"/>
        <v>230431.89639996161</v>
      </c>
      <c r="AL603">
        <v>1</v>
      </c>
      <c r="AM603">
        <f t="shared" si="499"/>
        <v>739.64164466772729</v>
      </c>
      <c r="AN603">
        <f t="shared" si="475"/>
        <v>311.5851522568372</v>
      </c>
      <c r="AO603">
        <f t="shared" si="476"/>
        <v>-29.458069329683664</v>
      </c>
      <c r="AQ603">
        <f t="shared" si="500"/>
        <v>6.6084676542933459E-4</v>
      </c>
      <c r="AR603">
        <f t="shared" si="501"/>
        <v>-2.5706939175201118</v>
      </c>
      <c r="AT603">
        <f t="shared" si="523"/>
        <v>-2555.742959635948</v>
      </c>
      <c r="AU603">
        <f t="shared" si="524"/>
        <v>-155.21749348761534</v>
      </c>
      <c r="AV603">
        <f t="shared" si="511"/>
        <v>-3.0809343329011027</v>
      </c>
      <c r="AW603">
        <f t="shared" si="512"/>
        <v>293.68037356935906</v>
      </c>
      <c r="AX603">
        <f t="shared" si="513"/>
        <v>-1898.6776226917459</v>
      </c>
      <c r="AY603">
        <f t="shared" si="521"/>
        <v>-1.4173361765232451</v>
      </c>
      <c r="BA603">
        <f t="shared" si="502"/>
        <v>1.3326969076298854</v>
      </c>
      <c r="BB603">
        <f t="shared" si="514"/>
        <v>2.4946277998146362</v>
      </c>
      <c r="BC603">
        <f t="shared" si="515"/>
        <v>-1.6635981563778577</v>
      </c>
      <c r="BD603">
        <f t="shared" si="503"/>
        <v>-275.31715327511171</v>
      </c>
      <c r="BF603">
        <f t="shared" si="504"/>
        <v>-66.076612398406652</v>
      </c>
      <c r="BG603">
        <f t="shared" si="505"/>
        <v>-191.12985260609128</v>
      </c>
      <c r="BH603">
        <f t="shared" si="516"/>
        <v>-11.129852606091276</v>
      </c>
      <c r="BI603">
        <f t="shared" si="517"/>
        <v>-11.129852606091276</v>
      </c>
      <c r="BJ603">
        <f t="shared" si="506"/>
        <v>0</v>
      </c>
      <c r="BK603">
        <f t="shared" si="518"/>
        <v>0</v>
      </c>
      <c r="BM603">
        <f t="shared" si="519"/>
        <v>-68.57124019822129</v>
      </c>
      <c r="BN603">
        <f t="shared" si="507"/>
        <v>-95.812699330979584</v>
      </c>
      <c r="BQ603" s="47">
        <f t="shared" si="520"/>
        <v>19.396588600099772</v>
      </c>
    </row>
    <row r="604" spans="1:69">
      <c r="A604">
        <f t="shared" si="525"/>
        <v>1950000</v>
      </c>
      <c r="B604">
        <f t="shared" si="508"/>
        <v>1950</v>
      </c>
      <c r="C604">
        <f t="shared" si="477"/>
        <v>9.8526482157033097</v>
      </c>
      <c r="D604">
        <f t="shared" si="478"/>
        <v>1.4691257020722157</v>
      </c>
      <c r="F604">
        <f t="shared" si="479"/>
        <v>2.5157485311021423E-6</v>
      </c>
      <c r="G604">
        <f t="shared" si="480"/>
        <v>4.7821172955205584E-4</v>
      </c>
      <c r="H604">
        <f t="shared" si="481"/>
        <v>-3.1411144382704483</v>
      </c>
      <c r="J604">
        <f t="shared" si="482"/>
        <v>15</v>
      </c>
      <c r="M604">
        <f t="shared" si="483"/>
        <v>7.7229580409536667E-4</v>
      </c>
      <c r="N604">
        <f t="shared" si="484"/>
        <v>-1.5707963250000001</v>
      </c>
      <c r="O604">
        <f t="shared" si="485"/>
        <v>950.15951525682613</v>
      </c>
      <c r="P604">
        <f t="shared" si="486"/>
        <v>1.5697438717401893</v>
      </c>
      <c r="Q604">
        <f t="shared" si="487"/>
        <v>741.54371133986376</v>
      </c>
      <c r="R604">
        <f t="shared" si="488"/>
        <v>1.5694477882154434</v>
      </c>
      <c r="S604">
        <f t="shared" si="489"/>
        <v>9.5226230432710529E-2</v>
      </c>
      <c r="T604">
        <f t="shared" si="490"/>
        <v>-1.4754255867627517</v>
      </c>
      <c r="U604">
        <f t="shared" si="491"/>
        <v>6.1260843892175045E-2</v>
      </c>
      <c r="V604">
        <f t="shared" si="492"/>
        <v>-1.5094971005021984</v>
      </c>
      <c r="X604">
        <f t="shared" si="509"/>
        <v>-58.560640298085346</v>
      </c>
      <c r="Y604">
        <f t="shared" si="493"/>
        <v>-176.95893703194108</v>
      </c>
      <c r="Z604">
        <f t="shared" si="510"/>
        <v>3.0410629680589238</v>
      </c>
      <c r="AC604">
        <v>1</v>
      </c>
      <c r="AD604">
        <f t="shared" si="494"/>
        <v>950.15898902925005</v>
      </c>
      <c r="AE604">
        <f t="shared" si="495"/>
        <v>-0.95460699630577817</v>
      </c>
      <c r="AF604">
        <f t="shared" si="496"/>
        <v>5.8590074603970005E-2</v>
      </c>
      <c r="AG604">
        <f t="shared" si="473"/>
        <v>59.817253240321058</v>
      </c>
      <c r="AH604">
        <f t="shared" si="474"/>
        <v>-991.66913228453257</v>
      </c>
      <c r="AJ604">
        <f t="shared" si="497"/>
        <v>22100</v>
      </c>
      <c r="AK604">
        <f t="shared" si="498"/>
        <v>231024.26631358624</v>
      </c>
      <c r="AL604">
        <v>1</v>
      </c>
      <c r="AM604">
        <f t="shared" si="499"/>
        <v>741.543037070472</v>
      </c>
      <c r="AN604">
        <f t="shared" si="475"/>
        <v>311.58494827552659</v>
      </c>
      <c r="AO604">
        <f t="shared" si="476"/>
        <v>-29.382536093658754</v>
      </c>
      <c r="AQ604">
        <f t="shared" si="500"/>
        <v>6.5746215269808328E-4</v>
      </c>
      <c r="AR604">
        <f t="shared" si="501"/>
        <v>-2.5641023955225251</v>
      </c>
      <c r="AT604">
        <f t="shared" si="523"/>
        <v>-2542.7018700764297</v>
      </c>
      <c r="AU604">
        <f t="shared" si="524"/>
        <v>-154.02954724956078</v>
      </c>
      <c r="AV604">
        <f t="shared" si="511"/>
        <v>-3.0810894721010111</v>
      </c>
      <c r="AW604">
        <f t="shared" si="512"/>
        <v>293.77297717380981</v>
      </c>
      <c r="AX604">
        <f t="shared" si="513"/>
        <v>-1893.8266297390232</v>
      </c>
      <c r="AY604">
        <f t="shared" si="521"/>
        <v>-1.4169015085083765</v>
      </c>
      <c r="BA604">
        <f t="shared" si="502"/>
        <v>1.3291908552815592</v>
      </c>
      <c r="BB604">
        <f t="shared" si="514"/>
        <v>2.4717468941674867</v>
      </c>
      <c r="BC604">
        <f t="shared" si="515"/>
        <v>-1.6641879635926347</v>
      </c>
      <c r="BD604">
        <f t="shared" si="503"/>
        <v>-275.35094673928342</v>
      </c>
      <c r="BF604">
        <f t="shared" si="504"/>
        <v>-66.122023833390926</v>
      </c>
      <c r="BG604">
        <f t="shared" si="505"/>
        <v>-191.14884482631953</v>
      </c>
      <c r="BH604">
        <f t="shared" si="516"/>
        <v>-11.148844826319532</v>
      </c>
      <c r="BI604">
        <f t="shared" si="517"/>
        <v>-11.148844826319532</v>
      </c>
      <c r="BJ604">
        <f t="shared" si="506"/>
        <v>0</v>
      </c>
      <c r="BK604">
        <f t="shared" si="518"/>
        <v>0</v>
      </c>
      <c r="BM604">
        <f t="shared" si="519"/>
        <v>-68.593770727558422</v>
      </c>
      <c r="BN604">
        <f t="shared" si="507"/>
        <v>-95.79789808703616</v>
      </c>
      <c r="BQ604" s="47">
        <f t="shared" si="520"/>
        <v>19.373707694452623</v>
      </c>
    </row>
    <row r="605" spans="1:69">
      <c r="A605">
        <f t="shared" si="525"/>
        <v>1955000</v>
      </c>
      <c r="B605">
        <f t="shared" si="508"/>
        <v>1955</v>
      </c>
      <c r="C605">
        <f t="shared" si="477"/>
        <v>9.8776515006178585</v>
      </c>
      <c r="D605">
        <f t="shared" si="478"/>
        <v>1.4693839478250483</v>
      </c>
      <c r="F605">
        <f t="shared" si="479"/>
        <v>2.5028966764865501E-6</v>
      </c>
      <c r="G605">
        <f t="shared" si="480"/>
        <v>4.7698867559561799E-4</v>
      </c>
      <c r="H605">
        <f t="shared" si="481"/>
        <v>-3.1411156613244047</v>
      </c>
      <c r="J605">
        <f t="shared" si="482"/>
        <v>15</v>
      </c>
      <c r="M605">
        <f t="shared" si="483"/>
        <v>7.7032062301072386E-4</v>
      </c>
      <c r="N605">
        <f t="shared" si="484"/>
        <v>-1.5707963250000001</v>
      </c>
      <c r="O605">
        <f t="shared" si="485"/>
        <v>952.59581901105116</v>
      </c>
      <c r="P605">
        <f t="shared" si="486"/>
        <v>1.5697465634391163</v>
      </c>
      <c r="Q605">
        <f t="shared" si="487"/>
        <v>743.44510201813603</v>
      </c>
      <c r="R605">
        <f t="shared" si="488"/>
        <v>1.5694512371590514</v>
      </c>
      <c r="S605">
        <f t="shared" si="489"/>
        <v>9.4984885175291925E-2</v>
      </c>
      <c r="T605">
        <f t="shared" si="490"/>
        <v>-1.4756680309735282</v>
      </c>
      <c r="U605">
        <f t="shared" si="491"/>
        <v>6.1104752289701199E-2</v>
      </c>
      <c r="V605">
        <f t="shared" si="492"/>
        <v>-1.5096534850791787</v>
      </c>
      <c r="X605">
        <f t="shared" si="509"/>
        <v>-58.605070587176129</v>
      </c>
      <c r="Y605">
        <f t="shared" si="493"/>
        <v>-176.96671008945134</v>
      </c>
      <c r="Z605">
        <f t="shared" si="510"/>
        <v>3.0332899105486604</v>
      </c>
      <c r="AC605">
        <v>1</v>
      </c>
      <c r="AD605">
        <f t="shared" si="494"/>
        <v>952.59529412932511</v>
      </c>
      <c r="AE605">
        <f t="shared" si="495"/>
        <v>-0.95950869297977426</v>
      </c>
      <c r="AF605">
        <f t="shared" si="496"/>
        <v>5.8740305564493007E-2</v>
      </c>
      <c r="AG605">
        <f t="shared" si="473"/>
        <v>59.512814871575848</v>
      </c>
      <c r="AH605">
        <f t="shared" si="474"/>
        <v>-989.15153155237954</v>
      </c>
      <c r="AJ605">
        <f t="shared" si="497"/>
        <v>22100</v>
      </c>
      <c r="AK605">
        <f t="shared" si="498"/>
        <v>231616.63622721081</v>
      </c>
      <c r="AL605">
        <v>1</v>
      </c>
      <c r="AM605">
        <f t="shared" si="499"/>
        <v>743.44442947321681</v>
      </c>
      <c r="AN605">
        <f t="shared" si="475"/>
        <v>311.58474585728374</v>
      </c>
      <c r="AO605">
        <f t="shared" si="476"/>
        <v>-29.30738921479492</v>
      </c>
      <c r="AQ605">
        <f t="shared" si="500"/>
        <v>6.5410347563768707E-4</v>
      </c>
      <c r="AR605">
        <f t="shared" si="501"/>
        <v>-2.5575445897433564</v>
      </c>
      <c r="AT605">
        <f t="shared" si="523"/>
        <v>-2529.7602204190907</v>
      </c>
      <c r="AU605">
        <f t="shared" si="524"/>
        <v>-152.85368514991751</v>
      </c>
      <c r="AV605">
        <f t="shared" si="511"/>
        <v>-3.0812438207597284</v>
      </c>
      <c r="AW605">
        <f t="shared" si="512"/>
        <v>293.8648599596512</v>
      </c>
      <c r="AX605">
        <f t="shared" si="513"/>
        <v>-1889.0003176588216</v>
      </c>
      <c r="AY605">
        <f t="shared" si="521"/>
        <v>-1.4164670241883268</v>
      </c>
      <c r="BA605">
        <f t="shared" si="502"/>
        <v>1.325702519181579</v>
      </c>
      <c r="BB605">
        <f t="shared" si="514"/>
        <v>2.4489216311172655</v>
      </c>
      <c r="BC605">
        <f t="shared" si="515"/>
        <v>-1.6647767965714015</v>
      </c>
      <c r="BD605">
        <f t="shared" si="503"/>
        <v>-275.38468438384342</v>
      </c>
      <c r="BF605">
        <f t="shared" si="504"/>
        <v>-66.16732076559272</v>
      </c>
      <c r="BG605">
        <f t="shared" si="505"/>
        <v>-191.16785615497807</v>
      </c>
      <c r="BH605">
        <f t="shared" si="516"/>
        <v>-11.167856154978068</v>
      </c>
      <c r="BI605">
        <f t="shared" si="517"/>
        <v>-11.167856154978068</v>
      </c>
      <c r="BJ605">
        <f t="shared" si="506"/>
        <v>0</v>
      </c>
      <c r="BK605">
        <f t="shared" si="518"/>
        <v>0</v>
      </c>
      <c r="BM605">
        <f t="shared" si="519"/>
        <v>-68.616242396709993</v>
      </c>
      <c r="BN605">
        <f t="shared" si="507"/>
        <v>-95.783171771134647</v>
      </c>
      <c r="BQ605" s="47">
        <f t="shared" si="520"/>
        <v>19.350882431402404</v>
      </c>
    </row>
    <row r="606" spans="1:69">
      <c r="A606">
        <f t="shared" si="525"/>
        <v>1960000</v>
      </c>
      <c r="B606">
        <f t="shared" si="508"/>
        <v>1960</v>
      </c>
      <c r="C606">
        <f t="shared" si="477"/>
        <v>9.9026554409549838</v>
      </c>
      <c r="D606">
        <f t="shared" si="478"/>
        <v>1.469640889467696</v>
      </c>
      <c r="F606">
        <f t="shared" si="479"/>
        <v>2.4901430527111121E-6</v>
      </c>
      <c r="G606">
        <f t="shared" si="480"/>
        <v>4.7577186175654687E-4</v>
      </c>
      <c r="H606">
        <f t="shared" si="481"/>
        <v>-3.1411168781382437</v>
      </c>
      <c r="J606">
        <f t="shared" si="482"/>
        <v>15</v>
      </c>
      <c r="M606">
        <f t="shared" si="483"/>
        <v>7.6835551938059438E-4</v>
      </c>
      <c r="N606">
        <f t="shared" si="484"/>
        <v>-1.5707963250000001</v>
      </c>
      <c r="O606">
        <f t="shared" si="485"/>
        <v>955.032122772143</v>
      </c>
      <c r="P606">
        <f t="shared" si="486"/>
        <v>1.5697492414049008</v>
      </c>
      <c r="Q606">
        <f t="shared" si="487"/>
        <v>745.34649270520651</v>
      </c>
      <c r="R606">
        <f t="shared" si="488"/>
        <v>1.5694546685060404</v>
      </c>
      <c r="S606">
        <f t="shared" si="489"/>
        <v>9.4744754648950685E-2</v>
      </c>
      <c r="T606">
        <f t="shared" si="490"/>
        <v>-1.4759092493558943</v>
      </c>
      <c r="U606">
        <f t="shared" si="491"/>
        <v>6.0949452623943239E-2</v>
      </c>
      <c r="V606">
        <f t="shared" si="492"/>
        <v>-1.5098090747472244</v>
      </c>
      <c r="X606">
        <f t="shared" si="509"/>
        <v>-58.649387673502545</v>
      </c>
      <c r="Y606">
        <f t="shared" si="493"/>
        <v>-176.9744435247805</v>
      </c>
      <c r="Z606">
        <f t="shared" si="510"/>
        <v>3.0255564752195028</v>
      </c>
      <c r="AC606">
        <v>1</v>
      </c>
      <c r="AD606">
        <f t="shared" si="494"/>
        <v>955.03159922940006</v>
      </c>
      <c r="AE606">
        <f t="shared" si="495"/>
        <v>-0.96442294201401113</v>
      </c>
      <c r="AF606">
        <f t="shared" si="496"/>
        <v>5.889053652501601E-2</v>
      </c>
      <c r="AG606">
        <f t="shared" si="473"/>
        <v>59.210691875017737</v>
      </c>
      <c r="AH606">
        <f t="shared" si="474"/>
        <v>-986.64663433840076</v>
      </c>
      <c r="AJ606">
        <f t="shared" si="497"/>
        <v>22100</v>
      </c>
      <c r="AK606">
        <f t="shared" si="498"/>
        <v>232209.00614083535</v>
      </c>
      <c r="AL606">
        <v>1</v>
      </c>
      <c r="AM606">
        <f t="shared" si="499"/>
        <v>745.34582187596152</v>
      </c>
      <c r="AN606">
        <f t="shared" si="475"/>
        <v>311.58454498617976</v>
      </c>
      <c r="AO606">
        <f t="shared" si="476"/>
        <v>-29.232625736298544</v>
      </c>
      <c r="AQ606">
        <f t="shared" si="500"/>
        <v>6.5077046993632407E-4</v>
      </c>
      <c r="AR606">
        <f t="shared" si="501"/>
        <v>-2.5510202421503902</v>
      </c>
      <c r="AT606">
        <f t="shared" si="523"/>
        <v>-2516.9170034770382</v>
      </c>
      <c r="AU606">
        <f t="shared" si="524"/>
        <v>-151.68975401878939</v>
      </c>
      <c r="AV606">
        <f t="shared" si="511"/>
        <v>-3.0813973848968339</v>
      </c>
      <c r="AW606">
        <f t="shared" si="512"/>
        <v>293.95602941445702</v>
      </c>
      <c r="AX606">
        <f t="shared" si="513"/>
        <v>-1884.1984989040127</v>
      </c>
      <c r="AY606">
        <f t="shared" si="521"/>
        <v>-1.4160327226566602</v>
      </c>
      <c r="BA606">
        <f t="shared" si="502"/>
        <v>1.3222317639443211</v>
      </c>
      <c r="BB606">
        <f t="shared" si="514"/>
        <v>2.4261517199392939</v>
      </c>
      <c r="BC606">
        <f t="shared" si="515"/>
        <v>-1.6653646622401737</v>
      </c>
      <c r="BD606">
        <f t="shared" si="503"/>
        <v>-275.41836660562319</v>
      </c>
      <c r="BF606">
        <f t="shared" si="504"/>
        <v>-66.212503795188283</v>
      </c>
      <c r="BG606">
        <f t="shared" si="505"/>
        <v>-191.18688642333365</v>
      </c>
      <c r="BH606">
        <f t="shared" si="516"/>
        <v>-11.186886423333647</v>
      </c>
      <c r="BI606">
        <f t="shared" si="517"/>
        <v>-11.186886423333647</v>
      </c>
      <c r="BJ606">
        <f t="shared" si="506"/>
        <v>0</v>
      </c>
      <c r="BK606">
        <f t="shared" si="518"/>
        <v>0</v>
      </c>
      <c r="BM606">
        <f t="shared" si="519"/>
        <v>-68.638655515127581</v>
      </c>
      <c r="BN606">
        <f t="shared" si="507"/>
        <v>-95.76851981771047</v>
      </c>
      <c r="BQ606" s="47">
        <f t="shared" si="520"/>
        <v>19.32811252022443</v>
      </c>
    </row>
    <row r="607" spans="1:69">
      <c r="A607">
        <f t="shared" si="525"/>
        <v>1965000</v>
      </c>
      <c r="B607">
        <f t="shared" si="508"/>
        <v>1965</v>
      </c>
      <c r="C607">
        <f t="shared" si="477"/>
        <v>9.9276600317624144</v>
      </c>
      <c r="D607">
        <f t="shared" si="478"/>
        <v>1.4698965368200096</v>
      </c>
      <c r="F607">
        <f t="shared" si="479"/>
        <v>2.4774866612399214E-6</v>
      </c>
      <c r="G607">
        <f t="shared" si="480"/>
        <v>4.7456124039989088E-4</v>
      </c>
      <c r="H607">
        <f t="shared" si="481"/>
        <v>-3.1411180887596002</v>
      </c>
      <c r="J607">
        <f t="shared" si="482"/>
        <v>15</v>
      </c>
      <c r="M607">
        <f t="shared" si="483"/>
        <v>7.6640041627784486E-4</v>
      </c>
      <c r="N607">
        <f t="shared" si="484"/>
        <v>-1.5707963250000001</v>
      </c>
      <c r="O607">
        <f t="shared" si="485"/>
        <v>957.46842654004888</v>
      </c>
      <c r="P607">
        <f t="shared" si="486"/>
        <v>1.5697519057423757</v>
      </c>
      <c r="Q607">
        <f t="shared" si="487"/>
        <v>747.24788340100827</v>
      </c>
      <c r="R607">
        <f t="shared" si="488"/>
        <v>1.5694580823907349</v>
      </c>
      <c r="S607">
        <f t="shared" si="489"/>
        <v>9.4505829747582162E-2</v>
      </c>
      <c r="T607">
        <f t="shared" si="490"/>
        <v>-1.4761492511554604</v>
      </c>
      <c r="U607">
        <f t="shared" si="491"/>
        <v>6.0794938894483612E-2</v>
      </c>
      <c r="V607">
        <f t="shared" si="492"/>
        <v>-1.5099638755443245</v>
      </c>
      <c r="X607">
        <f t="shared" si="509"/>
        <v>-58.693592131716457</v>
      </c>
      <c r="Y607">
        <f t="shared" si="493"/>
        <v>-176.98213764000488</v>
      </c>
      <c r="Z607">
        <f t="shared" si="510"/>
        <v>3.0178623599951209</v>
      </c>
      <c r="AC607">
        <v>1</v>
      </c>
      <c r="AD607">
        <f t="shared" si="494"/>
        <v>957.46790432947512</v>
      </c>
      <c r="AE607">
        <f t="shared" si="495"/>
        <v>-0.96934974340848878</v>
      </c>
      <c r="AF607">
        <f t="shared" si="496"/>
        <v>5.9040767485539013E-2</v>
      </c>
      <c r="AG607">
        <f t="shared" si="473"/>
        <v>58.910860859953111</v>
      </c>
      <c r="AH607">
        <f t="shared" si="474"/>
        <v>-984.15434509384681</v>
      </c>
      <c r="AJ607">
        <f t="shared" si="497"/>
        <v>22100</v>
      </c>
      <c r="AK607">
        <f t="shared" si="498"/>
        <v>232801.37605445992</v>
      </c>
      <c r="AL607">
        <v>1</v>
      </c>
      <c r="AM607">
        <f t="shared" si="499"/>
        <v>747.24721427870634</v>
      </c>
      <c r="AN607">
        <f t="shared" si="475"/>
        <v>311.58434564648758</v>
      </c>
      <c r="AO607">
        <f t="shared" si="476"/>
        <v>-29.158242731470295</v>
      </c>
      <c r="AQ607">
        <f t="shared" si="500"/>
        <v>6.4746287464063381E-4</v>
      </c>
      <c r="AR607">
        <f t="shared" si="501"/>
        <v>-2.5445290973376911</v>
      </c>
      <c r="AT607">
        <f t="shared" si="523"/>
        <v>-2504.1712247672926</v>
      </c>
      <c r="AU607">
        <f t="shared" si="524"/>
        <v>-150.53760300872733</v>
      </c>
      <c r="AV607">
        <f t="shared" si="511"/>
        <v>-3.0815501704710253</v>
      </c>
      <c r="AW607">
        <f t="shared" si="512"/>
        <v>294.04649292851963</v>
      </c>
      <c r="AX607">
        <f t="shared" si="513"/>
        <v>-1879.4209878195309</v>
      </c>
      <c r="AY607">
        <f t="shared" si="521"/>
        <v>-1.4155986030180077</v>
      </c>
      <c r="BA607">
        <f t="shared" si="502"/>
        <v>1.3187784555615347</v>
      </c>
      <c r="BB607">
        <f t="shared" si="514"/>
        <v>2.4034368721343369</v>
      </c>
      <c r="BC607">
        <f t="shared" si="515"/>
        <v>-1.6659515674530176</v>
      </c>
      <c r="BD607">
        <f t="shared" si="503"/>
        <v>-275.4519937973318</v>
      </c>
      <c r="BF607">
        <f t="shared" si="504"/>
        <v>-66.257573517675738</v>
      </c>
      <c r="BG607">
        <f t="shared" si="505"/>
        <v>-191.20593546418866</v>
      </c>
      <c r="BH607">
        <f t="shared" si="516"/>
        <v>-11.205935464188656</v>
      </c>
      <c r="BI607">
        <f t="shared" si="517"/>
        <v>-11.205935464188656</v>
      </c>
      <c r="BJ607">
        <f t="shared" si="506"/>
        <v>0</v>
      </c>
      <c r="BK607">
        <f t="shared" si="518"/>
        <v>0</v>
      </c>
      <c r="BM607">
        <f t="shared" si="519"/>
        <v>-68.661010389810073</v>
      </c>
      <c r="BN607">
        <f t="shared" si="507"/>
        <v>-95.753941666856875</v>
      </c>
      <c r="BQ607" s="47">
        <f t="shared" si="520"/>
        <v>19.305397672419474</v>
      </c>
    </row>
    <row r="608" spans="1:69">
      <c r="A608">
        <f t="shared" si="525"/>
        <v>1970000</v>
      </c>
      <c r="B608">
        <f t="shared" si="508"/>
        <v>1970</v>
      </c>
      <c r="C608">
        <f t="shared" si="477"/>
        <v>9.9526652681375207</v>
      </c>
      <c r="D608">
        <f t="shared" si="478"/>
        <v>1.4701508996038342</v>
      </c>
      <c r="F608">
        <f t="shared" si="479"/>
        <v>2.4649265161928029E-6</v>
      </c>
      <c r="G608">
        <f t="shared" si="480"/>
        <v>4.7335676437430764E-4</v>
      </c>
      <c r="H608">
        <f t="shared" si="481"/>
        <v>-3.1411192932356258</v>
      </c>
      <c r="J608">
        <f t="shared" si="482"/>
        <v>15</v>
      </c>
      <c r="M608">
        <f t="shared" si="483"/>
        <v>7.6445523755632751E-4</v>
      </c>
      <c r="N608">
        <f t="shared" si="484"/>
        <v>-1.5707963250000001</v>
      </c>
      <c r="O608">
        <f t="shared" si="485"/>
        <v>959.90473031471709</v>
      </c>
      <c r="P608">
        <f t="shared" si="486"/>
        <v>1.5697545565553093</v>
      </c>
      <c r="Q608">
        <f t="shared" si="487"/>
        <v>749.14927410547455</v>
      </c>
      <c r="R608">
        <f t="shared" si="488"/>
        <v>1.5694614789460966</v>
      </c>
      <c r="S608">
        <f t="shared" si="489"/>
        <v>9.4268101455450962E-2</v>
      </c>
      <c r="T608">
        <f t="shared" si="490"/>
        <v>-1.4763880455253717</v>
      </c>
      <c r="U608">
        <f t="shared" si="491"/>
        <v>6.0641205161258198E-2</v>
      </c>
      <c r="V608">
        <f t="shared" si="492"/>
        <v>-1.5101178934475472</v>
      </c>
      <c r="X608">
        <f t="shared" si="509"/>
        <v>-58.737684532110841</v>
      </c>
      <c r="Y608">
        <f t="shared" si="493"/>
        <v>-176.98979273413909</v>
      </c>
      <c r="Z608">
        <f t="shared" si="510"/>
        <v>3.0102072658609131</v>
      </c>
      <c r="AC608">
        <v>1</v>
      </c>
      <c r="AD608">
        <f t="shared" si="494"/>
        <v>959.90420942955018</v>
      </c>
      <c r="AE608">
        <f t="shared" si="495"/>
        <v>-0.97428909716320711</v>
      </c>
      <c r="AF608">
        <f t="shared" si="496"/>
        <v>5.9190998446062001E-2</v>
      </c>
      <c r="AG608">
        <f t="shared" si="473"/>
        <v>58.613298729955332</v>
      </c>
      <c r="AH608">
        <f t="shared" si="474"/>
        <v>-981.67456922212739</v>
      </c>
      <c r="AJ608">
        <f t="shared" si="497"/>
        <v>22100</v>
      </c>
      <c r="AK608">
        <f t="shared" si="498"/>
        <v>233393.74596808455</v>
      </c>
      <c r="AL608">
        <v>1</v>
      </c>
      <c r="AM608">
        <f t="shared" si="499"/>
        <v>749.14860668145116</v>
      </c>
      <c r="AN608">
        <f t="shared" si="475"/>
        <v>311.58414782267977</v>
      </c>
      <c r="AO608">
        <f t="shared" si="476"/>
        <v>-29.084237303323278</v>
      </c>
      <c r="AQ608">
        <f t="shared" si="500"/>
        <v>6.4418043210463858E-4</v>
      </c>
      <c r="AR608">
        <f t="shared" si="501"/>
        <v>-2.5380709024922763</v>
      </c>
      <c r="AT608">
        <f t="shared" si="523"/>
        <v>-2491.5219023192185</v>
      </c>
      <c r="AU608">
        <f t="shared" si="524"/>
        <v>-149.39708355377476</v>
      </c>
      <c r="AV608">
        <f t="shared" si="511"/>
        <v>-3.081702183380882</v>
      </c>
      <c r="AW608">
        <f t="shared" si="512"/>
        <v>294.13625779636743</v>
      </c>
      <c r="AX608">
        <f t="shared" si="513"/>
        <v>-1874.6676006186108</v>
      </c>
      <c r="AY608">
        <f t="shared" si="521"/>
        <v>-1.4151646643879168</v>
      </c>
      <c r="BA608">
        <f t="shared" si="502"/>
        <v>1.3153424613848765</v>
      </c>
      <c r="BB608">
        <f t="shared" si="514"/>
        <v>2.3807768014060278</v>
      </c>
      <c r="BC608">
        <f t="shared" si="515"/>
        <v>-1.6665375189929652</v>
      </c>
      <c r="BD608">
        <f t="shared" si="503"/>
        <v>-275.48556634760837</v>
      </c>
      <c r="BF608">
        <f t="shared" si="504"/>
        <v>-66.302530523923707</v>
      </c>
      <c r="BG608">
        <f t="shared" si="505"/>
        <v>-191.22500311186306</v>
      </c>
      <c r="BH608">
        <f t="shared" si="516"/>
        <v>-11.22500311186306</v>
      </c>
      <c r="BI608">
        <f t="shared" si="517"/>
        <v>-11.22500311186306</v>
      </c>
      <c r="BJ608">
        <f t="shared" si="506"/>
        <v>0</v>
      </c>
      <c r="BK608">
        <f t="shared" si="518"/>
        <v>0</v>
      </c>
      <c r="BM608">
        <f t="shared" si="519"/>
        <v>-68.683307325329736</v>
      </c>
      <c r="BN608">
        <f t="shared" si="507"/>
        <v>-95.739436764254748</v>
      </c>
      <c r="BQ608" s="47">
        <f t="shared" si="520"/>
        <v>19.282737601691164</v>
      </c>
    </row>
    <row r="609" spans="1:69">
      <c r="A609">
        <f t="shared" si="525"/>
        <v>1975000</v>
      </c>
      <c r="B609">
        <f t="shared" si="508"/>
        <v>1975</v>
      </c>
      <c r="C609">
        <f t="shared" si="477"/>
        <v>9.9776711452266937</v>
      </c>
      <c r="D609">
        <f t="shared" si="478"/>
        <v>1.4704039874442247</v>
      </c>
      <c r="F609">
        <f t="shared" si="479"/>
        <v>2.4524616441533231E-6</v>
      </c>
      <c r="G609">
        <f t="shared" si="480"/>
        <v>4.7215838700594262E-4</v>
      </c>
      <c r="H609">
        <f t="shared" si="481"/>
        <v>-3.1411204916129942</v>
      </c>
      <c r="J609">
        <f t="shared" si="482"/>
        <v>15</v>
      </c>
      <c r="M609">
        <f t="shared" si="483"/>
        <v>7.6251990784099489E-4</v>
      </c>
      <c r="N609">
        <f t="shared" si="484"/>
        <v>-1.5707963250000001</v>
      </c>
      <c r="O609">
        <f t="shared" si="485"/>
        <v>962.34103409609611</v>
      </c>
      <c r="P609">
        <f t="shared" si="486"/>
        <v>1.5697571939464201</v>
      </c>
      <c r="Q609">
        <f t="shared" si="487"/>
        <v>751.05066481853976</v>
      </c>
      <c r="R609">
        <f t="shared" si="488"/>
        <v>1.5694648583037401</v>
      </c>
      <c r="S609">
        <f t="shared" si="489"/>
        <v>9.4031560846077791E-2</v>
      </c>
      <c r="T609">
        <f t="shared" si="490"/>
        <v>-1.4766256415274581</v>
      </c>
      <c r="U609">
        <f t="shared" si="491"/>
        <v>6.0488245543800841E-2</v>
      </c>
      <c r="V609">
        <f t="shared" si="492"/>
        <v>-1.5102711343738038</v>
      </c>
      <c r="X609">
        <f t="shared" si="509"/>
        <v>-58.781665440663687</v>
      </c>
      <c r="Y609">
        <f t="shared" si="493"/>
        <v>-176.9974091031747</v>
      </c>
      <c r="Z609">
        <f t="shared" si="510"/>
        <v>3.0025908968252963</v>
      </c>
      <c r="AC609">
        <v>1</v>
      </c>
      <c r="AD609">
        <f t="shared" si="494"/>
        <v>962.34051452962501</v>
      </c>
      <c r="AE609">
        <f t="shared" si="495"/>
        <v>-0.9792410032781661</v>
      </c>
      <c r="AF609">
        <f t="shared" si="496"/>
        <v>5.9341229406585004E-2</v>
      </c>
      <c r="AG609">
        <f t="shared" si="473"/>
        <v>58.317982678439016</v>
      </c>
      <c r="AH609">
        <f t="shared" si="474"/>
        <v>-979.20721306702922</v>
      </c>
      <c r="AJ609">
        <f t="shared" si="497"/>
        <v>22100</v>
      </c>
      <c r="AK609">
        <f t="shared" si="498"/>
        <v>233986.11588170912</v>
      </c>
      <c r="AL609">
        <v>1</v>
      </c>
      <c r="AM609">
        <f t="shared" si="499"/>
        <v>751.04999908419597</v>
      </c>
      <c r="AN609">
        <f t="shared" si="475"/>
        <v>311.58395149942498</v>
      </c>
      <c r="AO609">
        <f t="shared" si="476"/>
        <v>-29.010606584206915</v>
      </c>
      <c r="AQ609">
        <f t="shared" si="500"/>
        <v>6.4092288793956816E-4</v>
      </c>
      <c r="AR609">
        <f t="shared" si="501"/>
        <v>-2.5316454073612942</v>
      </c>
      <c r="AT609">
        <f t="shared" si="523"/>
        <v>-2478.9680664863199</v>
      </c>
      <c r="AU609">
        <f t="shared" si="524"/>
        <v>-148.26804932933581</v>
      </c>
      <c r="AV609">
        <f t="shared" si="511"/>
        <v>-3.0818534294656237</v>
      </c>
      <c r="AW609">
        <f t="shared" si="512"/>
        <v>294.22533121825438</v>
      </c>
      <c r="AX609">
        <f t="shared" si="513"/>
        <v>-1869.9381553593894</v>
      </c>
      <c r="AY609">
        <f t="shared" si="521"/>
        <v>-1.4147309058927005</v>
      </c>
      <c r="BA609">
        <f t="shared" si="502"/>
        <v>1.3119236501087093</v>
      </c>
      <c r="BB609">
        <f t="shared" si="514"/>
        <v>2.3581712236385766</v>
      </c>
      <c r="BC609">
        <f t="shared" si="515"/>
        <v>-1.6671225235729232</v>
      </c>
      <c r="BD609">
        <f t="shared" si="503"/>
        <v>-275.51908464107407</v>
      </c>
      <c r="BF609">
        <f t="shared" si="504"/>
        <v>-66.347375400219249</v>
      </c>
      <c r="BG609">
        <f t="shared" si="505"/>
        <v>-191.24408920217732</v>
      </c>
      <c r="BH609">
        <f t="shared" si="516"/>
        <v>-11.244089202177321</v>
      </c>
      <c r="BI609">
        <f t="shared" si="517"/>
        <v>-11.244089202177321</v>
      </c>
      <c r="BJ609">
        <f t="shared" si="506"/>
        <v>0</v>
      </c>
      <c r="BK609">
        <f t="shared" si="518"/>
        <v>0</v>
      </c>
      <c r="BM609">
        <f t="shared" si="519"/>
        <v>-68.705546623857828</v>
      </c>
      <c r="BN609">
        <f t="shared" si="507"/>
        <v>-95.725004561103262</v>
      </c>
      <c r="BQ609" s="47">
        <f t="shared" si="520"/>
        <v>19.260132023923713</v>
      </c>
    </row>
    <row r="610" spans="1:69">
      <c r="A610">
        <f t="shared" si="525"/>
        <v>1980000</v>
      </c>
      <c r="B610">
        <f t="shared" si="508"/>
        <v>1980</v>
      </c>
      <c r="C610">
        <f t="shared" si="477"/>
        <v>10.002677658224735</v>
      </c>
      <c r="D610">
        <f t="shared" si="478"/>
        <v>1.4706558098706428</v>
      </c>
      <c r="F610">
        <f t="shared" si="479"/>
        <v>2.440091083980179E-6</v>
      </c>
      <c r="G610">
        <f t="shared" si="480"/>
        <v>4.7096606209240025E-4</v>
      </c>
      <c r="H610">
        <f t="shared" si="481"/>
        <v>-3.1411216839379077</v>
      </c>
      <c r="J610">
        <f t="shared" si="482"/>
        <v>15</v>
      </c>
      <c r="M610">
        <f t="shared" si="483"/>
        <v>7.6059435251816425E-4</v>
      </c>
      <c r="N610">
        <f t="shared" si="484"/>
        <v>-1.5707963250000001</v>
      </c>
      <c r="O610">
        <f t="shared" si="485"/>
        <v>964.77733788413525</v>
      </c>
      <c r="P610">
        <f t="shared" si="486"/>
        <v>1.569759818017388</v>
      </c>
      <c r="Q610">
        <f t="shared" si="487"/>
        <v>752.95205554013876</v>
      </c>
      <c r="R610">
        <f t="shared" si="488"/>
        <v>1.5694682205939507</v>
      </c>
      <c r="S610">
        <f t="shared" si="489"/>
        <v>9.3796199081143047E-2</v>
      </c>
      <c r="T610">
        <f t="shared" si="490"/>
        <v>-1.4768620481333663</v>
      </c>
      <c r="U610">
        <f t="shared" si="491"/>
        <v>6.0336054220499223E-2</v>
      </c>
      <c r="V610">
        <f t="shared" si="492"/>
        <v>-1.5104236041806036</v>
      </c>
      <c r="X610">
        <f t="shared" si="509"/>
        <v>-58.825535419081362</v>
      </c>
      <c r="Y610">
        <f t="shared" si="493"/>
        <v>-177.00498704011841</v>
      </c>
      <c r="Z610">
        <f t="shared" si="510"/>
        <v>2.995012959881592</v>
      </c>
      <c r="AC610">
        <v>1</v>
      </c>
      <c r="AD610">
        <f t="shared" si="494"/>
        <v>964.77681962970007</v>
      </c>
      <c r="AE610">
        <f t="shared" si="495"/>
        <v>-0.98420546175336576</v>
      </c>
      <c r="AF610">
        <f t="shared" si="496"/>
        <v>5.9491460367108007E-2</v>
      </c>
      <c r="AG610">
        <f t="shared" si="473"/>
        <v>58.024890184311573</v>
      </c>
      <c r="AH610">
        <f t="shared" si="474"/>
        <v>-976.75218390110388</v>
      </c>
      <c r="AJ610">
        <f t="shared" si="497"/>
        <v>22100</v>
      </c>
      <c r="AK610">
        <f t="shared" si="498"/>
        <v>234578.48579533366</v>
      </c>
      <c r="AL610">
        <v>1</v>
      </c>
      <c r="AM610">
        <f t="shared" si="499"/>
        <v>752.95139148694079</v>
      </c>
      <c r="AN610">
        <f t="shared" si="475"/>
        <v>311.58375666158543</v>
      </c>
      <c r="AO610">
        <f t="shared" si="476"/>
        <v>-28.937347735436539</v>
      </c>
      <c r="AQ610">
        <f t="shared" si="500"/>
        <v>6.3768999096457048E-4</v>
      </c>
      <c r="AR610">
        <f t="shared" si="501"/>
        <v>-2.5252523642196993</v>
      </c>
      <c r="AT610">
        <f t="shared" si="523"/>
        <v>-2466.5087597613197</v>
      </c>
      <c r="AU610">
        <f t="shared" si="524"/>
        <v>-147.15035621284775</v>
      </c>
      <c r="AV610">
        <f t="shared" si="511"/>
        <v>-3.0820039145058513</v>
      </c>
      <c r="AW610">
        <f t="shared" si="512"/>
        <v>294.31372030162277</v>
      </c>
      <c r="AX610">
        <f t="shared" si="513"/>
        <v>-1865.2324719218527</v>
      </c>
      <c r="AY610">
        <f t="shared" si="521"/>
        <v>-1.4142973266692911</v>
      </c>
      <c r="BA610">
        <f t="shared" si="502"/>
        <v>1.3085218917531611</v>
      </c>
      <c r="BB610">
        <f t="shared" si="514"/>
        <v>2.335619856874755</v>
      </c>
      <c r="BC610">
        <f t="shared" si="515"/>
        <v>-1.6677065878365602</v>
      </c>
      <c r="BD610">
        <f t="shared" si="503"/>
        <v>-275.55254905838314</v>
      </c>
      <c r="BF610">
        <f t="shared" si="504"/>
        <v>-66.392108728315222</v>
      </c>
      <c r="BG610">
        <f t="shared" si="505"/>
        <v>-191.2631935724348</v>
      </c>
      <c r="BH610">
        <f t="shared" si="516"/>
        <v>-11.263193572434801</v>
      </c>
      <c r="BI610">
        <f t="shared" si="517"/>
        <v>-11.263193572434801</v>
      </c>
      <c r="BJ610">
        <f t="shared" si="506"/>
        <v>0</v>
      </c>
      <c r="BK610">
        <f t="shared" si="518"/>
        <v>0</v>
      </c>
      <c r="BM610">
        <f t="shared" si="519"/>
        <v>-68.727728585189979</v>
      </c>
      <c r="BN610">
        <f t="shared" si="507"/>
        <v>-95.710644514051694</v>
      </c>
      <c r="BQ610" s="47">
        <f t="shared" si="520"/>
        <v>19.237580657159892</v>
      </c>
    </row>
    <row r="611" spans="1:69">
      <c r="A611">
        <f t="shared" si="525"/>
        <v>1985000</v>
      </c>
      <c r="B611">
        <f t="shared" si="508"/>
        <v>1985</v>
      </c>
      <c r="C611">
        <f t="shared" si="477"/>
        <v>10.027684802374255</v>
      </c>
      <c r="D611">
        <f t="shared" si="478"/>
        <v>1.4709063763181378</v>
      </c>
      <c r="F611">
        <f t="shared" si="479"/>
        <v>2.4278138866219154E-6</v>
      </c>
      <c r="G611">
        <f t="shared" si="480"/>
        <v>4.6977974389680568E-4</v>
      </c>
      <c r="H611">
        <f t="shared" si="481"/>
        <v>-3.1411228702561034</v>
      </c>
      <c r="J611">
        <f t="shared" si="482"/>
        <v>15</v>
      </c>
      <c r="M611">
        <f t="shared" si="483"/>
        <v>7.5867849772592692E-4</v>
      </c>
      <c r="N611">
        <f t="shared" si="484"/>
        <v>-1.5707963250000001</v>
      </c>
      <c r="O611">
        <f t="shared" si="485"/>
        <v>967.21364167878426</v>
      </c>
      <c r="P611">
        <f t="shared" si="486"/>
        <v>1.5697624288688687</v>
      </c>
      <c r="Q611">
        <f t="shared" si="487"/>
        <v>754.85344627020697</v>
      </c>
      <c r="R611">
        <f t="shared" si="488"/>
        <v>1.5694715659457017</v>
      </c>
      <c r="S611">
        <f t="shared" si="489"/>
        <v>9.3562007409406026E-2</v>
      </c>
      <c r="T611">
        <f t="shared" si="490"/>
        <v>-1.4770972742256756</v>
      </c>
      <c r="U611">
        <f t="shared" si="491"/>
        <v>6.0184625427861647E-2</v>
      </c>
      <c r="V611">
        <f t="shared" si="492"/>
        <v>-1.510575308666797</v>
      </c>
      <c r="X611">
        <f t="shared" si="509"/>
        <v>-58.869295024841421</v>
      </c>
      <c r="Y611">
        <f t="shared" si="493"/>
        <v>-177.0125268350294</v>
      </c>
      <c r="Z611">
        <f t="shared" si="510"/>
        <v>2.987473164970595</v>
      </c>
      <c r="AC611">
        <v>1</v>
      </c>
      <c r="AD611">
        <f t="shared" si="494"/>
        <v>967.21312472977502</v>
      </c>
      <c r="AE611">
        <f t="shared" si="495"/>
        <v>-0.98918247258880609</v>
      </c>
      <c r="AF611">
        <f t="shared" si="496"/>
        <v>5.9641691327631009E-2</v>
      </c>
      <c r="AG611">
        <f t="shared" si="473"/>
        <v>57.733999007700561</v>
      </c>
      <c r="AH611">
        <f t="shared" si="474"/>
        <v>-974.30938991422875</v>
      </c>
      <c r="AJ611">
        <f t="shared" si="497"/>
        <v>22100</v>
      </c>
      <c r="AK611">
        <f t="shared" si="498"/>
        <v>235170.85570895829</v>
      </c>
      <c r="AL611">
        <v>1</v>
      </c>
      <c r="AM611">
        <f t="shared" si="499"/>
        <v>754.85278388968561</v>
      </c>
      <c r="AN611">
        <f t="shared" si="475"/>
        <v>311.5835632942136</v>
      </c>
      <c r="AO611">
        <f t="shared" si="476"/>
        <v>-28.864457946928564</v>
      </c>
      <c r="AQ611">
        <f t="shared" si="500"/>
        <v>6.344814931582909E-4</v>
      </c>
      <c r="AR611">
        <f t="shared" si="501"/>
        <v>-2.5188915278384147</v>
      </c>
      <c r="AT611">
        <f t="shared" si="523"/>
        <v>-2454.1430365944689</v>
      </c>
      <c r="AU611">
        <f t="shared" si="524"/>
        <v>-146.0438622452393</v>
      </c>
      <c r="AV611">
        <f t="shared" si="511"/>
        <v>-3.0821536442242827</v>
      </c>
      <c r="AW611">
        <f t="shared" si="512"/>
        <v>294.40143206253902</v>
      </c>
      <c r="AX611">
        <f t="shared" si="513"/>
        <v>-1860.5503719851285</v>
      </c>
      <c r="AY611">
        <f t="shared" si="521"/>
        <v>-1.4138639258650951</v>
      </c>
      <c r="BA611">
        <f t="shared" si="502"/>
        <v>1.3051370576474421</v>
      </c>
      <c r="BB611">
        <f t="shared" si="514"/>
        <v>2.3131224212941732</v>
      </c>
      <c r="BC611">
        <f t="shared" si="515"/>
        <v>-1.6682897183591876</v>
      </c>
      <c r="BD611">
        <f t="shared" si="503"/>
        <v>-275.5859599762731</v>
      </c>
      <c r="BF611">
        <f t="shared" si="504"/>
        <v>-66.436731085476978</v>
      </c>
      <c r="BG611">
        <f t="shared" si="505"/>
        <v>-191.28231606140517</v>
      </c>
      <c r="BH611">
        <f t="shared" si="516"/>
        <v>-11.282316061405169</v>
      </c>
      <c r="BI611">
        <f t="shared" si="517"/>
        <v>-11.282316061405169</v>
      </c>
      <c r="BJ611">
        <f t="shared" si="506"/>
        <v>0</v>
      </c>
      <c r="BK611">
        <f t="shared" si="518"/>
        <v>0</v>
      </c>
      <c r="BM611">
        <f t="shared" si="519"/>
        <v>-68.749853506771146</v>
      </c>
      <c r="BN611">
        <f t="shared" si="507"/>
        <v>-95.696356085132109</v>
      </c>
      <c r="BQ611" s="47">
        <f t="shared" si="520"/>
        <v>19.215083221579309</v>
      </c>
    </row>
    <row r="612" spans="1:69">
      <c r="A612">
        <f t="shared" si="525"/>
        <v>1990000</v>
      </c>
      <c r="B612">
        <f t="shared" si="508"/>
        <v>1990</v>
      </c>
      <c r="C612">
        <f t="shared" si="477"/>
        <v>10.052692572965086</v>
      </c>
      <c r="D612">
        <f t="shared" si="478"/>
        <v>1.4711556961285075</v>
      </c>
      <c r="F612">
        <f t="shared" si="479"/>
        <v>2.4156291149348908E-6</v>
      </c>
      <c r="G612">
        <f t="shared" si="480"/>
        <v>4.6859938714195656E-4</v>
      </c>
      <c r="H612">
        <f t="shared" si="481"/>
        <v>-3.1411240506128584</v>
      </c>
      <c r="J612">
        <f t="shared" si="482"/>
        <v>15</v>
      </c>
      <c r="M612">
        <f t="shared" si="483"/>
        <v>7.5677227034470611E-4</v>
      </c>
      <c r="N612">
        <f t="shared" si="484"/>
        <v>-1.5707963250000001</v>
      </c>
      <c r="O612">
        <f t="shared" si="485"/>
        <v>969.64994547999299</v>
      </c>
      <c r="P612">
        <f t="shared" si="486"/>
        <v>1.569765026600507</v>
      </c>
      <c r="Q612">
        <f t="shared" si="487"/>
        <v>756.75483700868062</v>
      </c>
      <c r="R612">
        <f t="shared" si="488"/>
        <v>1.5694748944866692</v>
      </c>
      <c r="S612">
        <f t="shared" si="489"/>
        <v>9.3328977165640342E-2</v>
      </c>
      <c r="T612">
        <f t="shared" si="490"/>
        <v>-1.4773313285989971</v>
      </c>
      <c r="U612">
        <f t="shared" si="491"/>
        <v>6.0033953459795002E-2</v>
      </c>
      <c r="V612">
        <f t="shared" si="492"/>
        <v>-1.5107262535733057</v>
      </c>
      <c r="X612">
        <f t="shared" si="509"/>
        <v>-58.912944811234922</v>
      </c>
      <c r="Y612">
        <f t="shared" si="493"/>
        <v>-177.02002877505646</v>
      </c>
      <c r="Z612">
        <f t="shared" si="510"/>
        <v>2.9799712249435402</v>
      </c>
      <c r="AC612">
        <v>1</v>
      </c>
      <c r="AD612">
        <f t="shared" si="494"/>
        <v>969.64942982985008</v>
      </c>
      <c r="AE612">
        <f t="shared" si="495"/>
        <v>-0.99417203578448732</v>
      </c>
      <c r="AF612">
        <f t="shared" si="496"/>
        <v>5.9791922288154012E-2</v>
      </c>
      <c r="AG612">
        <f t="shared" si="473"/>
        <v>57.445287185755504</v>
      </c>
      <c r="AH612">
        <f t="shared" si="474"/>
        <v>-971.87874020233551</v>
      </c>
      <c r="AJ612">
        <f t="shared" si="497"/>
        <v>22100</v>
      </c>
      <c r="AK612">
        <f t="shared" si="498"/>
        <v>235763.22562258286</v>
      </c>
      <c r="AL612">
        <v>1</v>
      </c>
      <c r="AM612">
        <f t="shared" si="499"/>
        <v>756.75417629243043</v>
      </c>
      <c r="AN612">
        <f t="shared" si="475"/>
        <v>311.58337138254956</v>
      </c>
      <c r="AO612">
        <f t="shared" si="476"/>
        <v>-28.791934436841238</v>
      </c>
      <c r="AQ612">
        <f t="shared" si="500"/>
        <v>6.3129714961130084E-4</v>
      </c>
      <c r="AR612">
        <f t="shared" si="501"/>
        <v>-2.5125626554529776</v>
      </c>
      <c r="AT612">
        <f t="shared" si="523"/>
        <v>-2441.869963215016</v>
      </c>
      <c r="AU612">
        <f t="shared" si="524"/>
        <v>-144.94842759315833</v>
      </c>
      <c r="AV612">
        <f t="shared" si="511"/>
        <v>-3.0823026242864722</v>
      </c>
      <c r="AW612">
        <f t="shared" si="512"/>
        <v>294.4884734271036</v>
      </c>
      <c r="AX612">
        <f t="shared" si="513"/>
        <v>-1855.8916790051194</v>
      </c>
      <c r="AY612">
        <f t="shared" si="521"/>
        <v>-1.4134307026378514</v>
      </c>
      <c r="BA612">
        <f t="shared" si="502"/>
        <v>1.3017690204134078</v>
      </c>
      <c r="BB612">
        <f t="shared" si="514"/>
        <v>2.290678639191797</v>
      </c>
      <c r="BC612">
        <f t="shared" si="515"/>
        <v>-1.6688719216486207</v>
      </c>
      <c r="BD612">
        <f t="shared" si="503"/>
        <v>-275.61931776761435</v>
      </c>
      <c r="BF612">
        <f t="shared" si="504"/>
        <v>-66.481243044528526</v>
      </c>
      <c r="BG612">
        <f t="shared" si="505"/>
        <v>-191.30145650930743</v>
      </c>
      <c r="BH612">
        <f t="shared" si="516"/>
        <v>-11.301456509307428</v>
      </c>
      <c r="BI612">
        <f t="shared" si="517"/>
        <v>-11.301456509307428</v>
      </c>
      <c r="BJ612">
        <f t="shared" si="506"/>
        <v>0</v>
      </c>
      <c r="BK612">
        <f t="shared" si="518"/>
        <v>0</v>
      </c>
      <c r="BM612">
        <f t="shared" si="519"/>
        <v>-68.771921683720322</v>
      </c>
      <c r="BN612">
        <f t="shared" si="507"/>
        <v>-95.682138741693052</v>
      </c>
      <c r="BQ612" s="47">
        <f t="shared" si="520"/>
        <v>19.192639439476935</v>
      </c>
    </row>
    <row r="613" spans="1:69">
      <c r="A613">
        <f t="shared" si="525"/>
        <v>1995000</v>
      </c>
      <c r="B613">
        <f t="shared" si="508"/>
        <v>1995</v>
      </c>
      <c r="C613">
        <f t="shared" si="477"/>
        <v>10.077700965333694</v>
      </c>
      <c r="D613">
        <f t="shared" si="478"/>
        <v>1.4714037785514451</v>
      </c>
      <c r="F613">
        <f t="shared" si="479"/>
        <v>2.4035358435044399E-6</v>
      </c>
      <c r="G613">
        <f t="shared" si="480"/>
        <v>4.6742494700456312E-4</v>
      </c>
      <c r="H613">
        <f t="shared" si="481"/>
        <v>-3.1411252250529955</v>
      </c>
      <c r="J613">
        <f t="shared" si="482"/>
        <v>15</v>
      </c>
      <c r="M613">
        <f t="shared" si="483"/>
        <v>7.5487559798795246E-4</v>
      </c>
      <c r="N613">
        <f t="shared" si="484"/>
        <v>-1.5707963250000001</v>
      </c>
      <c r="O613">
        <f t="shared" si="485"/>
        <v>972.08624928771246</v>
      </c>
      <c r="P613">
        <f t="shared" si="486"/>
        <v>1.5697676113109478</v>
      </c>
      <c r="Q613">
        <f t="shared" si="487"/>
        <v>758.65622775549639</v>
      </c>
      <c r="R613">
        <f t="shared" si="488"/>
        <v>1.56947820634325</v>
      </c>
      <c r="S613">
        <f t="shared" si="489"/>
        <v>9.3097099769584468E-2</v>
      </c>
      <c r="T613">
        <f t="shared" si="490"/>
        <v>-1.4775642199610572</v>
      </c>
      <c r="U613">
        <f t="shared" si="491"/>
        <v>5.988403266689326E-2</v>
      </c>
      <c r="V613">
        <f t="shared" si="492"/>
        <v>-1.510876444583845</v>
      </c>
      <c r="X613">
        <f t="shared" si="509"/>
        <v>-58.956485327408181</v>
      </c>
      <c r="Y613">
        <f t="shared" si="493"/>
        <v>-177.02749314447428</v>
      </c>
      <c r="Z613">
        <f t="shared" si="510"/>
        <v>2.9725068555257224</v>
      </c>
      <c r="AC613">
        <v>1</v>
      </c>
      <c r="AD613">
        <f t="shared" si="494"/>
        <v>972.08573492992514</v>
      </c>
      <c r="AE613">
        <f t="shared" si="495"/>
        <v>-0.99917415134040899</v>
      </c>
      <c r="AF613">
        <f t="shared" si="496"/>
        <v>5.9942153248677008E-2</v>
      </c>
      <c r="AG613">
        <f t="shared" si="473"/>
        <v>57.158733028522441</v>
      </c>
      <c r="AH613">
        <f t="shared" si="474"/>
        <v>-969.46014475630295</v>
      </c>
      <c r="AJ613">
        <f t="shared" si="497"/>
        <v>22100</v>
      </c>
      <c r="AK613">
        <f t="shared" si="498"/>
        <v>236355.59553620743</v>
      </c>
      <c r="AL613">
        <v>1</v>
      </c>
      <c r="AM613">
        <f t="shared" si="499"/>
        <v>758.65556869517525</v>
      </c>
      <c r="AN613">
        <f t="shared" si="475"/>
        <v>311.58318091201795</v>
      </c>
      <c r="AO613">
        <f t="shared" si="476"/>
        <v>-28.719774451220665</v>
      </c>
      <c r="AQ613">
        <f t="shared" si="500"/>
        <v>6.2813671847936146E-4</v>
      </c>
      <c r="AR613">
        <f t="shared" si="501"/>
        <v>-2.5062655067326518</v>
      </c>
      <c r="AT613">
        <f t="shared" si="523"/>
        <v>-2429.6886174557685</v>
      </c>
      <c r="AU613">
        <f t="shared" si="524"/>
        <v>-143.8639145119499</v>
      </c>
      <c r="AV613">
        <f t="shared" si="511"/>
        <v>-3.0824508603015217</v>
      </c>
      <c r="AW613">
        <f t="shared" si="512"/>
        <v>294.57485123283635</v>
      </c>
      <c r="AX613">
        <f t="shared" si="513"/>
        <v>-1851.2562181924607</v>
      </c>
      <c r="AY613">
        <f t="shared" si="521"/>
        <v>-1.4129976561554907</v>
      </c>
      <c r="BA613">
        <f t="shared" si="502"/>
        <v>1.2984176539493757</v>
      </c>
      <c r="BB613">
        <f t="shared" si="514"/>
        <v>2.2682882349567794</v>
      </c>
      <c r="BC613">
        <f t="shared" si="515"/>
        <v>-1.669453204146031</v>
      </c>
      <c r="BD613">
        <f t="shared" si="503"/>
        <v>-275.65262280145885</v>
      </c>
      <c r="BF613">
        <f t="shared" si="504"/>
        <v>-66.52564517389807</v>
      </c>
      <c r="BG613">
        <f t="shared" si="505"/>
        <v>-191.32061475779318</v>
      </c>
      <c r="BH613">
        <f t="shared" si="516"/>
        <v>-11.32061475779318</v>
      </c>
      <c r="BI613">
        <f t="shared" si="517"/>
        <v>-11.32061475779318</v>
      </c>
      <c r="BJ613">
        <f t="shared" si="506"/>
        <v>0</v>
      </c>
      <c r="BK613">
        <f t="shared" si="518"/>
        <v>0</v>
      </c>
      <c r="BM613">
        <f t="shared" si="519"/>
        <v>-68.793933408854855</v>
      </c>
      <c r="BN613">
        <f t="shared" si="507"/>
        <v>-95.667991956334333</v>
      </c>
      <c r="BQ613" s="47">
        <f t="shared" si="520"/>
        <v>19.170249035241916</v>
      </c>
    </row>
    <row r="614" spans="1:69">
      <c r="A614">
        <f t="shared" si="525"/>
        <v>2000000</v>
      </c>
      <c r="B614">
        <f t="shared" si="508"/>
        <v>2000</v>
      </c>
      <c r="C614">
        <f t="shared" si="477"/>
        <v>10.102709974862606</v>
      </c>
      <c r="D614">
        <f t="shared" si="478"/>
        <v>1.4716506327456662</v>
      </c>
      <c r="F614">
        <f t="shared" si="479"/>
        <v>2.3915331584691573E-6</v>
      </c>
      <c r="G614">
        <f t="shared" si="480"/>
        <v>4.6625637910957345E-4</v>
      </c>
      <c r="H614">
        <f t="shared" si="481"/>
        <v>-3.1411263936208909</v>
      </c>
      <c r="J614">
        <f t="shared" si="482"/>
        <v>15</v>
      </c>
      <c r="M614">
        <f t="shared" si="483"/>
        <v>7.529884089929825E-4</v>
      </c>
      <c r="N614">
        <f t="shared" si="484"/>
        <v>-1.5707963250000001</v>
      </c>
      <c r="O614">
        <f t="shared" si="485"/>
        <v>974.52255310189366</v>
      </c>
      <c r="P614">
        <f t="shared" si="486"/>
        <v>1.5697701830978501</v>
      </c>
      <c r="Q614">
        <f t="shared" si="487"/>
        <v>760.55761851059174</v>
      </c>
      <c r="R614">
        <f t="shared" si="488"/>
        <v>1.5694815016405763</v>
      </c>
      <c r="S614">
        <f t="shared" si="489"/>
        <v>9.2866366724907792E-2</v>
      </c>
      <c r="T614">
        <f t="shared" si="490"/>
        <v>-1.4777959569337642</v>
      </c>
      <c r="U614">
        <f t="shared" si="491"/>
        <v>5.9734857455736548E-2</v>
      </c>
      <c r="V614">
        <f t="shared" si="492"/>
        <v>-1.5110258873256321</v>
      </c>
      <c r="X614">
        <f t="shared" si="509"/>
        <v>-58.999917118403971</v>
      </c>
      <c r="Y614">
        <f t="shared" si="493"/>
        <v>-177.03492022471946</v>
      </c>
      <c r="Z614">
        <f t="shared" si="510"/>
        <v>2.9650797752805431</v>
      </c>
      <c r="AC614">
        <v>1</v>
      </c>
      <c r="AD614">
        <f t="shared" si="494"/>
        <v>974.52204003000008</v>
      </c>
      <c r="AE614">
        <f t="shared" si="495"/>
        <v>-1.0041888192565716</v>
      </c>
      <c r="AF614">
        <f t="shared" si="496"/>
        <v>6.009238420920001E-2</v>
      </c>
      <c r="AG614">
        <f t="shared" si="473"/>
        <v>56.874315114889882</v>
      </c>
      <c r="AH614">
        <f t="shared" si="474"/>
        <v>-967.05351445101337</v>
      </c>
      <c r="AJ614">
        <f t="shared" si="497"/>
        <v>22100</v>
      </c>
      <c r="AK614">
        <f t="shared" si="498"/>
        <v>236947.96544983203</v>
      </c>
      <c r="AL614">
        <v>1</v>
      </c>
      <c r="AM614">
        <f t="shared" si="499"/>
        <v>760.55696109791995</v>
      </c>
      <c r="AN614">
        <f t="shared" si="475"/>
        <v>311.5829918682258</v>
      </c>
      <c r="AO614">
        <f t="shared" si="476"/>
        <v>-28.647975263652292</v>
      </c>
      <c r="AQ614">
        <f t="shared" si="500"/>
        <v>6.2499996093750242E-4</v>
      </c>
      <c r="AR614">
        <f t="shared" si="501"/>
        <v>-2.4999998437500097</v>
      </c>
      <c r="AT614">
        <f t="shared" si="523"/>
        <v>-2417.5980885807057</v>
      </c>
      <c r="AU614">
        <f t="shared" si="524"/>
        <v>-142.79018730936988</v>
      </c>
      <c r="AV614">
        <f t="shared" si="511"/>
        <v>-3.0825983578227834</v>
      </c>
      <c r="AW614">
        <f t="shared" si="512"/>
        <v>294.66057223003594</v>
      </c>
      <c r="AX614">
        <f t="shared" si="513"/>
        <v>-1846.6438164908188</v>
      </c>
      <c r="AY614">
        <f t="shared" si="521"/>
        <v>-1.4125647855959977</v>
      </c>
      <c r="BA614">
        <f t="shared" si="502"/>
        <v>1.295082833414178</v>
      </c>
      <c r="BB614">
        <f t="shared" si="514"/>
        <v>2.2459509350515097</v>
      </c>
      <c r="BC614">
        <f t="shared" si="515"/>
        <v>-1.6700335722267856</v>
      </c>
      <c r="BD614">
        <f t="shared" si="503"/>
        <v>-275.68587544308821</v>
      </c>
      <c r="BF614">
        <f t="shared" si="504"/>
        <v>-66.569938037662922</v>
      </c>
      <c r="BG614">
        <f t="shared" si="505"/>
        <v>-191.33979064993096</v>
      </c>
      <c r="BH614">
        <f t="shared" si="516"/>
        <v>-11.339790649930961</v>
      </c>
      <c r="BI614">
        <f t="shared" si="517"/>
        <v>-11.339790649930961</v>
      </c>
      <c r="BJ614">
        <f t="shared" si="506"/>
        <v>0</v>
      </c>
      <c r="BK614">
        <f t="shared" si="518"/>
        <v>0</v>
      </c>
      <c r="BM614">
        <f t="shared" si="519"/>
        <v>-68.815888972714433</v>
      </c>
      <c r="BN614">
        <f t="shared" si="507"/>
        <v>-95.653915206842754</v>
      </c>
      <c r="BQ614" s="47">
        <f t="shared" si="520"/>
        <v>19.147911735336645</v>
      </c>
    </row>
    <row r="615" spans="1:69">
      <c r="A615">
        <f>A614+250000</f>
        <v>2250000</v>
      </c>
      <c r="B615">
        <f t="shared" si="508"/>
        <v>2250</v>
      </c>
      <c r="C615">
        <f t="shared" si="477"/>
        <v>11.353857174801917</v>
      </c>
      <c r="D615">
        <f t="shared" ref="D615:D626" si="526">ATAN(A615/Fesr)</f>
        <v>1.4826062597791301</v>
      </c>
      <c r="F615">
        <f t="shared" si="479"/>
        <v>1.8896055237899238E-6</v>
      </c>
      <c r="G615">
        <f t="shared" ref="G615:G626" si="527">-ATAN(A615*Fo/(Q*(Fo^2-A615^2)))</f>
        <v>4.1444990929936535E-4</v>
      </c>
      <c r="H615">
        <f t="shared" si="481"/>
        <v>-3.1411782000907009</v>
      </c>
      <c r="J615">
        <f t="shared" si="482"/>
        <v>15</v>
      </c>
      <c r="M615">
        <f t="shared" ref="M615:M626" si="528">1/(2*Pi*_Rfb1*(Cc1ea_u+Cc2ea_u)*A615)</f>
        <v>6.6932303021598454E-4</v>
      </c>
      <c r="N615">
        <f t="shared" si="484"/>
        <v>-1.5707963250000001</v>
      </c>
      <c r="O615">
        <f t="shared" ref="O615:O626" si="529">SQRT(1+(A615/Fz1_u)^2)</f>
        <v>1096.3377510976807</v>
      </c>
      <c r="P615">
        <f t="shared" si="486"/>
        <v>1.5698841989969972</v>
      </c>
      <c r="Q615">
        <f t="shared" ref="Q615:Q626" si="530">SQRT(1+(A615/Fz2_u)^2)</f>
        <v>855.62716560203228</v>
      </c>
      <c r="R615">
        <f t="shared" si="488"/>
        <v>1.5696275931830403</v>
      </c>
      <c r="S615">
        <f t="shared" ref="S615:S626" si="531">1/SQRT(1+(A615/Fp1_u)^2)</f>
        <v>8.2622689318260903E-2</v>
      </c>
      <c r="T615">
        <f t="shared" si="490"/>
        <v>-1.4880793434380637</v>
      </c>
      <c r="U615">
        <f t="shared" si="491"/>
        <v>5.3117544466177558E-2</v>
      </c>
      <c r="V615">
        <f t="shared" si="492"/>
        <v>-1.5176537722703911</v>
      </c>
      <c r="X615">
        <f t="shared" ref="X615:X626" si="532">20*LOG(C615*J615*O615*Q615*F615*M615*S615*U615)</f>
        <v>-61.043842906611985</v>
      </c>
      <c r="Y615">
        <f t="shared" ref="Y615:Y626" si="533">(180/Pi)*(D615+H615+N615+P615+R615+T615+V615)</f>
        <v>-177.36421874783727</v>
      </c>
      <c r="Z615">
        <f t="shared" si="510"/>
        <v>2.6357812521627295</v>
      </c>
      <c r="AC615">
        <v>1</v>
      </c>
      <c r="AD615">
        <f t="shared" si="494"/>
        <v>1096.3372950337503</v>
      </c>
      <c r="AE615">
        <f t="shared" si="495"/>
        <v>-1.2709264743715982</v>
      </c>
      <c r="AF615">
        <f t="shared" si="496"/>
        <v>6.7603932235350009E-2</v>
      </c>
      <c r="AG615">
        <f t="shared" si="473"/>
        <v>44.971409218788096</v>
      </c>
      <c r="AH615">
        <f t="shared" si="474"/>
        <v>-860.23627092430286</v>
      </c>
      <c r="AJ615">
        <f t="shared" si="497"/>
        <v>22100</v>
      </c>
      <c r="AK615">
        <f t="shared" si="498"/>
        <v>266566.46113106096</v>
      </c>
      <c r="AL615">
        <v>1</v>
      </c>
      <c r="AM615">
        <f t="shared" si="499"/>
        <v>855.62658123516007</v>
      </c>
      <c r="AN615">
        <f t="shared" si="475"/>
        <v>311.57508643824059</v>
      </c>
      <c r="AO615">
        <f t="shared" si="476"/>
        <v>-25.464876140370208</v>
      </c>
      <c r="AQ615">
        <f t="shared" si="500"/>
        <v>4.9382713610730193E-4</v>
      </c>
      <c r="AR615">
        <f t="shared" si="501"/>
        <v>-2.2222221124828585</v>
      </c>
      <c r="AT615">
        <f t="shared" si="523"/>
        <v>-1911.6138551055597</v>
      </c>
      <c r="AU615">
        <f t="shared" si="524"/>
        <v>-100.36126800955256</v>
      </c>
      <c r="AV615">
        <f t="shared" si="511"/>
        <v>-3.0891400046446229</v>
      </c>
      <c r="AW615">
        <f t="shared" si="512"/>
        <v>298.23651570296374</v>
      </c>
      <c r="AX615">
        <f t="shared" si="513"/>
        <v>-1642.0466720182255</v>
      </c>
      <c r="AY615">
        <f t="shared" si="521"/>
        <v>-1.391129957813483</v>
      </c>
      <c r="BA615">
        <f t="shared" si="502"/>
        <v>1.1470037211503907</v>
      </c>
      <c r="BB615">
        <f t="shared" si="514"/>
        <v>1.1912965371440905</v>
      </c>
      <c r="BC615">
        <f t="shared" si="515"/>
        <v>-1.6980100468311399</v>
      </c>
      <c r="BD615">
        <f t="shared" si="503"/>
        <v>-277.28880936540423</v>
      </c>
      <c r="BF615">
        <f t="shared" si="504"/>
        <v>-68.656586750464513</v>
      </c>
      <c r="BG615">
        <f t="shared" si="505"/>
        <v>-192.3179816726678</v>
      </c>
      <c r="BH615">
        <f t="shared" si="516"/>
        <v>-12.317981672667798</v>
      </c>
      <c r="BI615">
        <f t="shared" si="517"/>
        <v>-12.317981672667798</v>
      </c>
      <c r="BJ615">
        <f t="shared" si="506"/>
        <v>0</v>
      </c>
      <c r="BK615">
        <f t="shared" si="518"/>
        <v>0</v>
      </c>
      <c r="BM615">
        <f t="shared" si="519"/>
        <v>-69.847883287608596</v>
      </c>
      <c r="BN615">
        <f t="shared" si="507"/>
        <v>-95.029172307263551</v>
      </c>
      <c r="BQ615" s="47">
        <f t="shared" si="520"/>
        <v>18.093257337429229</v>
      </c>
    </row>
    <row r="616" spans="1:69">
      <c r="A616">
        <f t="shared" ref="A616:A626" si="534">A615+250000</f>
        <v>2500000</v>
      </c>
      <c r="B616">
        <f t="shared" si="508"/>
        <v>2500</v>
      </c>
      <c r="C616">
        <f t="shared" si="477"/>
        <v>12.606096543202595</v>
      </c>
      <c r="D616">
        <f t="shared" si="526"/>
        <v>1.4913861965381057</v>
      </c>
      <c r="F616">
        <f t="shared" si="479"/>
        <v>1.5305799398379623E-6</v>
      </c>
      <c r="G616">
        <f t="shared" si="527"/>
        <v>3.7300478609861559E-4</v>
      </c>
      <c r="H616">
        <f t="shared" si="481"/>
        <v>-3.1412196452139014</v>
      </c>
      <c r="J616">
        <f t="shared" si="482"/>
        <v>15</v>
      </c>
      <c r="M616">
        <f t="shared" si="528"/>
        <v>6.0239072719438604E-4</v>
      </c>
      <c r="N616">
        <f t="shared" si="484"/>
        <v>-1.5707963250000001</v>
      </c>
      <c r="O616">
        <f t="shared" si="529"/>
        <v>1218.1529604950538</v>
      </c>
      <c r="P616">
        <f t="shared" si="486"/>
        <v>1.5699754117335314</v>
      </c>
      <c r="Q616">
        <f t="shared" si="530"/>
        <v>950.69672730261925</v>
      </c>
      <c r="R616">
        <f t="shared" si="488"/>
        <v>1.5697444664532301</v>
      </c>
      <c r="S616">
        <f t="shared" si="531"/>
        <v>7.4408691444536781E-2</v>
      </c>
      <c r="T616">
        <f t="shared" si="490"/>
        <v>-1.4963188011902266</v>
      </c>
      <c r="U616">
        <f t="shared" si="491"/>
        <v>4.7818609037061033E-2</v>
      </c>
      <c r="V616">
        <f t="shared" si="492"/>
        <v>-1.5229594751540632</v>
      </c>
      <c r="X616">
        <f t="shared" si="532"/>
        <v>-62.872587740103555</v>
      </c>
      <c r="Y616">
        <f t="shared" si="533"/>
        <v>-177.62769814539718</v>
      </c>
      <c r="Z616">
        <f t="shared" si="510"/>
        <v>2.3723018546028243</v>
      </c>
      <c r="AC616">
        <v>1</v>
      </c>
      <c r="AD616">
        <f t="shared" si="494"/>
        <v>1218.1525500375001</v>
      </c>
      <c r="AE616">
        <f t="shared" si="495"/>
        <v>-1.5690450300883931</v>
      </c>
      <c r="AF616">
        <f t="shared" si="496"/>
        <v>7.5115480261500001E-2</v>
      </c>
      <c r="AG616">
        <f t="shared" ref="AG616:AG626" si="535">AC616*AE616/(AE616^2+AF616^2)+AD616*AF616/(AE616^2+AF616^2)</f>
        <v>36.446379641349409</v>
      </c>
      <c r="AH616">
        <f t="shared" ref="AH616:AH626" si="536">AD616*AE616/(AE616^2+AF616^2)-AC616*AF616/(AE616^2+AF616^2)</f>
        <v>-774.62076576506922</v>
      </c>
      <c r="AJ616">
        <f t="shared" si="497"/>
        <v>22100</v>
      </c>
      <c r="AK616">
        <f t="shared" si="498"/>
        <v>296184.95681229001</v>
      </c>
      <c r="AL616">
        <v>1</v>
      </c>
      <c r="AM616">
        <f t="shared" si="499"/>
        <v>950.69620137239997</v>
      </c>
      <c r="AN616">
        <f t="shared" ref="AN616:AN626" si="537">AJ616*AL616/(AL616^2+AM616^2)+AK616*AM616/(AL616^2+AM616^2)</f>
        <v>311.56943172715575</v>
      </c>
      <c r="AO616">
        <f t="shared" ref="AO616:AO626" si="538">AK616*AL616/(AL616^2+AM616^2)-AJ616*AM616/(AL616^2+AM616^2)</f>
        <v>-22.918394474301714</v>
      </c>
      <c r="AQ616">
        <f t="shared" si="500"/>
        <v>3.9999998400000063E-4</v>
      </c>
      <c r="AR616">
        <f t="shared" si="501"/>
        <v>-1.9999999200000032</v>
      </c>
      <c r="AT616">
        <f t="shared" si="523"/>
        <v>-1549.2268910092062</v>
      </c>
      <c r="AU616">
        <f t="shared" si="524"/>
        <v>-73.202604660900661</v>
      </c>
      <c r="AV616">
        <f t="shared" si="511"/>
        <v>-3.0943767170129917</v>
      </c>
      <c r="AW616">
        <f t="shared" si="512"/>
        <v>300.7838871322457</v>
      </c>
      <c r="AX616">
        <f t="shared" si="513"/>
        <v>-1478.2194323052397</v>
      </c>
      <c r="AY616">
        <f t="shared" si="521"/>
        <v>-1.3700595936273492</v>
      </c>
      <c r="BA616">
        <f t="shared" si="502"/>
        <v>1.0281370108780681</v>
      </c>
      <c r="BB616">
        <f t="shared" si="514"/>
        <v>0.24101986329022304</v>
      </c>
      <c r="BC616">
        <f t="shared" si="515"/>
        <v>-1.7243171233856425</v>
      </c>
      <c r="BD616">
        <f t="shared" si="503"/>
        <v>-278.79609382502713</v>
      </c>
      <c r="BF616">
        <f t="shared" si="504"/>
        <v>-70.528422037887736</v>
      </c>
      <c r="BG616">
        <f t="shared" si="505"/>
        <v>-193.32458744167829</v>
      </c>
      <c r="BH616">
        <f t="shared" si="516"/>
        <v>-13.32458744167829</v>
      </c>
      <c r="BI616">
        <f t="shared" si="517"/>
        <v>-13.32458744167829</v>
      </c>
      <c r="BJ616">
        <f t="shared" si="506"/>
        <v>0</v>
      </c>
      <c r="BK616">
        <f t="shared" si="518"/>
        <v>0</v>
      </c>
      <c r="BM616">
        <f t="shared" si="519"/>
        <v>-70.769441901177956</v>
      </c>
      <c r="BN616">
        <f t="shared" si="507"/>
        <v>-94.528493616651161</v>
      </c>
      <c r="BQ616" s="47">
        <f t="shared" si="520"/>
        <v>17.142980663575361</v>
      </c>
    </row>
    <row r="617" spans="1:69">
      <c r="A617">
        <f t="shared" si="534"/>
        <v>2750000</v>
      </c>
      <c r="B617">
        <f t="shared" si="508"/>
        <v>2750</v>
      </c>
      <c r="C617">
        <f t="shared" si="477"/>
        <v>13.859132035175174</v>
      </c>
      <c r="D617">
        <f t="shared" si="526"/>
        <v>1.498578979355814</v>
      </c>
      <c r="F617">
        <f t="shared" si="479"/>
        <v>1.2649417722471429E-6</v>
      </c>
      <c r="G617">
        <f t="shared" si="527"/>
        <v>3.3909517112111931E-4</v>
      </c>
      <c r="H617">
        <f t="shared" si="481"/>
        <v>-3.1412535548288791</v>
      </c>
      <c r="J617">
        <f t="shared" si="482"/>
        <v>15</v>
      </c>
      <c r="M617">
        <f t="shared" si="528"/>
        <v>5.4762793381307815E-4</v>
      </c>
      <c r="N617">
        <f t="shared" si="484"/>
        <v>-1.5707963250000001</v>
      </c>
      <c r="O617">
        <f t="shared" si="529"/>
        <v>1339.9681781844918</v>
      </c>
      <c r="P617">
        <f t="shared" si="486"/>
        <v>1.5700500403463791</v>
      </c>
      <c r="Q617">
        <f t="shared" si="530"/>
        <v>1045.766299628044</v>
      </c>
      <c r="R617">
        <f t="shared" si="488"/>
        <v>1.5698400900594482</v>
      </c>
      <c r="S617">
        <f t="shared" si="531"/>
        <v>6.7676788306866617E-2</v>
      </c>
      <c r="T617">
        <f t="shared" si="490"/>
        <v>-1.503067770104705</v>
      </c>
      <c r="U617">
        <f t="shared" si="491"/>
        <v>4.3480091182360181E-2</v>
      </c>
      <c r="V617">
        <f t="shared" si="492"/>
        <v>-1.527302523959482</v>
      </c>
      <c r="X617">
        <f t="shared" si="532"/>
        <v>-64.527145349465201</v>
      </c>
      <c r="Y617">
        <f t="shared" si="533"/>
        <v>-177.84329599308694</v>
      </c>
      <c r="Z617">
        <f t="shared" si="510"/>
        <v>2.1567040069130599</v>
      </c>
      <c r="AC617">
        <v>1</v>
      </c>
      <c r="AD617">
        <f t="shared" si="494"/>
        <v>1339.9678050412501</v>
      </c>
      <c r="AE617">
        <f t="shared" si="495"/>
        <v>-1.8985444864069558</v>
      </c>
      <c r="AF617">
        <f t="shared" si="496"/>
        <v>8.2627028287650006E-2</v>
      </c>
      <c r="AG617">
        <f t="shared" si="535"/>
        <v>30.132933203790117</v>
      </c>
      <c r="AH617">
        <f t="shared" si="536"/>
        <v>-704.47546522770301</v>
      </c>
      <c r="AJ617">
        <f t="shared" si="497"/>
        <v>22100</v>
      </c>
      <c r="AK617">
        <f t="shared" si="498"/>
        <v>325803.452493519</v>
      </c>
      <c r="AL617">
        <v>1</v>
      </c>
      <c r="AM617">
        <f t="shared" si="499"/>
        <v>1045.7658215096401</v>
      </c>
      <c r="AN617">
        <f t="shared" si="537"/>
        <v>311.56524787856989</v>
      </c>
      <c r="AO617">
        <f t="shared" si="538"/>
        <v>-20.834908068297946</v>
      </c>
      <c r="AQ617">
        <f t="shared" si="500"/>
        <v>3.3057850146847931E-4</v>
      </c>
      <c r="AR617">
        <f t="shared" si="501"/>
        <v>-1.8181817580766362</v>
      </c>
      <c r="AT617">
        <f t="shared" si="523"/>
        <v>-1280.8544785896579</v>
      </c>
      <c r="AU617">
        <f t="shared" si="524"/>
        <v>-55.020033912089247</v>
      </c>
      <c r="AV617">
        <f t="shared" si="511"/>
        <v>-3.0986633190230815</v>
      </c>
      <c r="AW617">
        <f t="shared" si="512"/>
        <v>302.66301855172861</v>
      </c>
      <c r="AX617">
        <f t="shared" si="513"/>
        <v>-1344.0899599562986</v>
      </c>
      <c r="AY617">
        <f t="shared" si="521"/>
        <v>-1.3493099686941494</v>
      </c>
      <c r="BA617">
        <f t="shared" si="502"/>
        <v>0.9305315287128374</v>
      </c>
      <c r="BB617">
        <f t="shared" si="514"/>
        <v>-0.62537814622511978</v>
      </c>
      <c r="BC617">
        <f t="shared" si="515"/>
        <v>-1.749353350328932</v>
      </c>
      <c r="BD617">
        <f t="shared" si="503"/>
        <v>-280.23056396544848</v>
      </c>
      <c r="BF617">
        <f t="shared" si="504"/>
        <v>-72.227421628501617</v>
      </c>
      <c r="BG617">
        <f t="shared" si="505"/>
        <v>-194.34888436104518</v>
      </c>
      <c r="BH617">
        <f t="shared" si="516"/>
        <v>-14.34888436104518</v>
      </c>
      <c r="BI617">
        <f t="shared" si="517"/>
        <v>-14.34888436104518</v>
      </c>
      <c r="BJ617">
        <f t="shared" si="506"/>
        <v>0</v>
      </c>
      <c r="BK617">
        <f t="shared" si="518"/>
        <v>0</v>
      </c>
      <c r="BM617">
        <f t="shared" si="519"/>
        <v>-71.6020434822765</v>
      </c>
      <c r="BN617">
        <f t="shared" si="507"/>
        <v>-94.118320395596712</v>
      </c>
      <c r="BQ617" s="47">
        <f t="shared" si="520"/>
        <v>16.276582654060018</v>
      </c>
    </row>
    <row r="618" spans="1:69">
      <c r="A618">
        <f t="shared" si="534"/>
        <v>3000000</v>
      </c>
      <c r="B618">
        <f t="shared" si="508"/>
        <v>3000</v>
      </c>
      <c r="C618">
        <f t="shared" si="477"/>
        <v>15.112765626496822</v>
      </c>
      <c r="D618">
        <f t="shared" si="526"/>
        <v>1.5045787201710388</v>
      </c>
      <c r="F618">
        <f t="shared" si="479"/>
        <v>1.062902252549067E-6</v>
      </c>
      <c r="G618">
        <f t="shared" si="527"/>
        <v>3.1083717816551148E-4</v>
      </c>
      <c r="H618">
        <f t="shared" si="481"/>
        <v>-3.1412818128218345</v>
      </c>
      <c r="J618">
        <f t="shared" si="482"/>
        <v>15</v>
      </c>
      <c r="M618">
        <f t="shared" si="528"/>
        <v>5.019922726619883E-4</v>
      </c>
      <c r="N618">
        <f t="shared" si="484"/>
        <v>-1.5707963250000001</v>
      </c>
      <c r="O618">
        <f t="shared" si="529"/>
        <v>1461.7834020929793</v>
      </c>
      <c r="P618">
        <f t="shared" si="486"/>
        <v>1.5701122308634705</v>
      </c>
      <c r="Q618">
        <f t="shared" si="530"/>
        <v>1140.8358799220996</v>
      </c>
      <c r="R618">
        <f t="shared" si="488"/>
        <v>1.5699197764113961</v>
      </c>
      <c r="S618">
        <f t="shared" si="531"/>
        <v>6.2059760052109288E-2</v>
      </c>
      <c r="T618">
        <f t="shared" si="490"/>
        <v>-1.508696661239455</v>
      </c>
      <c r="U618">
        <f t="shared" si="491"/>
        <v>3.9862769141704564E-2</v>
      </c>
      <c r="V618">
        <f t="shared" si="492"/>
        <v>-1.5309229928386892</v>
      </c>
      <c r="X618">
        <f t="shared" si="532"/>
        <v>-66.037813597439055</v>
      </c>
      <c r="Y618">
        <f t="shared" si="533"/>
        <v>-178.0229755763317</v>
      </c>
      <c r="Z618">
        <f t="shared" si="510"/>
        <v>1.977024423668297</v>
      </c>
      <c r="AC618">
        <v>1</v>
      </c>
      <c r="AD618">
        <f t="shared" si="494"/>
        <v>1461.7830600450002</v>
      </c>
      <c r="AE618">
        <f t="shared" si="495"/>
        <v>-2.2594248433272859</v>
      </c>
      <c r="AF618">
        <f t="shared" si="496"/>
        <v>9.0138576313800012E-2</v>
      </c>
      <c r="AG618">
        <f t="shared" si="535"/>
        <v>25.327682041268957</v>
      </c>
      <c r="AH618">
        <f t="shared" si="536"/>
        <v>-645.96087944893759</v>
      </c>
      <c r="AJ618">
        <f t="shared" si="497"/>
        <v>22100</v>
      </c>
      <c r="AK618">
        <f t="shared" si="498"/>
        <v>355421.94817474799</v>
      </c>
      <c r="AL618">
        <v>1</v>
      </c>
      <c r="AM618">
        <f t="shared" si="499"/>
        <v>1140.8354416468799</v>
      </c>
      <c r="AN618">
        <f t="shared" si="537"/>
        <v>311.56206571752477</v>
      </c>
      <c r="AO618">
        <f t="shared" si="538"/>
        <v>-19.09866851859832</v>
      </c>
      <c r="AQ618">
        <f t="shared" si="500"/>
        <v>2.7777777006172862E-4</v>
      </c>
      <c r="AR618">
        <f t="shared" si="501"/>
        <v>-1.6666666203703717</v>
      </c>
      <c r="AT618">
        <f t="shared" si="523"/>
        <v>-1076.5944003755956</v>
      </c>
      <c r="AU618">
        <f t="shared" si="524"/>
        <v>-42.392235802177531</v>
      </c>
      <c r="AV618">
        <f t="shared" si="511"/>
        <v>-3.1022367488998883</v>
      </c>
      <c r="AW618">
        <f t="shared" si="512"/>
        <v>304.08903915240876</v>
      </c>
      <c r="AX618">
        <f t="shared" si="513"/>
        <v>-1232.2597587844489</v>
      </c>
      <c r="AY618">
        <f t="shared" si="521"/>
        <v>-1.3288566783814486</v>
      </c>
      <c r="BA618">
        <f t="shared" si="502"/>
        <v>0.84888650900673956</v>
      </c>
      <c r="BB618">
        <f t="shared" si="514"/>
        <v>-1.423007368425067</v>
      </c>
      <c r="BC618">
        <f t="shared" si="515"/>
        <v>-1.7733800705184397</v>
      </c>
      <c r="BD618">
        <f t="shared" si="503"/>
        <v>-281.60719362942206</v>
      </c>
      <c r="BF618">
        <f t="shared" si="504"/>
        <v>-73.784436694199883</v>
      </c>
      <c r="BG618">
        <f t="shared" si="505"/>
        <v>-195.38337326147689</v>
      </c>
      <c r="BH618">
        <f t="shared" si="516"/>
        <v>-15.383373261476891</v>
      </c>
      <c r="BI618">
        <f t="shared" si="517"/>
        <v>-15.383373261476891</v>
      </c>
      <c r="BJ618">
        <f t="shared" si="506"/>
        <v>0</v>
      </c>
      <c r="BK618">
        <f t="shared" si="518"/>
        <v>0</v>
      </c>
      <c r="BM618">
        <f t="shared" si="519"/>
        <v>-72.361429325774807</v>
      </c>
      <c r="BN618">
        <f t="shared" si="507"/>
        <v>-93.776179632054834</v>
      </c>
      <c r="BQ618" s="47">
        <f t="shared" si="520"/>
        <v>15.47895343186007</v>
      </c>
    </row>
    <row r="619" spans="1:69">
      <c r="A619">
        <f t="shared" si="534"/>
        <v>3250000</v>
      </c>
      <c r="B619">
        <f t="shared" si="508"/>
        <v>3250</v>
      </c>
      <c r="C619">
        <f t="shared" si="477"/>
        <v>16.366859881955364</v>
      </c>
      <c r="D619">
        <f t="shared" si="526"/>
        <v>1.5096591729624167</v>
      </c>
      <c r="F619">
        <f t="shared" si="479"/>
        <v>9.0566805302826688E-7</v>
      </c>
      <c r="G619">
        <f t="shared" si="527"/>
        <v>2.8692658143922962E-4</v>
      </c>
      <c r="H619">
        <f t="shared" si="481"/>
        <v>-3.1413057234185611</v>
      </c>
      <c r="J619">
        <f t="shared" si="482"/>
        <v>15</v>
      </c>
      <c r="M619">
        <f t="shared" si="528"/>
        <v>4.6337748245722001E-4</v>
      </c>
      <c r="N619">
        <f t="shared" si="484"/>
        <v>-1.5707963250000001</v>
      </c>
      <c r="O619">
        <f t="shared" si="529"/>
        <v>1583.5986307853516</v>
      </c>
      <c r="P619">
        <f t="shared" si="486"/>
        <v>1.5701648536128543</v>
      </c>
      <c r="Q619">
        <f t="shared" si="530"/>
        <v>1235.9054663458728</v>
      </c>
      <c r="R619">
        <f t="shared" si="488"/>
        <v>1.5699872033333182</v>
      </c>
      <c r="S619">
        <f t="shared" si="531"/>
        <v>5.7302258254654466E-2</v>
      </c>
      <c r="T619">
        <f t="shared" si="490"/>
        <v>-1.5134626629864265</v>
      </c>
      <c r="U619">
        <f t="shared" si="491"/>
        <v>3.6800727823026978E-2</v>
      </c>
      <c r="V619">
        <f t="shared" si="492"/>
        <v>-1.5339872874073719</v>
      </c>
      <c r="X619">
        <f t="shared" si="532"/>
        <v>-67.427617720929433</v>
      </c>
      <c r="Y619">
        <f t="shared" si="533"/>
        <v>-178.17502164154814</v>
      </c>
      <c r="Z619">
        <f t="shared" si="510"/>
        <v>1.8249783584518582</v>
      </c>
      <c r="AC619">
        <v>1</v>
      </c>
      <c r="AD619">
        <f t="shared" si="494"/>
        <v>1583.59831504875</v>
      </c>
      <c r="AE619">
        <f t="shared" si="495"/>
        <v>-2.6516861008493837</v>
      </c>
      <c r="AF619">
        <f t="shared" si="496"/>
        <v>9.7650124339950017E-2</v>
      </c>
      <c r="AG619">
        <f t="shared" si="535"/>
        <v>21.586057644171269</v>
      </c>
      <c r="AH619">
        <f t="shared" si="536"/>
        <v>-596.40936886504289</v>
      </c>
      <c r="AJ619">
        <f t="shared" si="497"/>
        <v>22100</v>
      </c>
      <c r="AK619">
        <f t="shared" si="498"/>
        <v>385040.44385597698</v>
      </c>
      <c r="AL619">
        <v>1</v>
      </c>
      <c r="AM619">
        <f t="shared" si="499"/>
        <v>1235.9050617841201</v>
      </c>
      <c r="AN619">
        <f t="shared" si="537"/>
        <v>311.55958924732613</v>
      </c>
      <c r="AO619">
        <f t="shared" si="538"/>
        <v>-17.629542174784405</v>
      </c>
      <c r="AQ619">
        <f t="shared" si="500"/>
        <v>2.3668638493049978E-4</v>
      </c>
      <c r="AR619">
        <f t="shared" si="501"/>
        <v>-1.5384615020482484</v>
      </c>
      <c r="AT619">
        <f t="shared" si="523"/>
        <v>-917.54774433381306</v>
      </c>
      <c r="AU619">
        <f t="shared" si="524"/>
        <v>-33.350480644007149</v>
      </c>
      <c r="AV619">
        <f t="shared" si="511"/>
        <v>-3.1052612412316782</v>
      </c>
      <c r="AW619">
        <f t="shared" si="512"/>
        <v>305.19689584886675</v>
      </c>
      <c r="AX619">
        <f t="shared" si="513"/>
        <v>-1137.5979813488161</v>
      </c>
      <c r="AY619">
        <f t="shared" si="521"/>
        <v>-1.3086865870961495</v>
      </c>
      <c r="BA619">
        <f t="shared" si="502"/>
        <v>0.77953243618737145</v>
      </c>
      <c r="BB619">
        <f t="shared" si="514"/>
        <v>-2.1633161838681607</v>
      </c>
      <c r="BC619">
        <f t="shared" si="515"/>
        <v>-1.7965746541355287</v>
      </c>
      <c r="BD619">
        <f t="shared" si="503"/>
        <v>-282.93614537976305</v>
      </c>
      <c r="BF619">
        <f t="shared" si="504"/>
        <v>-75.222802744765303</v>
      </c>
      <c r="BG619">
        <f t="shared" si="505"/>
        <v>-196.42260648480351</v>
      </c>
      <c r="BH619">
        <f t="shared" si="516"/>
        <v>-16.422606484803509</v>
      </c>
      <c r="BI619">
        <f t="shared" si="517"/>
        <v>-16.422606484803509</v>
      </c>
      <c r="BJ619">
        <f t="shared" si="506"/>
        <v>0</v>
      </c>
      <c r="BK619">
        <f t="shared" si="518"/>
        <v>0</v>
      </c>
      <c r="BM619">
        <f t="shared" si="519"/>
        <v>-73.059486560897142</v>
      </c>
      <c r="BN619">
        <f t="shared" si="507"/>
        <v>-93.486461105040448</v>
      </c>
      <c r="BQ619" s="47">
        <f t="shared" si="520"/>
        <v>14.738644616416977</v>
      </c>
    </row>
    <row r="620" spans="1:69">
      <c r="A620">
        <f t="shared" si="534"/>
        <v>3500000</v>
      </c>
      <c r="B620">
        <f t="shared" si="508"/>
        <v>3500</v>
      </c>
      <c r="C620">
        <f t="shared" si="477"/>
        <v>17.621316446588974</v>
      </c>
      <c r="D620">
        <f t="shared" si="526"/>
        <v>1.5140163732429974</v>
      </c>
      <c r="F620">
        <f t="shared" si="479"/>
        <v>7.8090756321633668E-7</v>
      </c>
      <c r="G620">
        <f t="shared" si="527"/>
        <v>2.6643179279087253E-4</v>
      </c>
      <c r="H620">
        <f t="shared" si="481"/>
        <v>-3.1413262182072095</v>
      </c>
      <c r="J620">
        <f t="shared" si="482"/>
        <v>15</v>
      </c>
      <c r="M620">
        <f t="shared" si="528"/>
        <v>4.3027909085313284E-4</v>
      </c>
      <c r="N620">
        <f t="shared" si="484"/>
        <v>-1.5707963250000001</v>
      </c>
      <c r="O620">
        <f t="shared" si="529"/>
        <v>1705.4138632364914</v>
      </c>
      <c r="P620">
        <f t="shared" si="486"/>
        <v>1.5702099588294065</v>
      </c>
      <c r="Q620">
        <f t="shared" si="530"/>
        <v>1330.9750575858532</v>
      </c>
      <c r="R620">
        <f t="shared" si="488"/>
        <v>1.5700449978437017</v>
      </c>
      <c r="S620">
        <f t="shared" si="531"/>
        <v>5.3221277842545628E-2</v>
      </c>
      <c r="T620">
        <f t="shared" si="490"/>
        <v>-1.5175498919559425</v>
      </c>
      <c r="U620">
        <f t="shared" si="491"/>
        <v>3.4175292441575168E-2</v>
      </c>
      <c r="V620">
        <f t="shared" si="492"/>
        <v>-1.5366143783455157</v>
      </c>
      <c r="X620">
        <f t="shared" si="532"/>
        <v>-68.714465518859967</v>
      </c>
      <c r="Y620">
        <f t="shared" si="533"/>
        <v>-178.30535319296123</v>
      </c>
      <c r="Z620">
        <f t="shared" si="510"/>
        <v>1.6946468070387652</v>
      </c>
      <c r="AC620">
        <v>1</v>
      </c>
      <c r="AD620">
        <f t="shared" si="494"/>
        <v>1705.4135700525003</v>
      </c>
      <c r="AE620">
        <f t="shared" si="495"/>
        <v>-3.0753282589732498</v>
      </c>
      <c r="AF620">
        <f t="shared" si="496"/>
        <v>0.10516167236610002</v>
      </c>
      <c r="AG620">
        <f t="shared" si="535"/>
        <v>18.615941076506004</v>
      </c>
      <c r="AH620">
        <f t="shared" si="536"/>
        <v>-553.9102635908381</v>
      </c>
      <c r="AJ620">
        <f t="shared" si="497"/>
        <v>22100</v>
      </c>
      <c r="AK620">
        <f t="shared" si="498"/>
        <v>414658.93953720602</v>
      </c>
      <c r="AL620">
        <v>1</v>
      </c>
      <c r="AM620">
        <f t="shared" si="499"/>
        <v>1330.9746819213601</v>
      </c>
      <c r="AN620">
        <f t="shared" si="537"/>
        <v>311.55762424363343</v>
      </c>
      <c r="AO620">
        <f t="shared" si="538"/>
        <v>-16.370290638664244</v>
      </c>
      <c r="AQ620">
        <f t="shared" si="500"/>
        <v>2.0408162848813003E-4</v>
      </c>
      <c r="AR620">
        <f t="shared" si="501"/>
        <v>-1.4285713994169102</v>
      </c>
      <c r="AT620">
        <f t="shared" si="523"/>
        <v>-791.2965612377825</v>
      </c>
      <c r="AU620">
        <f t="shared" si="524"/>
        <v>-26.707243903756833</v>
      </c>
      <c r="AV620">
        <f t="shared" si="511"/>
        <v>-3.107854215964017</v>
      </c>
      <c r="AW620">
        <f t="shared" si="512"/>
        <v>306.07474793774418</v>
      </c>
      <c r="AX620">
        <f t="shared" si="513"/>
        <v>-1056.4349167411187</v>
      </c>
      <c r="AY620">
        <f t="shared" si="521"/>
        <v>-1.2887933396523756</v>
      </c>
      <c r="BA620">
        <f t="shared" si="502"/>
        <v>0.71984851114700199</v>
      </c>
      <c r="BB620">
        <f t="shared" si="514"/>
        <v>-2.8551777851281352</v>
      </c>
      <c r="BC620">
        <f t="shared" si="515"/>
        <v>-1.8190608763116414</v>
      </c>
      <c r="BD620">
        <f t="shared" si="503"/>
        <v>-284.22451100911996</v>
      </c>
      <c r="BF620">
        <f t="shared" si="504"/>
        <v>-76.560593014888653</v>
      </c>
      <c r="BG620">
        <f t="shared" si="505"/>
        <v>-197.46249719219756</v>
      </c>
      <c r="BH620">
        <f t="shared" si="516"/>
        <v>-17.46249719219756</v>
      </c>
      <c r="BI620">
        <f t="shared" si="517"/>
        <v>-17.46249719219756</v>
      </c>
      <c r="BJ620">
        <f t="shared" si="506"/>
        <v>0</v>
      </c>
      <c r="BK620">
        <f t="shared" si="518"/>
        <v>0</v>
      </c>
      <c r="BM620">
        <f t="shared" si="519"/>
        <v>-73.705415229760519</v>
      </c>
      <c r="BN620">
        <f t="shared" si="507"/>
        <v>-93.237986183077609</v>
      </c>
      <c r="BQ620" s="47">
        <f t="shared" si="520"/>
        <v>14.046783015157002</v>
      </c>
    </row>
    <row r="621" spans="1:69">
      <c r="A621">
        <f t="shared" si="534"/>
        <v>3750000</v>
      </c>
      <c r="B621">
        <f t="shared" si="508"/>
        <v>3750</v>
      </c>
      <c r="C621">
        <f t="shared" si="477"/>
        <v>18.876063086015179</v>
      </c>
      <c r="D621">
        <f t="shared" si="526"/>
        <v>1.517794366044795</v>
      </c>
      <c r="F621">
        <f t="shared" si="479"/>
        <v>6.8025718847985475E-7</v>
      </c>
      <c r="G621">
        <f t="shared" si="527"/>
        <v>2.4866964855066643E-4</v>
      </c>
      <c r="H621">
        <f t="shared" si="481"/>
        <v>-3.1413439803514493</v>
      </c>
      <c r="J621">
        <f t="shared" si="482"/>
        <v>15</v>
      </c>
      <c r="M621">
        <f t="shared" si="528"/>
        <v>4.0159381812959071E-4</v>
      </c>
      <c r="N621">
        <f t="shared" si="484"/>
        <v>-1.5707963250000001</v>
      </c>
      <c r="O621">
        <f t="shared" si="529"/>
        <v>1827.229098694645</v>
      </c>
      <c r="P621">
        <f t="shared" si="486"/>
        <v>1.5702490500190216</v>
      </c>
      <c r="Q621">
        <f t="shared" si="530"/>
        <v>1426.0446526787998</v>
      </c>
      <c r="R621">
        <f t="shared" si="488"/>
        <v>1.5700950864234413</v>
      </c>
      <c r="S621">
        <f t="shared" si="531"/>
        <v>4.968226244003348E-2</v>
      </c>
      <c r="T621">
        <f t="shared" si="490"/>
        <v>-1.5210936029392785</v>
      </c>
      <c r="U621">
        <f t="shared" si="491"/>
        <v>3.189934069979522E-2</v>
      </c>
      <c r="V621">
        <f t="shared" si="492"/>
        <v>-1.5388915736586317</v>
      </c>
      <c r="X621">
        <f t="shared" si="532"/>
        <v>-69.912559262612746</v>
      </c>
      <c r="Y621">
        <f t="shared" si="533"/>
        <v>-178.41831158574243</v>
      </c>
      <c r="Z621">
        <f t="shared" si="510"/>
        <v>1.5816884142575702</v>
      </c>
      <c r="AC621">
        <v>1</v>
      </c>
      <c r="AD621">
        <f t="shared" si="494"/>
        <v>1827.2288250562501</v>
      </c>
      <c r="AE621">
        <f t="shared" si="495"/>
        <v>-3.5303513176988832</v>
      </c>
      <c r="AF621">
        <f t="shared" si="496"/>
        <v>0.11267322039225001</v>
      </c>
      <c r="AG621">
        <f t="shared" si="535"/>
        <v>16.218994655791825</v>
      </c>
      <c r="AH621">
        <f t="shared" si="536"/>
        <v>-517.05941262714646</v>
      </c>
      <c r="AJ621">
        <f t="shared" si="497"/>
        <v>22100</v>
      </c>
      <c r="AK621">
        <f t="shared" si="498"/>
        <v>444277.43521843501</v>
      </c>
      <c r="AL621">
        <v>1</v>
      </c>
      <c r="AM621">
        <f t="shared" si="499"/>
        <v>1426.0443020586001</v>
      </c>
      <c r="AN621">
        <f t="shared" si="537"/>
        <v>311.55603897866763</v>
      </c>
      <c r="AO621">
        <f t="shared" si="538"/>
        <v>-15.278939041071942</v>
      </c>
      <c r="AQ621">
        <f t="shared" si="500"/>
        <v>1.77777774617284E-4</v>
      </c>
      <c r="AR621">
        <f t="shared" si="501"/>
        <v>-1.33333330962963</v>
      </c>
      <c r="AT621">
        <f t="shared" si="523"/>
        <v>-689.40965453652927</v>
      </c>
      <c r="AU621">
        <f t="shared" si="524"/>
        <v>-21.71724749499397</v>
      </c>
      <c r="AV621">
        <f t="shared" si="511"/>
        <v>-3.1101018438968602</v>
      </c>
      <c r="AW621">
        <f t="shared" si="512"/>
        <v>306.78218102562602</v>
      </c>
      <c r="AX621">
        <f t="shared" si="513"/>
        <v>-986.07667611293937</v>
      </c>
      <c r="AY621">
        <f t="shared" si="521"/>
        <v>-1.269174718690389</v>
      </c>
      <c r="BA621">
        <f t="shared" si="502"/>
        <v>0.66791306252763005</v>
      </c>
      <c r="BB621">
        <f t="shared" si="514"/>
        <v>-3.5056012571255812</v>
      </c>
      <c r="BC621">
        <f t="shared" si="515"/>
        <v>-1.8409271252064712</v>
      </c>
      <c r="BD621">
        <f t="shared" si="503"/>
        <v>-285.47735478600794</v>
      </c>
      <c r="BF621">
        <f t="shared" si="504"/>
        <v>-77.812084877386255</v>
      </c>
      <c r="BG621">
        <f t="shared" si="505"/>
        <v>-198.49989562216558</v>
      </c>
      <c r="BH621">
        <f t="shared" si="516"/>
        <v>-18.499895622165582</v>
      </c>
      <c r="BI621">
        <f t="shared" si="517"/>
        <v>-18.499895622165582</v>
      </c>
      <c r="BJ621">
        <f t="shared" si="506"/>
        <v>0</v>
      </c>
      <c r="BK621">
        <f t="shared" si="518"/>
        <v>0</v>
      </c>
      <c r="BM621">
        <f t="shared" si="519"/>
        <v>-74.306483620260678</v>
      </c>
      <c r="BN621">
        <f t="shared" si="507"/>
        <v>-93.02254083615766</v>
      </c>
      <c r="BQ621" s="47">
        <f t="shared" si="520"/>
        <v>13.396359543159555</v>
      </c>
    </row>
    <row r="622" spans="1:69">
      <c r="A622">
        <f t="shared" si="534"/>
        <v>4000000</v>
      </c>
      <c r="B622">
        <f t="shared" si="508"/>
        <v>4000</v>
      </c>
      <c r="C622">
        <f t="shared" si="477"/>
        <v>20.131045560147978</v>
      </c>
      <c r="D622">
        <f t="shared" si="526"/>
        <v>1.5211013562092244</v>
      </c>
      <c r="F622">
        <f t="shared" si="479"/>
        <v>5.9788224666384577E-7</v>
      </c>
      <c r="G622">
        <f t="shared" si="527"/>
        <v>2.3312777654858883E-4</v>
      </c>
      <c r="H622">
        <f t="shared" si="481"/>
        <v>-3.1413595222234516</v>
      </c>
      <c r="J622">
        <f t="shared" si="482"/>
        <v>15</v>
      </c>
      <c r="M622">
        <f t="shared" si="528"/>
        <v>3.7649420449649125E-4</v>
      </c>
      <c r="N622">
        <f t="shared" si="484"/>
        <v>-1.5707963250000001</v>
      </c>
      <c r="O622">
        <f t="shared" si="529"/>
        <v>1949.0443365959975</v>
      </c>
      <c r="P622">
        <f t="shared" si="486"/>
        <v>1.5702832548113108</v>
      </c>
      <c r="Q622">
        <f t="shared" si="530"/>
        <v>1521.114250902282</v>
      </c>
      <c r="R622">
        <f t="shared" si="488"/>
        <v>1.5701389139336084</v>
      </c>
      <c r="S622">
        <f t="shared" si="531"/>
        <v>4.6584083525761828E-2</v>
      </c>
      <c r="T622">
        <f t="shared" si="490"/>
        <v>-1.5241953782879218</v>
      </c>
      <c r="U622">
        <f t="shared" si="491"/>
        <v>2.9907474579041662E-2</v>
      </c>
      <c r="V622">
        <f t="shared" si="492"/>
        <v>-1.5408843919284878</v>
      </c>
      <c r="X622">
        <f t="shared" si="532"/>
        <v>-71.033352087363937</v>
      </c>
      <c r="Y622">
        <f t="shared" si="533"/>
        <v>-178.51715328129163</v>
      </c>
      <c r="Z622">
        <f t="shared" si="510"/>
        <v>1.4828467187083731</v>
      </c>
      <c r="AC622">
        <v>1</v>
      </c>
      <c r="AD622">
        <f t="shared" si="494"/>
        <v>1949.0440800600002</v>
      </c>
      <c r="AE622">
        <f t="shared" si="495"/>
        <v>-4.0167552770262862</v>
      </c>
      <c r="AF622">
        <f t="shared" si="496"/>
        <v>0.12018476841840002</v>
      </c>
      <c r="AG622">
        <f t="shared" si="535"/>
        <v>14.256732502201151</v>
      </c>
      <c r="AH622">
        <f t="shared" si="536"/>
        <v>-484.80191190723531</v>
      </c>
      <c r="AJ622">
        <f t="shared" si="497"/>
        <v>22100</v>
      </c>
      <c r="AK622">
        <f t="shared" si="498"/>
        <v>473895.93089966406</v>
      </c>
      <c r="AL622">
        <v>1</v>
      </c>
      <c r="AM622">
        <f t="shared" si="499"/>
        <v>1521.1139221958399</v>
      </c>
      <c r="AN622">
        <f t="shared" si="537"/>
        <v>311.55474155528316</v>
      </c>
      <c r="AO622">
        <f t="shared" si="538"/>
        <v>-14.324006203947887</v>
      </c>
      <c r="AQ622">
        <f t="shared" si="500"/>
        <v>1.562499975585938E-4</v>
      </c>
      <c r="AR622">
        <f t="shared" si="501"/>
        <v>-1.2499999804687503</v>
      </c>
      <c r="AT622">
        <f t="shared" si="523"/>
        <v>-606.00015280083824</v>
      </c>
      <c r="AU622">
        <f t="shared" si="524"/>
        <v>-17.896665646851542</v>
      </c>
      <c r="AV622">
        <f t="shared" si="511"/>
        <v>-3.112068790707621</v>
      </c>
      <c r="AW622">
        <f t="shared" si="512"/>
        <v>307.36064912917965</v>
      </c>
      <c r="AX622">
        <f t="shared" si="513"/>
        <v>-924.50118689012834</v>
      </c>
      <c r="AY622">
        <f t="shared" si="521"/>
        <v>-1.2498310192772468</v>
      </c>
      <c r="BA622">
        <f t="shared" si="502"/>
        <v>0.62228502277344411</v>
      </c>
      <c r="BB622">
        <f t="shared" si="514"/>
        <v>-4.1202130307725096</v>
      </c>
      <c r="BC622">
        <f t="shared" si="515"/>
        <v>-1.8622377714303742</v>
      </c>
      <c r="BD622">
        <f t="shared" si="503"/>
        <v>-286.69836487472918</v>
      </c>
      <c r="BF622">
        <f t="shared" si="504"/>
        <v>-78.988748059034762</v>
      </c>
      <c r="BG622">
        <f t="shared" si="505"/>
        <v>-199.53231961502971</v>
      </c>
      <c r="BH622">
        <f t="shared" si="516"/>
        <v>-19.532319615029706</v>
      </c>
      <c r="BI622">
        <f t="shared" si="517"/>
        <v>-19.532319615029706</v>
      </c>
      <c r="BJ622">
        <f t="shared" si="506"/>
        <v>0</v>
      </c>
      <c r="BK622">
        <f t="shared" si="518"/>
        <v>0</v>
      </c>
      <c r="BM622">
        <f t="shared" si="519"/>
        <v>-74.868535028262258</v>
      </c>
      <c r="BN622">
        <f t="shared" si="507"/>
        <v>-92.833954740300555</v>
      </c>
      <c r="BQ622" s="47">
        <f t="shared" si="520"/>
        <v>12.781747769512625</v>
      </c>
    </row>
    <row r="623" spans="1:69">
      <c r="A623">
        <f>A622+250000</f>
        <v>4250000</v>
      </c>
      <c r="B623">
        <f t="shared" si="508"/>
        <v>4250</v>
      </c>
      <c r="C623">
        <f t="shared" si="477"/>
        <v>21.386222351397482</v>
      </c>
      <c r="D623">
        <f t="shared" si="526"/>
        <v>1.5240201947400032</v>
      </c>
      <c r="F623">
        <f t="shared" si="479"/>
        <v>5.296119203580671E-7</v>
      </c>
      <c r="G623">
        <f t="shared" si="527"/>
        <v>2.194143631328543E-4</v>
      </c>
      <c r="H623">
        <f t="shared" si="481"/>
        <v>-3.1413732356368675</v>
      </c>
      <c r="J623">
        <f t="shared" si="482"/>
        <v>15</v>
      </c>
      <c r="M623">
        <f t="shared" si="528"/>
        <v>3.5434748658493291E-4</v>
      </c>
      <c r="N623">
        <f t="shared" si="484"/>
        <v>-1.5707963250000001</v>
      </c>
      <c r="O623">
        <f t="shared" si="529"/>
        <v>2070.8595765093969</v>
      </c>
      <c r="P623">
        <f t="shared" si="486"/>
        <v>1.5703134355113892</v>
      </c>
      <c r="Q623">
        <f t="shared" si="530"/>
        <v>1616.183851703853</v>
      </c>
      <c r="R623">
        <f t="shared" si="488"/>
        <v>1.5701775852682116</v>
      </c>
      <c r="S623">
        <f t="shared" si="531"/>
        <v>4.3849276454048743E-2</v>
      </c>
      <c r="T623">
        <f t="shared" si="490"/>
        <v>-1.5269329862364416</v>
      </c>
      <c r="U623">
        <f t="shared" si="491"/>
        <v>2.81496489406864E-2</v>
      </c>
      <c r="V623">
        <f t="shared" si="492"/>
        <v>-1.5426429588848056</v>
      </c>
      <c r="X623">
        <f t="shared" si="532"/>
        <v>-72.086214529533535</v>
      </c>
      <c r="Y623">
        <f t="shared" si="533"/>
        <v>-178.60436878821062</v>
      </c>
      <c r="Z623">
        <f t="shared" si="510"/>
        <v>1.3956312117893788</v>
      </c>
      <c r="AC623">
        <v>1</v>
      </c>
      <c r="AD623">
        <f t="shared" si="494"/>
        <v>2070.8593350637498</v>
      </c>
      <c r="AE623">
        <f t="shared" si="495"/>
        <v>-4.5345401369554557</v>
      </c>
      <c r="AF623">
        <f t="shared" si="496"/>
        <v>0.12769631644455001</v>
      </c>
      <c r="AG623">
        <f t="shared" si="535"/>
        <v>12.630091086505224</v>
      </c>
      <c r="AH623">
        <f t="shared" si="536"/>
        <v>-456.32995992069016</v>
      </c>
      <c r="AJ623">
        <f t="shared" si="497"/>
        <v>22100</v>
      </c>
      <c r="AK623">
        <f t="shared" si="498"/>
        <v>503514.42658089299</v>
      </c>
      <c r="AL623">
        <v>1</v>
      </c>
      <c r="AM623">
        <f t="shared" si="499"/>
        <v>1616.1835423330799</v>
      </c>
      <c r="AN623">
        <f t="shared" si="537"/>
        <v>311.55366628240898</v>
      </c>
      <c r="AO623">
        <f t="shared" si="538"/>
        <v>-13.481418269031721</v>
      </c>
      <c r="AQ623">
        <f t="shared" si="500"/>
        <v>1.3840830258258404E-4</v>
      </c>
      <c r="AR623">
        <f t="shared" si="501"/>
        <v>-1.1764705719519644</v>
      </c>
      <c r="AT623">
        <f t="shared" si="523"/>
        <v>-536.85702083724254</v>
      </c>
      <c r="AU623">
        <f t="shared" si="524"/>
        <v>-14.92209033951641</v>
      </c>
      <c r="AV623">
        <f t="shared" si="511"/>
        <v>-3.1138045299049288</v>
      </c>
      <c r="AW623">
        <f t="shared" si="512"/>
        <v>307.83971855376967</v>
      </c>
      <c r="AX623">
        <f t="shared" si="513"/>
        <v>-870.16113168949335</v>
      </c>
      <c r="AY623">
        <f t="shared" si="521"/>
        <v>-1.2307640135681228</v>
      </c>
      <c r="BA623">
        <f t="shared" si="502"/>
        <v>0.58186251651759491</v>
      </c>
      <c r="BB623">
        <f t="shared" si="514"/>
        <v>-4.7035923816138521</v>
      </c>
      <c r="BC623">
        <f t="shared" si="515"/>
        <v>-1.883040516336806</v>
      </c>
      <c r="BD623">
        <f t="shared" si="503"/>
        <v>-287.89027436151696</v>
      </c>
      <c r="BF623">
        <f t="shared" si="504"/>
        <v>-80.099930613129814</v>
      </c>
      <c r="BG623">
        <f t="shared" si="505"/>
        <v>-200.55777769344496</v>
      </c>
      <c r="BH623">
        <f t="shared" si="516"/>
        <v>-20.557777693444962</v>
      </c>
      <c r="BI623">
        <f t="shared" si="517"/>
        <v>-20.557777693444962</v>
      </c>
      <c r="BJ623">
        <f t="shared" si="506"/>
        <v>0</v>
      </c>
      <c r="BK623">
        <f t="shared" si="518"/>
        <v>0</v>
      </c>
      <c r="BM623">
        <f t="shared" si="519"/>
        <v>-75.396338231515955</v>
      </c>
      <c r="BN623">
        <f t="shared" si="507"/>
        <v>-92.667503331928032</v>
      </c>
      <c r="BQ623" s="47">
        <f t="shared" si="520"/>
        <v>12.198368418671283</v>
      </c>
    </row>
    <row r="624" spans="1:69">
      <c r="A624">
        <f t="shared" si="534"/>
        <v>4500000</v>
      </c>
      <c r="B624">
        <f t="shared" si="508"/>
        <v>4500</v>
      </c>
      <c r="C624">
        <f t="shared" si="477"/>
        <v>22.641561142801169</v>
      </c>
      <c r="D624">
        <f t="shared" si="526"/>
        <v>1.5266153891967107</v>
      </c>
      <c r="F624">
        <f t="shared" si="479"/>
        <v>4.7240072983715889E-7</v>
      </c>
      <c r="G624">
        <f t="shared" si="527"/>
        <v>2.0722466458240372E-4</v>
      </c>
      <c r="H624">
        <f t="shared" si="481"/>
        <v>-3.1413854253354176</v>
      </c>
      <c r="J624">
        <f t="shared" si="482"/>
        <v>15</v>
      </c>
      <c r="M624">
        <f t="shared" si="528"/>
        <v>3.3466151510799227E-4</v>
      </c>
      <c r="N624">
        <f t="shared" si="484"/>
        <v>-1.5707963250000001</v>
      </c>
      <c r="O624">
        <f t="shared" si="529"/>
        <v>2192.6748180995014</v>
      </c>
      <c r="P624">
        <f t="shared" si="486"/>
        <v>1.5703402628010881</v>
      </c>
      <c r="Q624">
        <f t="shared" si="530"/>
        <v>1711.2534546538309</v>
      </c>
      <c r="R624">
        <f t="shared" si="488"/>
        <v>1.5702119597894162</v>
      </c>
      <c r="S624">
        <f t="shared" si="531"/>
        <v>4.1417507084334247E-2</v>
      </c>
      <c r="T624">
        <f t="shared" si="490"/>
        <v>-1.5293669692269183</v>
      </c>
      <c r="U624">
        <f t="shared" si="491"/>
        <v>2.6586917487029686E-2</v>
      </c>
      <c r="V624">
        <f t="shared" si="492"/>
        <v>-1.5442062760878443</v>
      </c>
      <c r="X624">
        <f t="shared" si="532"/>
        <v>-73.078910601542105</v>
      </c>
      <c r="Y624">
        <f t="shared" si="533"/>
        <v>-178.6818953422665</v>
      </c>
      <c r="Z624">
        <f t="shared" si="510"/>
        <v>1.3181046577334996</v>
      </c>
      <c r="AC624">
        <v>1</v>
      </c>
      <c r="AD624">
        <f t="shared" si="494"/>
        <v>2192.6745900675005</v>
      </c>
      <c r="AE624">
        <f t="shared" si="495"/>
        <v>-5.0837058974863929</v>
      </c>
      <c r="AF624">
        <f t="shared" si="496"/>
        <v>0.13520786447070002</v>
      </c>
      <c r="AG624">
        <f t="shared" si="535"/>
        <v>11.266693813472003</v>
      </c>
      <c r="AH624">
        <f t="shared" si="536"/>
        <v>-431.01455682964212</v>
      </c>
      <c r="AJ624">
        <f t="shared" si="497"/>
        <v>22100</v>
      </c>
      <c r="AK624">
        <f t="shared" si="498"/>
        <v>533132.92226212192</v>
      </c>
      <c r="AL624">
        <v>1</v>
      </c>
      <c r="AM624">
        <f t="shared" si="499"/>
        <v>1711.2531624703201</v>
      </c>
      <c r="AN624">
        <f t="shared" si="537"/>
        <v>311.5527651931996</v>
      </c>
      <c r="AO624">
        <f t="shared" si="538"/>
        <v>-12.732451113985711</v>
      </c>
      <c r="AQ624">
        <f t="shared" si="500"/>
        <v>1.234567885992989E-4</v>
      </c>
      <c r="AR624">
        <f t="shared" si="501"/>
        <v>-1.1111110973936902</v>
      </c>
      <c r="AT624">
        <f t="shared" si="523"/>
        <v>-478.90366628180237</v>
      </c>
      <c r="AU624">
        <f t="shared" si="524"/>
        <v>-12.571760200111315</v>
      </c>
      <c r="AV624">
        <f t="shared" si="511"/>
        <v>-3.1153475557658954</v>
      </c>
      <c r="AW624">
        <f t="shared" si="512"/>
        <v>308.24093845629409</v>
      </c>
      <c r="AX624">
        <f t="shared" si="513"/>
        <v>-821.852385072262</v>
      </c>
      <c r="AY624">
        <f t="shared" si="521"/>
        <v>-1.2119762731835277</v>
      </c>
      <c r="BA624">
        <f t="shared" si="502"/>
        <v>0.54578858090255455</v>
      </c>
      <c r="BB624">
        <f t="shared" si="514"/>
        <v>-5.2595110993351879</v>
      </c>
      <c r="BC624">
        <f t="shared" si="515"/>
        <v>-1.9033712825823677</v>
      </c>
      <c r="BD624">
        <f t="shared" si="503"/>
        <v>-289.05514146298572</v>
      </c>
      <c r="BF624">
        <f t="shared" si="504"/>
        <v>-81.153347354276022</v>
      </c>
      <c r="BG624">
        <f t="shared" si="505"/>
        <v>-201.57464952363998</v>
      </c>
      <c r="BH624">
        <f t="shared" si="516"/>
        <v>-21.574649523639977</v>
      </c>
      <c r="BI624">
        <f t="shared" si="517"/>
        <v>-21.574649523639977</v>
      </c>
      <c r="BJ624">
        <f t="shared" si="506"/>
        <v>0</v>
      </c>
      <c r="BK624">
        <f t="shared" si="518"/>
        <v>0</v>
      </c>
      <c r="BM624">
        <f t="shared" si="519"/>
        <v>-75.893836254940837</v>
      </c>
      <c r="BN624">
        <f t="shared" si="507"/>
        <v>-92.519508060654275</v>
      </c>
      <c r="BQ624" s="47">
        <f t="shared" si="520"/>
        <v>11.642449700949948</v>
      </c>
    </row>
    <row r="625" spans="1:69">
      <c r="A625">
        <f t="shared" si="534"/>
        <v>4750000</v>
      </c>
      <c r="B625">
        <f t="shared" si="508"/>
        <v>4750</v>
      </c>
      <c r="C625">
        <f t="shared" si="477"/>
        <v>23.897036404209732</v>
      </c>
      <c r="D625">
        <f t="shared" si="526"/>
        <v>1.5289379112180024</v>
      </c>
      <c r="F625">
        <f t="shared" si="479"/>
        <v>4.2398290653724369E-7</v>
      </c>
      <c r="G625">
        <f t="shared" si="527"/>
        <v>1.9631809390022067E-4</v>
      </c>
      <c r="H625">
        <f t="shared" si="481"/>
        <v>-3.1413963319060998</v>
      </c>
      <c r="J625">
        <f t="shared" si="482"/>
        <v>15</v>
      </c>
      <c r="M625">
        <f t="shared" si="528"/>
        <v>3.1704775115493999E-4</v>
      </c>
      <c r="N625">
        <f t="shared" si="484"/>
        <v>-1.5707963250000001</v>
      </c>
      <c r="O625">
        <f t="shared" si="529"/>
        <v>2314.4900611015682</v>
      </c>
      <c r="P625">
        <f t="shared" si="486"/>
        <v>1.570364266166113</v>
      </c>
      <c r="Q625">
        <f t="shared" si="530"/>
        <v>1806.3230594129936</v>
      </c>
      <c r="R625">
        <f t="shared" si="488"/>
        <v>1.5702427159411405</v>
      </c>
      <c r="S625">
        <f t="shared" si="531"/>
        <v>3.9241088079702148E-2</v>
      </c>
      <c r="T625">
        <f t="shared" si="490"/>
        <v>-1.5315451607469932</v>
      </c>
      <c r="U625">
        <f t="shared" si="491"/>
        <v>2.5188518494371825E-2</v>
      </c>
      <c r="V625">
        <f t="shared" si="492"/>
        <v>-1.5456051440157279</v>
      </c>
      <c r="X625">
        <f t="shared" si="532"/>
        <v>-74.017945183071518</v>
      </c>
      <c r="Y625">
        <f t="shared" si="533"/>
        <v>-178.75126245340613</v>
      </c>
      <c r="Z625">
        <f t="shared" si="510"/>
        <v>1.2487375465938726</v>
      </c>
      <c r="AC625">
        <v>1</v>
      </c>
      <c r="AD625">
        <f t="shared" si="494"/>
        <v>2314.4898450712503</v>
      </c>
      <c r="AE625">
        <f t="shared" si="495"/>
        <v>-5.6642525586190979</v>
      </c>
      <c r="AF625">
        <f t="shared" si="496"/>
        <v>0.14271941249685002</v>
      </c>
      <c r="AG625">
        <f t="shared" si="535"/>
        <v>10.112668371295856</v>
      </c>
      <c r="AH625">
        <f t="shared" si="536"/>
        <v>-408.35865757130483</v>
      </c>
      <c r="AJ625">
        <f t="shared" si="497"/>
        <v>22100</v>
      </c>
      <c r="AK625">
        <f t="shared" si="498"/>
        <v>562751.41794335097</v>
      </c>
      <c r="AL625">
        <v>1</v>
      </c>
      <c r="AM625">
        <f t="shared" si="499"/>
        <v>1806.3227826075599</v>
      </c>
      <c r="AN625">
        <f t="shared" si="537"/>
        <v>311.55200260137923</v>
      </c>
      <c r="AO625">
        <f t="shared" si="538"/>
        <v>-12.062322530165618</v>
      </c>
      <c r="AQ625">
        <f t="shared" si="500"/>
        <v>1.1080332287198534E-4</v>
      </c>
      <c r="AR625">
        <f t="shared" si="501"/>
        <v>-1.0526315672838606</v>
      </c>
      <c r="AT625">
        <f t="shared" si="523"/>
        <v>-429.85009321595732</v>
      </c>
      <c r="AU625">
        <f t="shared" si="524"/>
        <v>-10.690161453281528</v>
      </c>
      <c r="AV625">
        <f t="shared" si="511"/>
        <v>-3.1167282682819017</v>
      </c>
      <c r="AW625">
        <f t="shared" si="512"/>
        <v>308.58031630510806</v>
      </c>
      <c r="AX625">
        <f t="shared" si="513"/>
        <v>-778.62389052251774</v>
      </c>
      <c r="AY625">
        <f t="shared" si="521"/>
        <v>-1.1934707169224552</v>
      </c>
      <c r="BA625">
        <f t="shared" si="502"/>
        <v>0.51338665759027402</v>
      </c>
      <c r="BB625">
        <f t="shared" si="514"/>
        <v>-5.791108448009691</v>
      </c>
      <c r="BC625">
        <f t="shared" si="515"/>
        <v>-1.9232575513594465</v>
      </c>
      <c r="BD625">
        <f t="shared" si="503"/>
        <v>-290.19454073547706</v>
      </c>
      <c r="BF625">
        <f t="shared" si="504"/>
        <v>-82.155435408353668</v>
      </c>
      <c r="BG625">
        <f t="shared" si="505"/>
        <v>-202.58160298680284</v>
      </c>
      <c r="BH625">
        <f t="shared" si="516"/>
        <v>-22.581602986802835</v>
      </c>
      <c r="BI625">
        <f t="shared" si="517"/>
        <v>-22.581602986802835</v>
      </c>
      <c r="BJ625">
        <f t="shared" si="506"/>
        <v>0</v>
      </c>
      <c r="BK625">
        <f t="shared" si="518"/>
        <v>0</v>
      </c>
      <c r="BM625">
        <f t="shared" si="519"/>
        <v>-76.364326960343973</v>
      </c>
      <c r="BN625">
        <f t="shared" si="507"/>
        <v>-92.387062251325773</v>
      </c>
      <c r="BQ625" s="47">
        <f t="shared" si="520"/>
        <v>11.110852352275447</v>
      </c>
    </row>
    <row r="626" spans="1:69">
      <c r="A626">
        <f t="shared" si="534"/>
        <v>5000000</v>
      </c>
      <c r="B626">
        <f t="shared" si="508"/>
        <v>5000</v>
      </c>
      <c r="C626">
        <f t="shared" si="477"/>
        <v>25.152627700226027</v>
      </c>
      <c r="D626">
        <f t="shared" si="526"/>
        <v>1.5310285681469391</v>
      </c>
      <c r="F626">
        <f t="shared" si="479"/>
        <v>3.8264455776618572E-7</v>
      </c>
      <c r="G626">
        <f t="shared" si="527"/>
        <v>1.865021815903523E-4</v>
      </c>
      <c r="H626">
        <f t="shared" si="481"/>
        <v>-3.1414061478184099</v>
      </c>
      <c r="J626">
        <f t="shared" si="482"/>
        <v>15</v>
      </c>
      <c r="M626">
        <f t="shared" si="528"/>
        <v>3.0119536359719302E-4</v>
      </c>
      <c r="N626">
        <f t="shared" si="484"/>
        <v>-1.5707963250000001</v>
      </c>
      <c r="O626">
        <f t="shared" si="529"/>
        <v>2436.3053053038029</v>
      </c>
      <c r="P626">
        <f t="shared" si="486"/>
        <v>1.5703858691950621</v>
      </c>
      <c r="Q626">
        <f t="shared" si="530"/>
        <v>1901.3926657099639</v>
      </c>
      <c r="R626">
        <f t="shared" si="488"/>
        <v>1.5702703964785898</v>
      </c>
      <c r="S626">
        <f t="shared" si="531"/>
        <v>3.7281832465336014E-2</v>
      </c>
      <c r="T626">
        <f t="shared" si="490"/>
        <v>-1.5335058523690084</v>
      </c>
      <c r="U626">
        <f t="shared" si="491"/>
        <v>2.3929832730739429E-2</v>
      </c>
      <c r="V626">
        <f t="shared" si="492"/>
        <v>-1.5468642096245886</v>
      </c>
      <c r="X626">
        <f t="shared" si="532"/>
        <v>-74.90882232828352</v>
      </c>
      <c r="Y626">
        <f t="shared" si="533"/>
        <v>-178.81369380541898</v>
      </c>
      <c r="Z626">
        <f t="shared" si="510"/>
        <v>1.1863061945810216</v>
      </c>
      <c r="AC626">
        <v>1</v>
      </c>
      <c r="AD626">
        <f t="shared" si="494"/>
        <v>2436.3051000750002</v>
      </c>
      <c r="AE626">
        <f t="shared" si="495"/>
        <v>-6.2761801203535725</v>
      </c>
      <c r="AF626">
        <f t="shared" si="496"/>
        <v>0.150230960523</v>
      </c>
      <c r="AG626">
        <f t="shared" si="535"/>
        <v>9.127247816578123</v>
      </c>
      <c r="AH626">
        <f t="shared" si="536"/>
        <v>-387.96431239634512</v>
      </c>
      <c r="AJ626">
        <f t="shared" si="497"/>
        <v>22100</v>
      </c>
      <c r="AK626">
        <f t="shared" si="498"/>
        <v>592369.91362458002</v>
      </c>
      <c r="AL626">
        <v>1</v>
      </c>
      <c r="AM626">
        <f t="shared" si="499"/>
        <v>1901.3924027447999</v>
      </c>
      <c r="AN626">
        <f t="shared" si="537"/>
        <v>311.55135151280712</v>
      </c>
      <c r="AO626">
        <f t="shared" si="538"/>
        <v>-11.459206746084586</v>
      </c>
      <c r="AQ626">
        <f t="shared" si="500"/>
        <v>9.9999999000000009E-5</v>
      </c>
      <c r="AR626">
        <f t="shared" si="501"/>
        <v>-0.99999999000000006</v>
      </c>
      <c r="AT626">
        <f t="shared" si="523"/>
        <v>-387.96339579192949</v>
      </c>
      <c r="AU626">
        <f t="shared" si="524"/>
        <v>-9.1660441561573158</v>
      </c>
      <c r="AV626">
        <f t="shared" si="511"/>
        <v>-3.1179709940196529</v>
      </c>
      <c r="AW626">
        <f t="shared" si="512"/>
        <v>308.86994495566108</v>
      </c>
      <c r="AX626">
        <f t="shared" si="513"/>
        <v>-739.71451272053355</v>
      </c>
      <c r="AY626">
        <f t="shared" si="521"/>
        <v>-1.1752503052780376</v>
      </c>
      <c r="BA626">
        <f t="shared" si="502"/>
        <v>0.48411543872888635</v>
      </c>
      <c r="BB626">
        <f t="shared" si="514"/>
        <v>-6.3010213445856644</v>
      </c>
      <c r="BC626">
        <f t="shared" si="515"/>
        <v>-1.9427206887416153</v>
      </c>
      <c r="BD626">
        <f t="shared" si="503"/>
        <v>-291.30969636483292</v>
      </c>
      <c r="BF626">
        <f t="shared" si="504"/>
        <v>-83.111618094043649</v>
      </c>
      <c r="BG626">
        <f t="shared" si="505"/>
        <v>-203.57753520793199</v>
      </c>
      <c r="BH626">
        <f t="shared" si="516"/>
        <v>-23.577535207931987</v>
      </c>
      <c r="BI626">
        <f t="shared" si="517"/>
        <v>-23.577535207931987</v>
      </c>
      <c r="BJ626">
        <f t="shared" si="506"/>
        <v>0</v>
      </c>
      <c r="BK626">
        <f t="shared" si="518"/>
        <v>0</v>
      </c>
      <c r="BM626">
        <f t="shared" si="519"/>
        <v>-76.810596749457986</v>
      </c>
      <c r="BN626">
        <f t="shared" si="507"/>
        <v>-92.267838843099113</v>
      </c>
      <c r="BQ626" s="47">
        <f t="shared" si="520"/>
        <v>10.600939455699471</v>
      </c>
    </row>
    <row r="627" spans="1:69">
      <c r="A627">
        <f>A626+100000</f>
        <v>5100000</v>
      </c>
      <c r="B627">
        <f t="shared" si="508"/>
        <v>5100</v>
      </c>
      <c r="C627">
        <f t="shared" ref="C627:C676" si="539">SQRT((A627/Fesr)^2+1)</f>
        <v>25.654892892142723</v>
      </c>
      <c r="D627">
        <f t="shared" ref="D627:D676" si="540">ATAN(A627/Fesr)</f>
        <v>1.5318075302514722</v>
      </c>
      <c r="F627">
        <f t="shared" ref="F627:F676" si="541">(Ro/(Ro+Rdcr))/SQRT((A627/(Q*Fo))^2+(1-(A627^2/Fo^2))^2)</f>
        <v>3.6778599792071589E-7</v>
      </c>
      <c r="G627">
        <f t="shared" ref="G627:G676" si="542">-ATAN(A627*Fo/(Q*(Fo^2-A627^2)))</f>
        <v>1.8284527338557422E-4</v>
      </c>
      <c r="H627">
        <f t="shared" si="481"/>
        <v>-3.1414098047266146</v>
      </c>
      <c r="J627">
        <f t="shared" si="482"/>
        <v>15</v>
      </c>
      <c r="M627">
        <f t="shared" ref="M627:M676" si="543">1/(2*Pi*_Rfb1*(Cc1ea_u+Cc2ea_u)*A627)</f>
        <v>2.9528957215411078E-4</v>
      </c>
      <c r="N627">
        <f t="shared" si="484"/>
        <v>-1.5707963250000001</v>
      </c>
      <c r="O627">
        <f t="shared" ref="O627:O676" si="544">SQRT(1+(A627/Fz1_u)^2)</f>
        <v>2485.0314032812094</v>
      </c>
      <c r="P627">
        <f t="shared" si="486"/>
        <v>1.5703939173824166</v>
      </c>
      <c r="Q627">
        <f t="shared" ref="Q627:Q676" si="545">SQRT(1+(A627/Fz2_u)^2)</f>
        <v>1939.4205086086808</v>
      </c>
      <c r="R627">
        <f t="shared" si="488"/>
        <v>1.570280708835887</v>
      </c>
      <c r="S627">
        <f t="shared" ref="S627:S676" si="546">1/SQRT(1+(A627/Fp1_u)^2)</f>
        <v>3.655180255866388E-2</v>
      </c>
      <c r="T627">
        <f t="shared" si="490"/>
        <v>-1.5342363802621894</v>
      </c>
      <c r="U627">
        <f t="shared" ref="U627:U676" si="547">1/SQRT(1+(A627/Fp2_u)^2)</f>
        <v>2.3460881165992636E-2</v>
      </c>
      <c r="V627">
        <f t="shared" si="492"/>
        <v>-1.5473332929002115</v>
      </c>
      <c r="X627">
        <f t="shared" ref="X627:X676" si="548">20*LOG(C627*J627*O627*Q627*F627*M627*S627*U627)</f>
        <v>-75.2527649906026</v>
      </c>
      <c r="Y627">
        <f t="shared" ref="Y627:Y676" si="549">(180/Pi)*(D627+H627+N627+P627+R627+T627+V627)</f>
        <v>-178.8369527651725</v>
      </c>
      <c r="Z627">
        <f t="shared" si="510"/>
        <v>1.1630472348275021</v>
      </c>
      <c r="AC627">
        <v>1</v>
      </c>
      <c r="AD627">
        <f t="shared" ref="AD627:AD676" si="550">Rcea1_u*Cc1ea_u*A627*2*Pi</f>
        <v>2485.0312020765</v>
      </c>
      <c r="AE627">
        <f t="shared" ref="AE627:AE676" si="551">-Rcea1_u*Cc1ea_u*Cc2ea_u*(A627*2*Pi)^2</f>
        <v>-6.529737797215855</v>
      </c>
      <c r="AF627">
        <f t="shared" ref="AF627:AF676" si="552">(Cc2ea_u+Cc1ea_u)*A627*2*Pi</f>
        <v>0.15323557973346003</v>
      </c>
      <c r="AG627">
        <f t="shared" ref="AG627:AG676" si="553">AC627*AE627/(AE627^2+AF627^2)+AD627*AF627/(AE627^2+AF627^2)</f>
        <v>8.773020738460513</v>
      </c>
      <c r="AH627">
        <f t="shared" ref="AH627:AH676" si="554">AD627*AE627/(AE627^2+AF627^2)-AC627*AF627/(AE627^2+AF627^2)</f>
        <v>-380.36548178345248</v>
      </c>
      <c r="AJ627">
        <f t="shared" si="497"/>
        <v>22100</v>
      </c>
      <c r="AK627">
        <f t="shared" ref="AK627:AK676" si="555">_Rfb1*Rcea2_u*Cc3ea_u*A627*2*Pi</f>
        <v>604217.31189707154</v>
      </c>
      <c r="AL627">
        <v>2</v>
      </c>
      <c r="AM627">
        <f t="shared" ref="AM627:AM676" si="556">(_Rfb1+Rcea2_u)*Cc3ea_u*A627*2*Pi</f>
        <v>1939.4202507996961</v>
      </c>
      <c r="AN627">
        <f t="shared" ref="AN627:AN676" si="557">AJ627*AL627/(AL627^2+AM627^2)+AK627*AM627/(AL627^2+AM627^2)</f>
        <v>311.55674454088069</v>
      </c>
      <c r="AO627">
        <f t="shared" ref="AO627:AO676" si="558">AK627*AL627/(AL627^2+AM627^2)-AJ627*AM627/(AL627^2+AM627^2)</f>
        <v>-11.073869370015348</v>
      </c>
      <c r="AQ627">
        <f t="shared" ref="AQ627:AQ676" si="559">Eadcg/(1+(Eadcg*A627/GBP)^2)</f>
        <v>9.6116877199953123E-5</v>
      </c>
      <c r="AR627">
        <f t="shared" ref="AR627:AR676" si="560">-(A627*Eadcg*Eadcg/GBP)/(1+(Eadcg*A627/GBP)^2)</f>
        <v>-0.98039214743952185</v>
      </c>
      <c r="AT627">
        <f t="shared" ref="AT627:AT676" si="561">-AR627*AH627+AG627*AQ627</f>
        <v>-372.90648826219035</v>
      </c>
      <c r="AU627">
        <f t="shared" ref="AU627:AU676" si="562">AQ627*AH627+AG627*AR627</f>
        <v>-8.6375601836144433</v>
      </c>
      <c r="AV627">
        <f t="shared" si="511"/>
        <v>-3.1184339898922158</v>
      </c>
      <c r="AW627">
        <f t="shared" si="512"/>
        <v>309.15167225387472</v>
      </c>
      <c r="AX627">
        <f t="shared" si="513"/>
        <v>-725.06302300965854</v>
      </c>
      <c r="AY627">
        <f t="shared" si="521"/>
        <v>-1.1677582041710557</v>
      </c>
      <c r="BA627">
        <f t="shared" si="502"/>
        <v>0.4732262531022528</v>
      </c>
      <c r="BB627">
        <f t="shared" si="514"/>
        <v>-6.4986234017116642</v>
      </c>
      <c r="BC627">
        <f t="shared" si="515"/>
        <v>-1.9506757857211601</v>
      </c>
      <c r="BD627">
        <f t="shared" si="503"/>
        <v>-291.76548984789889</v>
      </c>
      <c r="BF627">
        <f t="shared" si="504"/>
        <v>-83.481490282332658</v>
      </c>
      <c r="BG627">
        <f t="shared" si="505"/>
        <v>-203.98890697536308</v>
      </c>
      <c r="BH627">
        <f t="shared" si="516"/>
        <v>-23.988906975363079</v>
      </c>
      <c r="BI627">
        <f t="shared" si="517"/>
        <v>-23.988906975363079</v>
      </c>
      <c r="BJ627">
        <f t="shared" si="506"/>
        <v>0</v>
      </c>
      <c r="BK627">
        <f t="shared" si="518"/>
        <v>0</v>
      </c>
      <c r="BM627">
        <f t="shared" si="519"/>
        <v>-76.982866880620989</v>
      </c>
      <c r="BN627">
        <f t="shared" si="507"/>
        <v>-92.223417127464188</v>
      </c>
      <c r="BQ627" s="47">
        <f t="shared" si="520"/>
        <v>10.403337398573473</v>
      </c>
    </row>
    <row r="628" spans="1:69">
      <c r="A628">
        <f t="shared" ref="A628:A676" si="563">A627+100000</f>
        <v>5200000</v>
      </c>
      <c r="B628">
        <f t="shared" si="508"/>
        <v>5200</v>
      </c>
      <c r="C628">
        <f t="shared" si="539"/>
        <v>26.157173053153766</v>
      </c>
      <c r="D628">
        <f t="shared" si="540"/>
        <v>1.5325565769324276</v>
      </c>
      <c r="F628">
        <f t="shared" si="541"/>
        <v>3.5377639332763555E-7</v>
      </c>
      <c r="G628">
        <f t="shared" si="542"/>
        <v>1.7932901564673409E-4</v>
      </c>
      <c r="H628">
        <f t="shared" si="481"/>
        <v>-3.1414133209843533</v>
      </c>
      <c r="J628">
        <f t="shared" si="482"/>
        <v>15</v>
      </c>
      <c r="M628">
        <f t="shared" si="543"/>
        <v>2.8961092653576249E-4</v>
      </c>
      <c r="N628">
        <f t="shared" si="484"/>
        <v>-1.5707963250000001</v>
      </c>
      <c r="O628">
        <f t="shared" si="544"/>
        <v>2533.7575014133881</v>
      </c>
      <c r="P628">
        <f t="shared" si="486"/>
        <v>1.5704016560241527</v>
      </c>
      <c r="Q628">
        <f t="shared" si="545"/>
        <v>1977.4483517057126</v>
      </c>
      <c r="R628">
        <f t="shared" si="488"/>
        <v>1.5702906245641608</v>
      </c>
      <c r="S628">
        <f t="shared" si="546"/>
        <v>3.5849795521288398E-2</v>
      </c>
      <c r="T628">
        <f t="shared" si="490"/>
        <v>-1.5349388477560277</v>
      </c>
      <c r="U628">
        <f t="shared" si="547"/>
        <v>2.3009951590922773E-2</v>
      </c>
      <c r="V628">
        <f t="shared" si="492"/>
        <v>-1.5477843442533823</v>
      </c>
      <c r="X628">
        <f t="shared" si="548"/>
        <v>-75.590031153931875</v>
      </c>
      <c r="Y628">
        <f t="shared" si="549"/>
        <v>-178.85931725908006</v>
      </c>
      <c r="Z628">
        <f t="shared" si="510"/>
        <v>1.1406827409199423</v>
      </c>
      <c r="AC628">
        <v>1</v>
      </c>
      <c r="AD628">
        <f t="shared" si="550"/>
        <v>2533.7573040780003</v>
      </c>
      <c r="AE628">
        <f t="shared" si="551"/>
        <v>-6.7883164181744231</v>
      </c>
      <c r="AF628">
        <f t="shared" si="552"/>
        <v>0.15624019894392002</v>
      </c>
      <c r="AG628">
        <f t="shared" si="553"/>
        <v>8.4390182581582032</v>
      </c>
      <c r="AH628">
        <f t="shared" si="554"/>
        <v>-373.05844839617851</v>
      </c>
      <c r="AJ628">
        <f t="shared" si="497"/>
        <v>22100</v>
      </c>
      <c r="AK628">
        <f t="shared" si="555"/>
        <v>616064.71016956319</v>
      </c>
      <c r="AL628">
        <v>3</v>
      </c>
      <c r="AM628">
        <f t="shared" si="556"/>
        <v>1977.4480988545922</v>
      </c>
      <c r="AN628">
        <f t="shared" si="557"/>
        <v>311.56156289040757</v>
      </c>
      <c r="AO628">
        <f t="shared" si="558"/>
        <v>-10.703348079572088</v>
      </c>
      <c r="AQ628">
        <f t="shared" si="559"/>
        <v>9.2455620446970963E-5</v>
      </c>
      <c r="AR628">
        <f t="shared" si="560"/>
        <v>-0.96153845264849802</v>
      </c>
      <c r="AT628">
        <f t="shared" si="561"/>
        <v>-358.70926298364196</v>
      </c>
      <c r="AU628">
        <f t="shared" si="562"/>
        <v>-8.1489319081313152</v>
      </c>
      <c r="AV628">
        <f t="shared" si="511"/>
        <v>-3.1188791879731652</v>
      </c>
      <c r="AW628">
        <f t="shared" si="512"/>
        <v>309.41374996469585</v>
      </c>
      <c r="AX628">
        <f t="shared" si="513"/>
        <v>-710.97402564699428</v>
      </c>
      <c r="AY628">
        <f t="shared" si="521"/>
        <v>-1.1603205441957112</v>
      </c>
      <c r="BA628">
        <f t="shared" si="502"/>
        <v>0.46274057401181518</v>
      </c>
      <c r="BB628">
        <f t="shared" si="514"/>
        <v>-6.6932483805707967</v>
      </c>
      <c r="BC628">
        <f t="shared" si="515"/>
        <v>-1.958558643777454</v>
      </c>
      <c r="BD628">
        <f t="shared" si="503"/>
        <v>-292.21714434554133</v>
      </c>
      <c r="BF628">
        <f t="shared" si="504"/>
        <v>-83.845030084971256</v>
      </c>
      <c r="BG628">
        <f t="shared" si="505"/>
        <v>-204.39784572620778</v>
      </c>
      <c r="BH628">
        <f t="shared" si="516"/>
        <v>-24.397845726207777</v>
      </c>
      <c r="BI628">
        <f t="shared" si="517"/>
        <v>-24.397845726207777</v>
      </c>
      <c r="BJ628">
        <f t="shared" si="506"/>
        <v>0</v>
      </c>
      <c r="BK628">
        <f t="shared" si="518"/>
        <v>0</v>
      </c>
      <c r="BM628">
        <f t="shared" si="519"/>
        <v>-77.151781704400463</v>
      </c>
      <c r="BN628">
        <f t="shared" si="507"/>
        <v>-92.180701380666449</v>
      </c>
      <c r="BQ628" s="47">
        <f t="shared" si="520"/>
        <v>10.208712419714342</v>
      </c>
    </row>
    <row r="629" spans="1:69">
      <c r="A629">
        <f t="shared" si="563"/>
        <v>5300000</v>
      </c>
      <c r="B629">
        <f t="shared" si="508"/>
        <v>5300</v>
      </c>
      <c r="C629">
        <f t="shared" si="539"/>
        <v>26.659467337179361</v>
      </c>
      <c r="D629">
        <f t="shared" si="540"/>
        <v>1.5332773982449919</v>
      </c>
      <c r="F629">
        <f t="shared" si="541"/>
        <v>3.40552280261607E-7</v>
      </c>
      <c r="G629">
        <f t="shared" si="542"/>
        <v>1.7594544701567469E-4</v>
      </c>
      <c r="H629">
        <f t="shared" si="481"/>
        <v>-3.1414167045529844</v>
      </c>
      <c r="J629">
        <f t="shared" si="482"/>
        <v>15</v>
      </c>
      <c r="M629">
        <f t="shared" si="543"/>
        <v>2.8414656943131415E-4</v>
      </c>
      <c r="N629">
        <f t="shared" si="484"/>
        <v>-1.5707963250000001</v>
      </c>
      <c r="O629">
        <f t="shared" si="544"/>
        <v>2582.483599691579</v>
      </c>
      <c r="P629">
        <f t="shared" si="486"/>
        <v>1.5704091026417171</v>
      </c>
      <c r="Q629">
        <f t="shared" si="545"/>
        <v>2015.4761949898332</v>
      </c>
      <c r="R629">
        <f t="shared" si="488"/>
        <v>1.5703001661141032</v>
      </c>
      <c r="S629">
        <f t="shared" si="546"/>
        <v>3.5174229195591995E-2</v>
      </c>
      <c r="T629">
        <f t="shared" si="490"/>
        <v>-1.535614840477338</v>
      </c>
      <c r="U629">
        <f t="shared" si="547"/>
        <v>2.2576024963698992E-2</v>
      </c>
      <c r="V629">
        <f t="shared" si="492"/>
        <v>-1.5482183836448054</v>
      </c>
      <c r="X629">
        <f t="shared" si="548"/>
        <v>-75.920875049957075</v>
      </c>
      <c r="Y629">
        <f t="shared" si="549"/>
        <v>-178.88083790919765</v>
      </c>
      <c r="Z629">
        <f t="shared" si="510"/>
        <v>1.1191620908023481</v>
      </c>
      <c r="AC629">
        <v>1</v>
      </c>
      <c r="AD629">
        <f t="shared" si="550"/>
        <v>2582.4834060795001</v>
      </c>
      <c r="AE629">
        <f t="shared" si="551"/>
        <v>-7.0519159832292733</v>
      </c>
      <c r="AF629">
        <f t="shared" si="552"/>
        <v>0.15924481815438002</v>
      </c>
      <c r="AG629">
        <f t="shared" si="553"/>
        <v>8.1237297946573133</v>
      </c>
      <c r="AH629">
        <f t="shared" si="554"/>
        <v>-366.02672952204045</v>
      </c>
      <c r="AJ629">
        <f t="shared" si="497"/>
        <v>22100</v>
      </c>
      <c r="AK629">
        <f t="shared" si="555"/>
        <v>627912.10844205483</v>
      </c>
      <c r="AL629">
        <v>4</v>
      </c>
      <c r="AM629">
        <f t="shared" si="556"/>
        <v>2015.4759469094879</v>
      </c>
      <c r="AN629">
        <f t="shared" si="557"/>
        <v>311.56585948091714</v>
      </c>
      <c r="AO629">
        <f t="shared" si="558"/>
        <v>-10.346804978771024</v>
      </c>
      <c r="AQ629">
        <f t="shared" si="559"/>
        <v>8.8999643209330341E-5</v>
      </c>
      <c r="AR629">
        <f t="shared" si="560"/>
        <v>-0.94339621801890161</v>
      </c>
      <c r="AT629">
        <f t="shared" si="561"/>
        <v>-345.30750931586715</v>
      </c>
      <c r="AU629">
        <f t="shared" si="562"/>
        <v>-7.6964722128197174</v>
      </c>
      <c r="AV629">
        <f t="shared" si="511"/>
        <v>-3.1193075949705196</v>
      </c>
      <c r="AW629">
        <f t="shared" si="512"/>
        <v>309.65777983847386</v>
      </c>
      <c r="AX629">
        <f t="shared" si="513"/>
        <v>-697.4157671381605</v>
      </c>
      <c r="AY629">
        <f t="shared" si="521"/>
        <v>-1.152936989063172</v>
      </c>
      <c r="BA629">
        <f t="shared" si="502"/>
        <v>0.45263608004906863</v>
      </c>
      <c r="BB629">
        <f t="shared" si="514"/>
        <v>-6.8850166195705356</v>
      </c>
      <c r="BC629">
        <f t="shared" si="515"/>
        <v>-1.9663706059073476</v>
      </c>
      <c r="BD629">
        <f t="shared" si="503"/>
        <v>-292.66473680581169</v>
      </c>
      <c r="BF629">
        <f t="shared" si="504"/>
        <v>-84.202486230078193</v>
      </c>
      <c r="BG629">
        <f t="shared" si="505"/>
        <v>-204.80433203164043</v>
      </c>
      <c r="BH629">
        <f t="shared" si="516"/>
        <v>-24.804332031640428</v>
      </c>
      <c r="BI629">
        <f t="shared" si="517"/>
        <v>-24.804332031640428</v>
      </c>
      <c r="BJ629">
        <f t="shared" si="506"/>
        <v>0</v>
      </c>
      <c r="BK629">
        <f t="shared" si="518"/>
        <v>0</v>
      </c>
      <c r="BM629">
        <f t="shared" si="519"/>
        <v>-77.317469610507658</v>
      </c>
      <c r="BN629">
        <f t="shared" si="507"/>
        <v>-92.139595225828742</v>
      </c>
      <c r="BQ629" s="47">
        <f t="shared" si="520"/>
        <v>10.016944180714599</v>
      </c>
    </row>
    <row r="630" spans="1:69">
      <c r="A630">
        <f t="shared" si="563"/>
        <v>5400000</v>
      </c>
      <c r="B630">
        <f t="shared" si="508"/>
        <v>5400</v>
      </c>
      <c r="C630">
        <f t="shared" si="539"/>
        <v>27.161774960701916</v>
      </c>
      <c r="D630">
        <f t="shared" si="540"/>
        <v>1.5339715593490388</v>
      </c>
      <c r="F630">
        <f t="shared" si="541"/>
        <v>3.2805601633365463E-7</v>
      </c>
      <c r="G630">
        <f t="shared" si="542"/>
        <v>1.7268719586546529E-4</v>
      </c>
      <c r="H630">
        <f t="shared" si="481"/>
        <v>-3.1414199628041346</v>
      </c>
      <c r="J630">
        <f t="shared" si="482"/>
        <v>15</v>
      </c>
      <c r="M630">
        <f t="shared" si="543"/>
        <v>2.7888459592332687E-4</v>
      </c>
      <c r="N630">
        <f t="shared" si="484"/>
        <v>-1.5707963250000001</v>
      </c>
      <c r="O630">
        <f t="shared" si="544"/>
        <v>2631.2096981076706</v>
      </c>
      <c r="P630">
        <f t="shared" si="486"/>
        <v>1.5704162734586715</v>
      </c>
      <c r="Q630">
        <f t="shared" si="545"/>
        <v>2053.5040384506497</v>
      </c>
      <c r="R630">
        <f t="shared" si="488"/>
        <v>1.5703093542733924</v>
      </c>
      <c r="S630">
        <f t="shared" si="546"/>
        <v>3.4523638257545355E-2</v>
      </c>
      <c r="T630">
        <f t="shared" si="490"/>
        <v>-1.536265826841607</v>
      </c>
      <c r="U630">
        <f t="shared" si="547"/>
        <v>2.2158157630741981E-2</v>
      </c>
      <c r="V630">
        <f t="shared" si="492"/>
        <v>-1.5486363555467955</v>
      </c>
      <c r="X630">
        <f t="shared" si="548"/>
        <v>-76.245536662470329</v>
      </c>
      <c r="Y630">
        <f t="shared" si="549"/>
        <v>-178.90156158853316</v>
      </c>
      <c r="Z630">
        <f t="shared" si="510"/>
        <v>1.0984384114668444</v>
      </c>
      <c r="AC630">
        <v>1</v>
      </c>
      <c r="AD630">
        <f t="shared" si="550"/>
        <v>2631.209508081</v>
      </c>
      <c r="AE630">
        <f t="shared" si="551"/>
        <v>-7.3205364923804073</v>
      </c>
      <c r="AF630">
        <f t="shared" si="552"/>
        <v>0.16224943736484002</v>
      </c>
      <c r="AG630">
        <f t="shared" si="553"/>
        <v>7.8257831878027977</v>
      </c>
      <c r="AH630">
        <f t="shared" si="554"/>
        <v>-359.25506032231618</v>
      </c>
      <c r="AJ630">
        <f t="shared" si="497"/>
        <v>22100</v>
      </c>
      <c r="AK630">
        <f t="shared" si="555"/>
        <v>639759.50671454635</v>
      </c>
      <c r="AL630">
        <v>5</v>
      </c>
      <c r="AM630">
        <f t="shared" si="556"/>
        <v>2053.5037949643838</v>
      </c>
      <c r="AN630">
        <f t="shared" si="557"/>
        <v>311.56968183074792</v>
      </c>
      <c r="AO630">
        <f t="shared" si="558"/>
        <v>-10.003464148067252</v>
      </c>
      <c r="AQ630">
        <f t="shared" si="559"/>
        <v>8.5733881295148485E-5</v>
      </c>
      <c r="AR630">
        <f t="shared" si="560"/>
        <v>-0.9259259179876036</v>
      </c>
      <c r="AT630">
        <f t="shared" si="561"/>
        <v>-332.64290058586568</v>
      </c>
      <c r="AU630">
        <f t="shared" si="562"/>
        <v>-7.2768958128346153</v>
      </c>
      <c r="AV630">
        <f t="shared" si="511"/>
        <v>-3.1197201430855892</v>
      </c>
      <c r="AW630">
        <f t="shared" si="512"/>
        <v>309.88520940965481</v>
      </c>
      <c r="AX630">
        <f t="shared" si="513"/>
        <v>-684.3588378247789</v>
      </c>
      <c r="AY630">
        <f t="shared" si="521"/>
        <v>-1.1456072317854458</v>
      </c>
      <c r="BA630">
        <f t="shared" si="502"/>
        <v>0.44289210284056013</v>
      </c>
      <c r="BB630">
        <f t="shared" si="514"/>
        <v>-7.0740412700485367</v>
      </c>
      <c r="BC630">
        <f t="shared" si="515"/>
        <v>-1.9741129113001434</v>
      </c>
      <c r="BD630">
        <f t="shared" si="503"/>
        <v>-293.10833822902714</v>
      </c>
      <c r="BF630">
        <f t="shared" si="504"/>
        <v>-84.554093018045961</v>
      </c>
      <c r="BG630">
        <f t="shared" si="505"/>
        <v>-205.20834763728615</v>
      </c>
      <c r="BH630">
        <f t="shared" si="516"/>
        <v>-25.208347637286153</v>
      </c>
      <c r="BI630">
        <f t="shared" si="517"/>
        <v>-25.208347637286153</v>
      </c>
      <c r="BJ630">
        <f t="shared" si="506"/>
        <v>0</v>
      </c>
      <c r="BK630">
        <f t="shared" si="518"/>
        <v>0</v>
      </c>
      <c r="BM630">
        <f t="shared" si="519"/>
        <v>-77.480051747997422</v>
      </c>
      <c r="BN630">
        <f t="shared" si="507"/>
        <v>-92.10000940825897</v>
      </c>
      <c r="BQ630" s="47">
        <f t="shared" si="520"/>
        <v>9.8279195302365991</v>
      </c>
    </row>
    <row r="631" spans="1:69">
      <c r="A631">
        <f t="shared" si="563"/>
        <v>5500000</v>
      </c>
      <c r="B631">
        <f t="shared" si="508"/>
        <v>5500</v>
      </c>
      <c r="C631">
        <f t="shared" si="539"/>
        <v>27.664095197090305</v>
      </c>
      <c r="D631">
        <f t="shared" si="540"/>
        <v>1.5346405118321134</v>
      </c>
      <c r="F631">
        <f t="shared" si="541"/>
        <v>3.1623515128310024E-7</v>
      </c>
      <c r="G631">
        <f t="shared" si="542"/>
        <v>1.695474266883671E-4</v>
      </c>
      <c r="H631">
        <f t="shared" si="481"/>
        <v>-3.1414231025733117</v>
      </c>
      <c r="J631">
        <f t="shared" si="482"/>
        <v>15</v>
      </c>
      <c r="M631">
        <f t="shared" si="543"/>
        <v>2.7381396690653908E-4</v>
      </c>
      <c r="N631">
        <f t="shared" si="484"/>
        <v>-1.5707963250000001</v>
      </c>
      <c r="O631">
        <f t="shared" si="544"/>
        <v>2679.9357966541406</v>
      </c>
      <c r="P631">
        <f t="shared" si="486"/>
        <v>1.5704231835186828</v>
      </c>
      <c r="Q631">
        <f t="shared" si="545"/>
        <v>2091.5318820785228</v>
      </c>
      <c r="R631">
        <f t="shared" si="488"/>
        <v>1.5703182083178759</v>
      </c>
      <c r="S631">
        <f t="shared" si="546"/>
        <v>3.3896663633942531E-2</v>
      </c>
      <c r="T631">
        <f t="shared" si="490"/>
        <v>-1.5368931686828748</v>
      </c>
      <c r="U631">
        <f t="shared" si="547"/>
        <v>2.1755474483460296E-2</v>
      </c>
      <c r="V631">
        <f t="shared" si="492"/>
        <v>-1.5490391357990445</v>
      </c>
      <c r="X631">
        <f t="shared" si="548"/>
        <v>-76.564242772364139</v>
      </c>
      <c r="Y631">
        <f t="shared" si="549"/>
        <v>-178.92153176178988</v>
      </c>
      <c r="Z631">
        <f t="shared" si="510"/>
        <v>1.0784682382101209</v>
      </c>
      <c r="AC631">
        <v>1</v>
      </c>
      <c r="AD631">
        <f t="shared" si="550"/>
        <v>2679.9356100825003</v>
      </c>
      <c r="AE631">
        <f t="shared" si="551"/>
        <v>-7.5941779456278233</v>
      </c>
      <c r="AF631">
        <f t="shared" si="552"/>
        <v>0.16525405657530001</v>
      </c>
      <c r="AG631">
        <f t="shared" si="553"/>
        <v>7.5439297540533561</v>
      </c>
      <c r="AH631">
        <f t="shared" si="554"/>
        <v>-352.72928344144464</v>
      </c>
      <c r="AJ631">
        <f t="shared" si="497"/>
        <v>22100</v>
      </c>
      <c r="AK631">
        <f t="shared" si="555"/>
        <v>651606.904987038</v>
      </c>
      <c r="AL631">
        <v>6</v>
      </c>
      <c r="AM631">
        <f t="shared" si="556"/>
        <v>2091.5316430192802</v>
      </c>
      <c r="AN631">
        <f t="shared" si="557"/>
        <v>311.57307268009538</v>
      </c>
      <c r="AO631">
        <f t="shared" si="558"/>
        <v>-9.67260602125776</v>
      </c>
      <c r="AQ631">
        <f t="shared" si="559"/>
        <v>8.26446274161601E-5</v>
      </c>
      <c r="AR631">
        <f t="shared" si="560"/>
        <v>-0.90909090157776118</v>
      </c>
      <c r="AT631">
        <f t="shared" si="561"/>
        <v>-320.66235883139677</v>
      </c>
      <c r="AU631">
        <f t="shared" si="562"/>
        <v>-6.8872690817604507</v>
      </c>
      <c r="AV631">
        <f t="shared" si="511"/>
        <v>-3.1201176967794959</v>
      </c>
      <c r="AW631">
        <f t="shared" si="512"/>
        <v>310.09734918731209</v>
      </c>
      <c r="AX631">
        <f t="shared" si="513"/>
        <v>-671.77595972588392</v>
      </c>
      <c r="AY631">
        <f t="shared" si="521"/>
        <v>-1.1383309903423773</v>
      </c>
      <c r="BA631">
        <f t="shared" si="502"/>
        <v>0.43348947601939875</v>
      </c>
      <c r="BB631">
        <f t="shared" si="514"/>
        <v>-7.260428831676168</v>
      </c>
      <c r="BC631">
        <f t="shared" si="515"/>
        <v>-1.9817867064371186</v>
      </c>
      <c r="BD631">
        <f t="shared" si="503"/>
        <v>-293.54801430372629</v>
      </c>
      <c r="BF631">
        <f t="shared" si="504"/>
        <v>-84.90007139203918</v>
      </c>
      <c r="BG631">
        <f t="shared" si="505"/>
        <v>-205.60987545348917</v>
      </c>
      <c r="BH631">
        <f t="shared" si="516"/>
        <v>-25.609875453489167</v>
      </c>
      <c r="BI631">
        <f t="shared" si="517"/>
        <v>-25.609875453489167</v>
      </c>
      <c r="BJ631">
        <f t="shared" si="506"/>
        <v>0</v>
      </c>
      <c r="BK631">
        <f t="shared" si="518"/>
        <v>0</v>
      </c>
      <c r="BM631">
        <f t="shared" si="519"/>
        <v>-77.639642560363015</v>
      </c>
      <c r="BN631">
        <f t="shared" si="507"/>
        <v>-92.061861149762905</v>
      </c>
      <c r="BQ631" s="47">
        <f t="shared" si="520"/>
        <v>9.6415319686089678</v>
      </c>
    </row>
    <row r="632" spans="1:69">
      <c r="A632">
        <f t="shared" si="563"/>
        <v>5600000</v>
      </c>
      <c r="B632">
        <f t="shared" si="508"/>
        <v>5600</v>
      </c>
      <c r="C632">
        <f t="shared" si="539"/>
        <v>28.166427371530755</v>
      </c>
      <c r="D632">
        <f t="shared" si="540"/>
        <v>1.535285603823016</v>
      </c>
      <c r="F632">
        <f t="shared" si="541"/>
        <v>3.0504187570717421E-7</v>
      </c>
      <c r="G632">
        <f t="shared" si="542"/>
        <v>1.6651979222795724E-4</v>
      </c>
      <c r="H632">
        <f t="shared" si="481"/>
        <v>-3.1414261302077722</v>
      </c>
      <c r="J632">
        <f t="shared" si="482"/>
        <v>15</v>
      </c>
      <c r="M632">
        <f t="shared" si="543"/>
        <v>2.6892443178320807E-4</v>
      </c>
      <c r="N632">
        <f t="shared" si="484"/>
        <v>-1.5707963250000001</v>
      </c>
      <c r="O632">
        <f t="shared" si="544"/>
        <v>2728.6618953240045</v>
      </c>
      <c r="P632">
        <f t="shared" si="486"/>
        <v>1.5704298467908704</v>
      </c>
      <c r="Q632">
        <f t="shared" si="545"/>
        <v>2129.5597258645039</v>
      </c>
      <c r="R632">
        <f t="shared" si="488"/>
        <v>1.5703267461465562</v>
      </c>
      <c r="S632">
        <f t="shared" si="546"/>
        <v>3.329204304883443E-2</v>
      </c>
      <c r="T632">
        <f t="shared" si="490"/>
        <v>-1.5374981307478235</v>
      </c>
      <c r="U632">
        <f t="shared" si="547"/>
        <v>2.1367162846952083E-2</v>
      </c>
      <c r="V632">
        <f t="shared" si="492"/>
        <v>-1.549427537730669</v>
      </c>
      <c r="X632">
        <f t="shared" si="548"/>
        <v>-76.877207908558077</v>
      </c>
      <c r="Y632">
        <f t="shared" si="549"/>
        <v>-178.94078878961216</v>
      </c>
      <c r="Z632">
        <f t="shared" si="510"/>
        <v>1.0592112103878435</v>
      </c>
      <c r="AC632">
        <v>1</v>
      </c>
      <c r="AD632">
        <f t="shared" si="550"/>
        <v>2728.6617120840006</v>
      </c>
      <c r="AE632">
        <f t="shared" si="551"/>
        <v>-7.8728403429715188</v>
      </c>
      <c r="AF632">
        <f t="shared" si="552"/>
        <v>0.16825867578576004</v>
      </c>
      <c r="AG632">
        <f t="shared" si="553"/>
        <v>7.2770311909586649</v>
      </c>
      <c r="AH632">
        <f t="shared" si="554"/>
        <v>-346.43625040447807</v>
      </c>
      <c r="AJ632">
        <f t="shared" si="497"/>
        <v>22100</v>
      </c>
      <c r="AK632">
        <f t="shared" si="555"/>
        <v>663454.30325952964</v>
      </c>
      <c r="AL632">
        <v>7</v>
      </c>
      <c r="AM632">
        <f t="shared" si="556"/>
        <v>2129.5594910741761</v>
      </c>
      <c r="AN632">
        <f t="shared" si="557"/>
        <v>311.57607053343492</v>
      </c>
      <c r="AO632">
        <f t="shared" si="558"/>
        <v>-9.3535623633686722</v>
      </c>
      <c r="AQ632">
        <f t="shared" si="559"/>
        <v>7.9719387119583961E-5</v>
      </c>
      <c r="AR632">
        <f t="shared" si="560"/>
        <v>-0.89285713573934045</v>
      </c>
      <c r="AT632">
        <f t="shared" si="561"/>
        <v>-309.31749813195268</v>
      </c>
      <c r="AU632">
        <f t="shared" si="562"/>
        <v>-6.5249669114034461</v>
      </c>
      <c r="AV632">
        <f t="shared" si="511"/>
        <v>-3.1205010588155431</v>
      </c>
      <c r="AW632">
        <f t="shared" si="512"/>
        <v>310.29538767074092</v>
      </c>
      <c r="AX632">
        <f t="shared" si="513"/>
        <v>-659.64179699562715</v>
      </c>
      <c r="AY632">
        <f t="shared" si="521"/>
        <v>-1.131108003860323</v>
      </c>
      <c r="BA632">
        <f t="shared" si="502"/>
        <v>0.42441040044151607</v>
      </c>
      <c r="BB632">
        <f t="shared" si="514"/>
        <v>-7.4442796396639306</v>
      </c>
      <c r="BC632">
        <f t="shared" si="515"/>
        <v>-1.9893930549552201</v>
      </c>
      <c r="BD632">
        <f t="shared" si="503"/>
        <v>-293.98382597181705</v>
      </c>
      <c r="BF632">
        <f t="shared" si="504"/>
        <v>-85.240629911702911</v>
      </c>
      <c r="BG632">
        <f t="shared" si="505"/>
        <v>-206.00889954373801</v>
      </c>
      <c r="BH632">
        <f t="shared" si="516"/>
        <v>-26.008899543738011</v>
      </c>
      <c r="BI632">
        <f t="shared" si="517"/>
        <v>-26.008899543738011</v>
      </c>
      <c r="BJ632">
        <f t="shared" si="506"/>
        <v>0</v>
      </c>
      <c r="BK632">
        <f t="shared" si="518"/>
        <v>0</v>
      </c>
      <c r="BM632">
        <f t="shared" si="519"/>
        <v>-77.796350272038993</v>
      </c>
      <c r="BN632">
        <f t="shared" si="507"/>
        <v>-92.025073571920956</v>
      </c>
      <c r="BQ632" s="47">
        <f t="shared" si="520"/>
        <v>9.4576811606212061</v>
      </c>
    </row>
    <row r="633" spans="1:69">
      <c r="A633">
        <f t="shared" si="563"/>
        <v>5700000</v>
      </c>
      <c r="B633">
        <f t="shared" si="508"/>
        <v>5700</v>
      </c>
      <c r="C633">
        <f t="shared" si="539"/>
        <v>28.668770856490173</v>
      </c>
      <c r="D633">
        <f t="shared" si="540"/>
        <v>1.5359080890440016</v>
      </c>
      <c r="F633">
        <f t="shared" si="541"/>
        <v>2.9443253688743759E-7</v>
      </c>
      <c r="G633">
        <f t="shared" si="542"/>
        <v>1.6359839064998796E-4</v>
      </c>
      <c r="H633">
        <f t="shared" si="481"/>
        <v>-3.1414290516093502</v>
      </c>
      <c r="J633">
        <f t="shared" si="482"/>
        <v>15</v>
      </c>
      <c r="M633">
        <f t="shared" si="543"/>
        <v>2.6420645929578333E-4</v>
      </c>
      <c r="N633">
        <f t="shared" si="484"/>
        <v>-1.5707963250000001</v>
      </c>
      <c r="O633">
        <f t="shared" si="544"/>
        <v>2777.3879941107675</v>
      </c>
      <c r="P633">
        <f t="shared" si="486"/>
        <v>1.5704362762640647</v>
      </c>
      <c r="Q633">
        <f t="shared" si="545"/>
        <v>2167.5875698002719</v>
      </c>
      <c r="R633">
        <f t="shared" si="488"/>
        <v>1.5703349844023653</v>
      </c>
      <c r="S633">
        <f t="shared" si="546"/>
        <v>3.2708602561123734E-2</v>
      </c>
      <c r="T633">
        <f t="shared" si="490"/>
        <v>-1.5380818891931245</v>
      </c>
      <c r="U633">
        <f t="shared" si="547"/>
        <v>2.0992467010951303E-2</v>
      </c>
      <c r="V633">
        <f t="shared" si="492"/>
        <v>-1.5498023176385349</v>
      </c>
      <c r="X633">
        <f t="shared" si="548"/>
        <v>-77.184635214838124</v>
      </c>
      <c r="Y633">
        <f t="shared" si="549"/>
        <v>-178.95937020081325</v>
      </c>
      <c r="Z633">
        <f t="shared" si="510"/>
        <v>1.0406297991867461</v>
      </c>
      <c r="AC633">
        <v>1</v>
      </c>
      <c r="AD633">
        <f t="shared" si="550"/>
        <v>2777.3878140855004</v>
      </c>
      <c r="AE633">
        <f t="shared" si="551"/>
        <v>-8.1565236844115017</v>
      </c>
      <c r="AF633">
        <f t="shared" si="552"/>
        <v>0.17126329499622001</v>
      </c>
      <c r="AG633">
        <f t="shared" si="553"/>
        <v>7.0240480735682054</v>
      </c>
      <c r="AH633">
        <f t="shared" si="554"/>
        <v>-340.36373336032466</v>
      </c>
      <c r="AJ633">
        <f t="shared" si="497"/>
        <v>22100</v>
      </c>
      <c r="AK633">
        <f t="shared" si="555"/>
        <v>675301.70153202116</v>
      </c>
      <c r="AL633">
        <v>8</v>
      </c>
      <c r="AM633">
        <f t="shared" si="556"/>
        <v>2167.587339129072</v>
      </c>
      <c r="AN633">
        <f t="shared" si="557"/>
        <v>311.57871013289423</v>
      </c>
      <c r="AO633">
        <f t="shared" si="558"/>
        <v>-9.0457117759393313</v>
      </c>
      <c r="AQ633">
        <f t="shared" si="559"/>
        <v>7.694675225494958E-5</v>
      </c>
      <c r="AR633">
        <f t="shared" si="560"/>
        <v>-0.87719297570642529</v>
      </c>
      <c r="AT633">
        <f t="shared" si="561"/>
        <v>-298.56413561120451</v>
      </c>
      <c r="AU633">
        <f t="shared" si="562"/>
        <v>-6.1876355150257245</v>
      </c>
      <c r="AV633">
        <f t="shared" si="511"/>
        <v>-3.1208709756662429</v>
      </c>
      <c r="AW633">
        <f t="shared" si="512"/>
        <v>310.48040449731377</v>
      </c>
      <c r="AX633">
        <f t="shared" si="513"/>
        <v>-647.93278623589458</v>
      </c>
      <c r="AY633">
        <f t="shared" si="521"/>
        <v>-1.1239380292403991</v>
      </c>
      <c r="BA633">
        <f t="shared" si="502"/>
        <v>0.41563832364546582</v>
      </c>
      <c r="BB633">
        <f t="shared" si="514"/>
        <v>-7.6256883088989369</v>
      </c>
      <c r="BC633">
        <f t="shared" si="515"/>
        <v>-1.9969329464258438</v>
      </c>
      <c r="BD633">
        <f t="shared" si="503"/>
        <v>-294.41582993156413</v>
      </c>
      <c r="BF633">
        <f t="shared" si="504"/>
        <v>-85.575965640417849</v>
      </c>
      <c r="BG633">
        <f t="shared" si="505"/>
        <v>-206.40540511145343</v>
      </c>
      <c r="BH633">
        <f t="shared" si="516"/>
        <v>-26.405405111453433</v>
      </c>
      <c r="BI633">
        <f t="shared" si="517"/>
        <v>-26.405405111453433</v>
      </c>
      <c r="BJ633">
        <f t="shared" si="506"/>
        <v>0</v>
      </c>
      <c r="BK633">
        <f t="shared" si="518"/>
        <v>0</v>
      </c>
      <c r="BM633">
        <f t="shared" si="519"/>
        <v>-77.950277331518905</v>
      </c>
      <c r="BN633">
        <f t="shared" si="507"/>
        <v>-91.989575179889314</v>
      </c>
      <c r="BQ633" s="47">
        <f t="shared" si="520"/>
        <v>9.2762724913861998</v>
      </c>
    </row>
    <row r="634" spans="1:69">
      <c r="A634">
        <f t="shared" si="563"/>
        <v>5800000</v>
      </c>
      <c r="B634">
        <f t="shared" si="508"/>
        <v>5800</v>
      </c>
      <c r="C634">
        <f t="shared" si="539"/>
        <v>29.171125067647708</v>
      </c>
      <c r="D634">
        <f t="shared" si="540"/>
        <v>1.5365091349292535</v>
      </c>
      <c r="F634">
        <f t="shared" si="541"/>
        <v>2.84367212539535E-7</v>
      </c>
      <c r="G634">
        <f t="shared" si="542"/>
        <v>1.6077772714385549E-4</v>
      </c>
      <c r="H634">
        <f t="shared" si="481"/>
        <v>-3.1414318722728565</v>
      </c>
      <c r="J634">
        <f t="shared" si="482"/>
        <v>15</v>
      </c>
      <c r="M634">
        <f t="shared" si="543"/>
        <v>2.596511755148216E-4</v>
      </c>
      <c r="N634">
        <f t="shared" si="484"/>
        <v>-1.5707963250000001</v>
      </c>
      <c r="O634">
        <f t="shared" si="544"/>
        <v>2826.1140930083839</v>
      </c>
      <c r="P634">
        <f t="shared" si="486"/>
        <v>1.5704424840313149</v>
      </c>
      <c r="Q634">
        <f t="shared" si="545"/>
        <v>2205.6154138780785</v>
      </c>
      <c r="R634">
        <f t="shared" si="488"/>
        <v>1.5703429385804473</v>
      </c>
      <c r="S634">
        <f t="shared" si="546"/>
        <v>3.2145248974227943E-2</v>
      </c>
      <c r="T634">
        <f t="shared" si="490"/>
        <v>-1.5386455392059917</v>
      </c>
      <c r="U634">
        <f t="shared" si="547"/>
        <v>2.0630683325647079E-2</v>
      </c>
      <c r="V634">
        <f t="shared" si="492"/>
        <v>-1.5501641796994512</v>
      </c>
      <c r="X634">
        <f t="shared" si="548"/>
        <v>-77.486717241375544</v>
      </c>
      <c r="Y634">
        <f t="shared" si="549"/>
        <v>-178.97731093644842</v>
      </c>
      <c r="Z634">
        <f t="shared" si="510"/>
        <v>1.0226890635515815</v>
      </c>
      <c r="AC634">
        <v>1</v>
      </c>
      <c r="AD634">
        <f t="shared" si="550"/>
        <v>2826.1139160870002</v>
      </c>
      <c r="AE634">
        <f t="shared" si="551"/>
        <v>-8.4452279699477657</v>
      </c>
      <c r="AF634">
        <f t="shared" si="552"/>
        <v>0.17426791420668003</v>
      </c>
      <c r="AG634">
        <f t="shared" si="553"/>
        <v>6.7840297254169064</v>
      </c>
      <c r="AH634">
        <f t="shared" si="554"/>
        <v>-334.50034592663667</v>
      </c>
      <c r="AJ634">
        <f t="shared" si="497"/>
        <v>22100</v>
      </c>
      <c r="AK634">
        <f t="shared" si="555"/>
        <v>687149.09980451281</v>
      </c>
      <c r="AL634">
        <v>9</v>
      </c>
      <c r="AM634">
        <f t="shared" si="556"/>
        <v>2205.6151871839679</v>
      </c>
      <c r="AN634">
        <f t="shared" si="557"/>
        <v>311.58102287232208</v>
      </c>
      <c r="AO634">
        <f t="shared" si="558"/>
        <v>-8.7484756662312826</v>
      </c>
      <c r="AQ634">
        <f t="shared" si="559"/>
        <v>7.4316289578505582E-5</v>
      </c>
      <c r="AR634">
        <f t="shared" si="560"/>
        <v>-0.86206895911066472</v>
      </c>
      <c r="AT634">
        <f t="shared" si="561"/>
        <v>-288.36186087121536</v>
      </c>
      <c r="AU634">
        <f t="shared" si="562"/>
        <v>-5.8731602685379549</v>
      </c>
      <c r="AV634">
        <f t="shared" si="511"/>
        <v>-3.1212281423615913</v>
      </c>
      <c r="AW634">
        <f t="shared" si="512"/>
        <v>310.65338198199896</v>
      </c>
      <c r="AX634">
        <f t="shared" si="513"/>
        <v>-636.62698428086253</v>
      </c>
      <c r="AY634">
        <f t="shared" si="521"/>
        <v>-1.1168208381826565</v>
      </c>
      <c r="BA634">
        <f t="shared" si="502"/>
        <v>0.40715783183151016</v>
      </c>
      <c r="BB634">
        <f t="shared" si="514"/>
        <v>-7.8047441395157202</v>
      </c>
      <c r="BC634">
        <f t="shared" si="515"/>
        <v>-2.004407304178935</v>
      </c>
      <c r="BD634">
        <f t="shared" si="503"/>
        <v>-294.8440790858765</v>
      </c>
      <c r="BF634">
        <f t="shared" si="504"/>
        <v>-85.906264955169775</v>
      </c>
      <c r="BG634">
        <f t="shared" si="505"/>
        <v>-206.79937848532234</v>
      </c>
      <c r="BH634">
        <f t="shared" si="516"/>
        <v>-26.799378485322336</v>
      </c>
      <c r="BI634">
        <f t="shared" si="517"/>
        <v>-26.799378485322336</v>
      </c>
      <c r="BJ634">
        <f t="shared" si="506"/>
        <v>0</v>
      </c>
      <c r="BK634">
        <f t="shared" si="518"/>
        <v>0</v>
      </c>
      <c r="BM634">
        <f t="shared" si="519"/>
        <v>-78.101520815654055</v>
      </c>
      <c r="BN634">
        <f t="shared" si="507"/>
        <v>-91.955299399445863</v>
      </c>
      <c r="BQ634" s="47">
        <f t="shared" si="520"/>
        <v>9.0972166607694156</v>
      </c>
    </row>
    <row r="635" spans="1:69">
      <c r="A635">
        <f t="shared" si="563"/>
        <v>5900000</v>
      </c>
      <c r="B635">
        <f t="shared" si="508"/>
        <v>5900</v>
      </c>
      <c r="C635">
        <f t="shared" si="539"/>
        <v>29.673489460239246</v>
      </c>
      <c r="D635">
        <f t="shared" si="540"/>
        <v>1.537089829920065</v>
      </c>
      <c r="F635">
        <f t="shared" si="541"/>
        <v>2.7480933470003173E-7</v>
      </c>
      <c r="G635">
        <f t="shared" si="542"/>
        <v>1.5805267942901196E-4</v>
      </c>
      <c r="H635">
        <f t="shared" si="481"/>
        <v>-3.1414345973205711</v>
      </c>
      <c r="J635">
        <f t="shared" si="482"/>
        <v>15</v>
      </c>
      <c r="M635">
        <f t="shared" si="543"/>
        <v>2.5525030813321442E-4</v>
      </c>
      <c r="N635">
        <f t="shared" si="484"/>
        <v>-1.5707963250000001</v>
      </c>
      <c r="O635">
        <f t="shared" si="544"/>
        <v>2874.8401920112169</v>
      </c>
      <c r="P635">
        <f t="shared" si="486"/>
        <v>1.5704484813658028</v>
      </c>
      <c r="Q635">
        <f t="shared" si="545"/>
        <v>2243.6432580907021</v>
      </c>
      <c r="R635">
        <f t="shared" si="488"/>
        <v>1.5703506231254285</v>
      </c>
      <c r="S635">
        <f t="shared" si="546"/>
        <v>3.1600963014786675E-2</v>
      </c>
      <c r="T635">
        <f t="shared" si="490"/>
        <v>-1.5391901018516694</v>
      </c>
      <c r="U635">
        <f t="shared" si="547"/>
        <v>2.0281155795474914E-2</v>
      </c>
      <c r="V635">
        <f t="shared" si="492"/>
        <v>-1.550513780383326</v>
      </c>
      <c r="X635">
        <f t="shared" si="548"/>
        <v>-77.783636668643567</v>
      </c>
      <c r="Y635">
        <f t="shared" si="549"/>
        <v>-178.99464356907271</v>
      </c>
      <c r="Z635">
        <f t="shared" si="510"/>
        <v>1.0053564309272929</v>
      </c>
      <c r="AC635">
        <v>1</v>
      </c>
      <c r="AD635">
        <f t="shared" si="550"/>
        <v>2874.8400180885001</v>
      </c>
      <c r="AE635">
        <f t="shared" si="551"/>
        <v>-8.7389531995803136</v>
      </c>
      <c r="AF635">
        <f t="shared" si="552"/>
        <v>0.17727253341714003</v>
      </c>
      <c r="AG635">
        <f t="shared" si="553"/>
        <v>6.5561052795533374</v>
      </c>
      <c r="AH635">
        <f t="shared" si="554"/>
        <v>-328.83547206022934</v>
      </c>
      <c r="AJ635">
        <f t="shared" si="497"/>
        <v>22100</v>
      </c>
      <c r="AK635">
        <f t="shared" si="555"/>
        <v>698996.49807700445</v>
      </c>
      <c r="AL635">
        <v>10</v>
      </c>
      <c r="AM635">
        <f t="shared" si="556"/>
        <v>2243.6430352388643</v>
      </c>
      <c r="AN635">
        <f t="shared" si="557"/>
        <v>311.58303716029098</v>
      </c>
      <c r="AO635">
        <f t="shared" si="558"/>
        <v>-8.4613146254684786</v>
      </c>
      <c r="AQ635">
        <f t="shared" si="559"/>
        <v>7.1818442460367399E-5</v>
      </c>
      <c r="AR635">
        <f t="shared" si="560"/>
        <v>-0.84745762103233535</v>
      </c>
      <c r="AT635">
        <f t="shared" si="561"/>
        <v>-278.67365601393715</v>
      </c>
      <c r="AU635">
        <f t="shared" si="562"/>
        <v>-5.5796378348768911</v>
      </c>
      <c r="AV635">
        <f t="shared" si="511"/>
        <v>-3.1215732068448072</v>
      </c>
      <c r="AW635">
        <f t="shared" si="512"/>
        <v>310.81521526824997</v>
      </c>
      <c r="AX635">
        <f t="shared" si="513"/>
        <v>-625.7039313916215</v>
      </c>
      <c r="AY635">
        <f t="shared" si="521"/>
        <v>-1.1097562145596829</v>
      </c>
      <c r="BA635">
        <f t="shared" si="502"/>
        <v>0.39895455287027337</v>
      </c>
      <c r="BB635">
        <f t="shared" si="514"/>
        <v>-7.9815314878598489</v>
      </c>
      <c r="BC635">
        <f t="shared" si="515"/>
        <v>-2.0118169922851243</v>
      </c>
      <c r="BD635">
        <f t="shared" si="503"/>
        <v>-295.26862294235451</v>
      </c>
      <c r="BF635">
        <f t="shared" si="504"/>
        <v>-86.231704287007943</v>
      </c>
      <c r="BG635">
        <f t="shared" si="505"/>
        <v>-207.19080710333765</v>
      </c>
      <c r="BH635">
        <f t="shared" si="516"/>
        <v>-27.190807103337647</v>
      </c>
      <c r="BI635">
        <f t="shared" si="517"/>
        <v>-27.190807103337647</v>
      </c>
      <c r="BJ635">
        <f t="shared" si="506"/>
        <v>0</v>
      </c>
      <c r="BK635">
        <f t="shared" si="518"/>
        <v>0</v>
      </c>
      <c r="BM635">
        <f t="shared" si="519"/>
        <v>-78.250172799148089</v>
      </c>
      <c r="BN635">
        <f t="shared" si="507"/>
        <v>-91.92218416098315</v>
      </c>
      <c r="BQ635" s="47">
        <f t="shared" si="520"/>
        <v>8.9204293124252878</v>
      </c>
    </row>
    <row r="636" spans="1:69">
      <c r="A636">
        <f t="shared" si="563"/>
        <v>6000000</v>
      </c>
      <c r="B636">
        <f t="shared" si="508"/>
        <v>6000</v>
      </c>
      <c r="C636">
        <f t="shared" si="539"/>
        <v>30.175863525766676</v>
      </c>
      <c r="D636">
        <f t="shared" si="540"/>
        <v>1.5376511900324714</v>
      </c>
      <c r="F636">
        <f t="shared" si="541"/>
        <v>2.6572535712208861E-7</v>
      </c>
      <c r="G636">
        <f t="shared" si="542"/>
        <v>1.5541846671074348E-4</v>
      </c>
      <c r="H636">
        <f t="shared" si="481"/>
        <v>-3.1414372315332897</v>
      </c>
      <c r="J636">
        <f t="shared" si="482"/>
        <v>15</v>
      </c>
      <c r="M636">
        <f t="shared" si="543"/>
        <v>2.5099613633099415E-4</v>
      </c>
      <c r="N636">
        <f t="shared" si="484"/>
        <v>-1.5707963250000001</v>
      </c>
      <c r="O636">
        <f t="shared" si="544"/>
        <v>2923.5662911140048</v>
      </c>
      <c r="P636">
        <f t="shared" si="486"/>
        <v>1.5704542787891651</v>
      </c>
      <c r="Q636">
        <f t="shared" si="545"/>
        <v>2281.6711024314013</v>
      </c>
      <c r="R636">
        <f t="shared" si="488"/>
        <v>1.5703580515189601</v>
      </c>
      <c r="S636">
        <f t="shared" si="546"/>
        <v>3.1074793191061826E-2</v>
      </c>
      <c r="T636">
        <f t="shared" si="490"/>
        <v>-1.5397165302377989</v>
      </c>
      <c r="U636">
        <f t="shared" si="547"/>
        <v>1.994327211288165E-2</v>
      </c>
      <c r="V636">
        <f t="shared" si="492"/>
        <v>-1.5508517324254374</v>
      </c>
      <c r="X636">
        <f t="shared" si="548"/>
        <v>-78.075566970543406</v>
      </c>
      <c r="Y636">
        <f t="shared" si="549"/>
        <v>-179.01139850007834</v>
      </c>
      <c r="Z636">
        <f t="shared" si="510"/>
        <v>0.98860149992165702</v>
      </c>
      <c r="AC636">
        <v>1</v>
      </c>
      <c r="AD636">
        <f t="shared" si="550"/>
        <v>2923.5661200900004</v>
      </c>
      <c r="AE636">
        <f t="shared" si="551"/>
        <v>-9.0376993733091435</v>
      </c>
      <c r="AF636">
        <f t="shared" si="552"/>
        <v>0.18027715262760002</v>
      </c>
      <c r="AG636">
        <f t="shared" si="553"/>
        <v>6.3394757724823574</v>
      </c>
      <c r="AH636">
        <f t="shared" si="554"/>
        <v>-323.35920201985471</v>
      </c>
      <c r="AJ636">
        <f t="shared" si="497"/>
        <v>22100</v>
      </c>
      <c r="AK636">
        <f t="shared" si="555"/>
        <v>710843.89634949598</v>
      </c>
      <c r="AL636">
        <v>11</v>
      </c>
      <c r="AM636">
        <f t="shared" si="556"/>
        <v>2281.6708832937597</v>
      </c>
      <c r="AN636">
        <f t="shared" si="557"/>
        <v>311.58477873901967</v>
      </c>
      <c r="AO636">
        <f t="shared" si="558"/>
        <v>-8.183725168511403</v>
      </c>
      <c r="AQ636">
        <f t="shared" si="559"/>
        <v>6.9444443962191359E-5</v>
      </c>
      <c r="AR636">
        <f t="shared" si="560"/>
        <v>-0.8333333275462963</v>
      </c>
      <c r="AT636">
        <f t="shared" si="561"/>
        <v>-269.46555957055057</v>
      </c>
      <c r="AU636">
        <f t="shared" si="562"/>
        <v>-5.3053519403661769</v>
      </c>
      <c r="AV636">
        <f t="shared" si="511"/>
        <v>-3.1219067738929249</v>
      </c>
      <c r="AW636">
        <f t="shared" si="512"/>
        <v>310.96672127690891</v>
      </c>
      <c r="AX636">
        <f t="shared" si="513"/>
        <v>-615.1445280722719</v>
      </c>
      <c r="AY636">
        <f t="shared" si="521"/>
        <v>-1.1027439520992215</v>
      </c>
      <c r="BA636">
        <f t="shared" si="502"/>
        <v>0.39101506905048694</v>
      </c>
      <c r="BB636">
        <f t="shared" si="514"/>
        <v>-8.1561301063349756</v>
      </c>
      <c r="BC636">
        <f t="shared" si="515"/>
        <v>-2.0191628217937034</v>
      </c>
      <c r="BD636">
        <f t="shared" si="503"/>
        <v>-295.68950797069971</v>
      </c>
      <c r="BF636">
        <f t="shared" si="504"/>
        <v>-86.552450799120635</v>
      </c>
      <c r="BG636">
        <f t="shared" si="505"/>
        <v>-207.5796794956895</v>
      </c>
      <c r="BH636">
        <f t="shared" si="516"/>
        <v>-27.579679495689504</v>
      </c>
      <c r="BI636">
        <f t="shared" si="517"/>
        <v>-27.579679495689504</v>
      </c>
      <c r="BJ636">
        <f t="shared" si="506"/>
        <v>0</v>
      </c>
      <c r="BK636">
        <f t="shared" si="518"/>
        <v>0</v>
      </c>
      <c r="BM636">
        <f t="shared" si="519"/>
        <v>-78.396320692785665</v>
      </c>
      <c r="BN636">
        <f t="shared" si="507"/>
        <v>-91.89017152498981</v>
      </c>
      <c r="BQ636" s="47">
        <f t="shared" si="520"/>
        <v>8.7458306939501611</v>
      </c>
    </row>
    <row r="637" spans="1:69">
      <c r="A637">
        <f t="shared" si="563"/>
        <v>6100000</v>
      </c>
      <c r="B637">
        <f t="shared" si="508"/>
        <v>6100</v>
      </c>
      <c r="C637">
        <f t="shared" si="539"/>
        <v>30.678246789030215</v>
      </c>
      <c r="D637">
        <f t="shared" si="540"/>
        <v>1.5381941647805744</v>
      </c>
      <c r="F637">
        <f t="shared" si="541"/>
        <v>2.5708446052148574E-7</v>
      </c>
      <c r="G637">
        <f t="shared" si="542"/>
        <v>1.5287062168948303E-4</v>
      </c>
      <c r="H637">
        <f t="shared" si="481"/>
        <v>-3.1414397793783109</v>
      </c>
      <c r="J637">
        <f t="shared" si="482"/>
        <v>15</v>
      </c>
      <c r="M637">
        <f t="shared" si="543"/>
        <v>2.468814455714697E-4</v>
      </c>
      <c r="N637">
        <f t="shared" si="484"/>
        <v>-1.5707963250000001</v>
      </c>
      <c r="O637">
        <f t="shared" si="544"/>
        <v>2972.2923903118326</v>
      </c>
      <c r="P637">
        <f t="shared" si="486"/>
        <v>1.5704598861330947</v>
      </c>
      <c r="Q637">
        <f t="shared" si="545"/>
        <v>2319.6989468938768</v>
      </c>
      <c r="R637">
        <f t="shared" si="488"/>
        <v>1.5703652363586518</v>
      </c>
      <c r="S637">
        <f t="shared" si="546"/>
        <v>3.056585025334389E-2</v>
      </c>
      <c r="T637">
        <f t="shared" si="490"/>
        <v>-1.5402257150738472</v>
      </c>
      <c r="U637">
        <f t="shared" si="547"/>
        <v>1.9616460081658009E-2</v>
      </c>
      <c r="V637">
        <f t="shared" si="492"/>
        <v>-1.5511786084083603</v>
      </c>
      <c r="X637">
        <f t="shared" si="548"/>
        <v>-78.362673022763573</v>
      </c>
      <c r="Y637">
        <f t="shared" si="549"/>
        <v>-179.02760413762601</v>
      </c>
      <c r="Z637">
        <f t="shared" si="510"/>
        <v>0.97239586237398612</v>
      </c>
      <c r="AC637">
        <v>1</v>
      </c>
      <c r="AD637">
        <f t="shared" si="550"/>
        <v>2972.2922220915002</v>
      </c>
      <c r="AE637">
        <f t="shared" si="551"/>
        <v>-9.3414664911342573</v>
      </c>
      <c r="AF637">
        <f t="shared" si="552"/>
        <v>0.18328177183806002</v>
      </c>
      <c r="AG637">
        <f t="shared" si="553"/>
        <v>6.1334071368512904</v>
      </c>
      <c r="AH637">
        <f t="shared" si="554"/>
        <v>-318.06227461008524</v>
      </c>
      <c r="AJ637">
        <f t="shared" si="497"/>
        <v>22100</v>
      </c>
      <c r="AK637">
        <f t="shared" si="555"/>
        <v>722691.29462198762</v>
      </c>
      <c r="AL637">
        <v>12</v>
      </c>
      <c r="AM637">
        <f t="shared" si="556"/>
        <v>2319.6987313486561</v>
      </c>
      <c r="AN637">
        <f t="shared" si="557"/>
        <v>311.58627096514721</v>
      </c>
      <c r="AO637">
        <f t="shared" si="558"/>
        <v>-7.9152367935914247</v>
      </c>
      <c r="AQ637">
        <f t="shared" si="559"/>
        <v>6.7186239806596079E-5</v>
      </c>
      <c r="AR637">
        <f t="shared" si="560"/>
        <v>-0.81967212564047209</v>
      </c>
      <c r="AT637">
        <f t="shared" si="561"/>
        <v>-260.70636863512937</v>
      </c>
      <c r="AU637">
        <f t="shared" si="562"/>
        <v>-5.0487522735367243</v>
      </c>
      <c r="AV637">
        <f t="shared" si="511"/>
        <v>-3.1222294086521276</v>
      </c>
      <c r="AW637">
        <f t="shared" si="512"/>
        <v>311.10864661210849</v>
      </c>
      <c r="AX637">
        <f t="shared" si="513"/>
        <v>-604.93092395210579</v>
      </c>
      <c r="AY637">
        <f t="shared" si="521"/>
        <v>-1.0957838523405892</v>
      </c>
      <c r="BA637">
        <f t="shared" si="502"/>
        <v>0.38332683844507409</v>
      </c>
      <c r="BB637">
        <f t="shared" si="514"/>
        <v>-8.3286154552181078</v>
      </c>
      <c r="BC637">
        <f t="shared" si="515"/>
        <v>-2.0264455563115384</v>
      </c>
      <c r="BD637">
        <f t="shared" si="503"/>
        <v>-296.10677792236271</v>
      </c>
      <c r="BF637">
        <f t="shared" si="504"/>
        <v>-86.868663008738153</v>
      </c>
      <c r="BG637">
        <f t="shared" si="505"/>
        <v>-207.96598526663519</v>
      </c>
      <c r="BH637">
        <f t="shared" si="516"/>
        <v>-27.965985266635187</v>
      </c>
      <c r="BI637">
        <f t="shared" si="517"/>
        <v>-27.965985266635187</v>
      </c>
      <c r="BJ637">
        <f t="shared" si="506"/>
        <v>0</v>
      </c>
      <c r="BK637">
        <f t="shared" si="518"/>
        <v>0</v>
      </c>
      <c r="BM637">
        <f t="shared" si="519"/>
        <v>-78.540047553520054</v>
      </c>
      <c r="BN637">
        <f t="shared" si="507"/>
        <v>-91.859207344272519</v>
      </c>
      <c r="BQ637" s="47">
        <f t="shared" si="520"/>
        <v>8.5733453450670289</v>
      </c>
    </row>
    <row r="638" spans="1:69">
      <c r="A638">
        <f t="shared" si="563"/>
        <v>6200000</v>
      </c>
      <c r="B638">
        <f t="shared" si="508"/>
        <v>6200</v>
      </c>
      <c r="C638">
        <f t="shared" si="539"/>
        <v>31.180638805447373</v>
      </c>
      <c r="D638">
        <f t="shared" si="540"/>
        <v>1.538719642528092</v>
      </c>
      <c r="F638">
        <f t="shared" si="541"/>
        <v>2.488582908291414E-7</v>
      </c>
      <c r="G638">
        <f t="shared" si="542"/>
        <v>1.5040496527890521E-4</v>
      </c>
      <c r="H638">
        <f t="shared" si="481"/>
        <v>-3.1414422450347215</v>
      </c>
      <c r="J638">
        <f t="shared" si="482"/>
        <v>15</v>
      </c>
      <c r="M638">
        <f t="shared" si="543"/>
        <v>2.4289948677192985E-4</v>
      </c>
      <c r="N638">
        <f t="shared" si="484"/>
        <v>-1.5707963250000001</v>
      </c>
      <c r="O638">
        <f t="shared" si="544"/>
        <v>3021.0184896001019</v>
      </c>
      <c r="P638">
        <f t="shared" si="486"/>
        <v>1.5704653125949821</v>
      </c>
      <c r="Q638">
        <f t="shared" si="545"/>
        <v>2357.7267914722374</v>
      </c>
      <c r="R638">
        <f t="shared" si="488"/>
        <v>1.5703721894293634</v>
      </c>
      <c r="S638">
        <f t="shared" si="546"/>
        <v>3.0073302188658075E-2</v>
      </c>
      <c r="T638">
        <f t="shared" si="490"/>
        <v>-1.5407184896937214</v>
      </c>
      <c r="U638">
        <f t="shared" si="547"/>
        <v>1.9300184385924995E-2</v>
      </c>
      <c r="V638">
        <f t="shared" si="492"/>
        <v>-1.5514949439975707</v>
      </c>
      <c r="X638">
        <f t="shared" si="548"/>
        <v>-78.645111661711553</v>
      </c>
      <c r="Y638">
        <f t="shared" si="549"/>
        <v>-179.04328705736043</v>
      </c>
      <c r="Z638">
        <f t="shared" si="510"/>
        <v>0.95671294263956952</v>
      </c>
      <c r="AC638">
        <v>1</v>
      </c>
      <c r="AD638">
        <f t="shared" si="550"/>
        <v>3021.018324093</v>
      </c>
      <c r="AE638">
        <f t="shared" si="551"/>
        <v>-9.6502545530556496</v>
      </c>
      <c r="AF638">
        <f t="shared" si="552"/>
        <v>0.18628639104852002</v>
      </c>
      <c r="AG638">
        <f t="shared" si="553"/>
        <v>5.9372239779995963</v>
      </c>
      <c r="AH638">
        <f t="shared" si="554"/>
        <v>-312.93602499936844</v>
      </c>
      <c r="AJ638">
        <f t="shared" si="497"/>
        <v>22100</v>
      </c>
      <c r="AK638">
        <f t="shared" si="555"/>
        <v>734538.69289447926</v>
      </c>
      <c r="AL638">
        <v>13</v>
      </c>
      <c r="AM638">
        <f t="shared" si="556"/>
        <v>2357.726579403552</v>
      </c>
      <c r="AN638">
        <f t="shared" si="557"/>
        <v>311.58753505742118</v>
      </c>
      <c r="AO638">
        <f t="shared" si="558"/>
        <v>-7.6554093260549223</v>
      </c>
      <c r="AQ638">
        <f t="shared" si="559"/>
        <v>6.5036419972447842E-5</v>
      </c>
      <c r="AR638">
        <f t="shared" si="560"/>
        <v>-0.80645160765835322</v>
      </c>
      <c r="AT638">
        <f t="shared" si="561"/>
        <v>-252.36737431916319</v>
      </c>
      <c r="AU638">
        <f t="shared" si="562"/>
        <v>-4.8084360608318653</v>
      </c>
      <c r="AV638">
        <f t="shared" si="511"/>
        <v>-3.1225416398312662</v>
      </c>
      <c r="AW638">
        <f t="shared" si="512"/>
        <v>311.24167455998753</v>
      </c>
      <c r="AX638">
        <f t="shared" si="513"/>
        <v>-595.04641737807674</v>
      </c>
      <c r="AY638">
        <f t="shared" si="521"/>
        <v>-1.0888757228341148</v>
      </c>
      <c r="BA638">
        <f t="shared" si="502"/>
        <v>0.37587812391984166</v>
      </c>
      <c r="BB638">
        <f t="shared" si="514"/>
        <v>-8.4990589891747739</v>
      </c>
      <c r="BC638">
        <f t="shared" si="515"/>
        <v>-2.0336659169971512</v>
      </c>
      <c r="BD638">
        <f t="shared" si="503"/>
        <v>-296.5204741166832</v>
      </c>
      <c r="BF638">
        <f t="shared" si="504"/>
        <v>-87.180491358361024</v>
      </c>
      <c r="BG638">
        <f t="shared" si="505"/>
        <v>-208.34971507546672</v>
      </c>
      <c r="BH638">
        <f t="shared" si="516"/>
        <v>-28.349715075466719</v>
      </c>
      <c r="BI638">
        <f t="shared" si="517"/>
        <v>-28.349715075466719</v>
      </c>
      <c r="BJ638">
        <f t="shared" si="506"/>
        <v>0</v>
      </c>
      <c r="BK638">
        <f t="shared" si="518"/>
        <v>0</v>
      </c>
      <c r="BM638">
        <f t="shared" si="519"/>
        <v>-78.681432369186254</v>
      </c>
      <c r="BN638">
        <f t="shared" si="507"/>
        <v>-91.829240958783515</v>
      </c>
      <c r="BQ638" s="47">
        <f t="shared" si="520"/>
        <v>8.4029018111103628</v>
      </c>
    </row>
    <row r="639" spans="1:69">
      <c r="A639">
        <f t="shared" si="563"/>
        <v>6300000</v>
      </c>
      <c r="B639">
        <f t="shared" si="508"/>
        <v>6300</v>
      </c>
      <c r="C639">
        <f t="shared" si="539"/>
        <v>31.683039158626805</v>
      </c>
      <c r="D639">
        <f t="shared" si="540"/>
        <v>1.5392284553314808</v>
      </c>
      <c r="F639">
        <f t="shared" si="541"/>
        <v>2.4102072629265058E-7</v>
      </c>
      <c r="G639">
        <f t="shared" si="542"/>
        <v>1.4801758373182524E-4</v>
      </c>
      <c r="H639">
        <f t="shared" si="481"/>
        <v>-3.1414446324162686</v>
      </c>
      <c r="J639">
        <f t="shared" si="482"/>
        <v>15</v>
      </c>
      <c r="M639">
        <f t="shared" si="543"/>
        <v>2.3904393936285159E-4</v>
      </c>
      <c r="N639">
        <f t="shared" si="484"/>
        <v>-1.5707963250000001</v>
      </c>
      <c r="O639">
        <f t="shared" si="544"/>
        <v>3069.7445889745054</v>
      </c>
      <c r="P639">
        <f t="shared" si="486"/>
        <v>1.5704705667882568</v>
      </c>
      <c r="Q639">
        <f t="shared" si="545"/>
        <v>2395.7546361609639</v>
      </c>
      <c r="R639">
        <f t="shared" si="488"/>
        <v>1.5703789217677107</v>
      </c>
      <c r="S639">
        <f t="shared" si="546"/>
        <v>2.9596369690625016E-2</v>
      </c>
      <c r="T639">
        <f t="shared" si="490"/>
        <v>-1.5411956346010682</v>
      </c>
      <c r="U639">
        <f t="shared" si="547"/>
        <v>1.899394366642702E-2</v>
      </c>
      <c r="V639">
        <f t="shared" si="492"/>
        <v>-1.5518012408691713</v>
      </c>
      <c r="X639">
        <f t="shared" si="548"/>
        <v>-78.923032198759088</v>
      </c>
      <c r="Y639">
        <f t="shared" si="549"/>
        <v>-179.0584721478231</v>
      </c>
      <c r="Z639">
        <f t="shared" si="510"/>
        <v>0.94152785217690393</v>
      </c>
      <c r="AC639">
        <v>1</v>
      </c>
      <c r="AD639">
        <f t="shared" si="550"/>
        <v>3069.7444260945003</v>
      </c>
      <c r="AE639">
        <f t="shared" si="551"/>
        <v>-9.9640635590733293</v>
      </c>
      <c r="AF639">
        <f t="shared" si="552"/>
        <v>0.18929101025898001</v>
      </c>
      <c r="AG639">
        <f t="shared" si="553"/>
        <v>5.7503040357495783</v>
      </c>
      <c r="AH639">
        <f t="shared" si="554"/>
        <v>-307.97233749477061</v>
      </c>
      <c r="AJ639">
        <f t="shared" si="497"/>
        <v>22100</v>
      </c>
      <c r="AK639">
        <f t="shared" si="555"/>
        <v>746386.09116697079</v>
      </c>
      <c r="AL639">
        <v>14</v>
      </c>
      <c r="AM639">
        <f t="shared" si="556"/>
        <v>2395.7544274584479</v>
      </c>
      <c r="AN639">
        <f t="shared" si="557"/>
        <v>311.58859031561684</v>
      </c>
      <c r="AO639">
        <f t="shared" si="558"/>
        <v>-7.4038305146319132</v>
      </c>
      <c r="AQ639">
        <f t="shared" si="559"/>
        <v>6.2988157829502655E-5</v>
      </c>
      <c r="AR639">
        <f t="shared" si="560"/>
        <v>-0.79365078865173355</v>
      </c>
      <c r="AT639">
        <f t="shared" si="561"/>
        <v>-244.42212633458436</v>
      </c>
      <c r="AU639">
        <f t="shared" si="562"/>
        <v>-4.5831319431611401</v>
      </c>
      <c r="AV639">
        <f t="shared" si="511"/>
        <v>-3.1228439625915092</v>
      </c>
      <c r="AW639">
        <f t="shared" si="512"/>
        <v>311.36643129652634</v>
      </c>
      <c r="AX639">
        <f t="shared" si="513"/>
        <v>-585.47536453298744</v>
      </c>
      <c r="AY639">
        <f t="shared" si="521"/>
        <v>-1.0820193755566228</v>
      </c>
      <c r="BA639">
        <f t="shared" si="502"/>
        <v>0.3686579289332706</v>
      </c>
      <c r="BB639">
        <f t="shared" si="514"/>
        <v>-8.6675284208985985</v>
      </c>
      <c r="BC639">
        <f t="shared" si="515"/>
        <v>-2.0408245870348862</v>
      </c>
      <c r="BD639">
        <f t="shared" si="503"/>
        <v>-296.93063569724086</v>
      </c>
      <c r="BF639">
        <f t="shared" si="504"/>
        <v>-87.488078741191828</v>
      </c>
      <c r="BG639">
        <f t="shared" si="505"/>
        <v>-208.73086061668158</v>
      </c>
      <c r="BH639">
        <f t="shared" si="516"/>
        <v>-28.730860616681582</v>
      </c>
      <c r="BI639">
        <f t="shared" si="517"/>
        <v>-28.730860616681582</v>
      </c>
      <c r="BJ639">
        <f t="shared" si="506"/>
        <v>0</v>
      </c>
      <c r="BK639">
        <f t="shared" si="518"/>
        <v>0</v>
      </c>
      <c r="BM639">
        <f t="shared" si="519"/>
        <v>-78.820550320293236</v>
      </c>
      <c r="BN639">
        <f t="shared" si="507"/>
        <v>-91.800224919440723</v>
      </c>
      <c r="BQ639" s="47">
        <f t="shared" si="520"/>
        <v>8.2344323793865364</v>
      </c>
    </row>
    <row r="640" spans="1:69">
      <c r="A640">
        <f t="shared" si="563"/>
        <v>6400000</v>
      </c>
      <c r="B640">
        <f t="shared" si="508"/>
        <v>6400</v>
      </c>
      <c r="C640">
        <f t="shared" si="539"/>
        <v>32.185447458169186</v>
      </c>
      <c r="D640">
        <f t="shared" si="540"/>
        <v>1.5397213833300922</v>
      </c>
      <c r="F640">
        <f t="shared" si="541"/>
        <v>2.3354766984935579E-7</v>
      </c>
      <c r="G640">
        <f t="shared" si="542"/>
        <v>1.4570480791054887E-4</v>
      </c>
      <c r="H640">
        <f t="shared" si="481"/>
        <v>-3.1414469451920897</v>
      </c>
      <c r="J640">
        <f t="shared" si="482"/>
        <v>15</v>
      </c>
      <c r="M640">
        <f t="shared" si="543"/>
        <v>2.3530887781030705E-4</v>
      </c>
      <c r="N640">
        <f t="shared" si="484"/>
        <v>-1.5707963250000001</v>
      </c>
      <c r="O640">
        <f t="shared" si="544"/>
        <v>3118.4706884310049</v>
      </c>
      <c r="P640">
        <f t="shared" si="486"/>
        <v>1.5704756567880089</v>
      </c>
      <c r="Q640">
        <f t="shared" si="545"/>
        <v>2433.7824809548833</v>
      </c>
      <c r="R640">
        <f t="shared" si="488"/>
        <v>1.5703854437205205</v>
      </c>
      <c r="S640">
        <f t="shared" si="546"/>
        <v>2.9134322052693642E-2</v>
      </c>
      <c r="T640">
        <f t="shared" si="490"/>
        <v>-1.5416578815893376</v>
      </c>
      <c r="U640">
        <f t="shared" si="547"/>
        <v>1.869726787056996E-2</v>
      </c>
      <c r="V640">
        <f t="shared" si="492"/>
        <v>-1.552097969363377</v>
      </c>
      <c r="X640">
        <f t="shared" si="548"/>
        <v>-79.196576894020694</v>
      </c>
      <c r="Y640">
        <f t="shared" si="549"/>
        <v>-179.07318274223516</v>
      </c>
      <c r="Z640">
        <f t="shared" si="510"/>
        <v>0.92681725776483859</v>
      </c>
      <c r="AC640">
        <v>1</v>
      </c>
      <c r="AD640">
        <f t="shared" si="550"/>
        <v>3118.4705280960002</v>
      </c>
      <c r="AE640">
        <f t="shared" si="551"/>
        <v>-10.282893509187291</v>
      </c>
      <c r="AF640">
        <f t="shared" si="552"/>
        <v>0.19229562946944001</v>
      </c>
      <c r="AG640">
        <f t="shared" si="553"/>
        <v>5.5720732465572169</v>
      </c>
      <c r="AH640">
        <f t="shared" si="554"/>
        <v>-303.16360273286421</v>
      </c>
      <c r="AJ640">
        <f t="shared" si="497"/>
        <v>22100</v>
      </c>
      <c r="AK640">
        <f t="shared" si="555"/>
        <v>758233.48943946243</v>
      </c>
      <c r="AL640">
        <v>15</v>
      </c>
      <c r="AM640">
        <f t="shared" si="556"/>
        <v>2433.7822755133443</v>
      </c>
      <c r="AN640">
        <f t="shared" si="557"/>
        <v>311.58945431439628</v>
      </c>
      <c r="AO640">
        <f t="shared" si="558"/>
        <v>-7.1601138526692782</v>
      </c>
      <c r="AQ640">
        <f t="shared" si="559"/>
        <v>6.1035155877470973E-5</v>
      </c>
      <c r="AR640">
        <f t="shared" si="560"/>
        <v>-0.78124999523162841</v>
      </c>
      <c r="AT640">
        <f t="shared" si="561"/>
        <v>-236.84622309709431</v>
      </c>
      <c r="AU640">
        <f t="shared" si="562"/>
        <v>-4.3716858350522863</v>
      </c>
      <c r="AV640">
        <f t="shared" si="511"/>
        <v>-3.1231368411653202</v>
      </c>
      <c r="AW640">
        <f t="shared" si="512"/>
        <v>311.48349140437603</v>
      </c>
      <c r="AX640">
        <f t="shared" si="513"/>
        <v>-576.20309704215231</v>
      </c>
      <c r="AY640">
        <f t="shared" si="521"/>
        <v>-1.0752146255192776</v>
      </c>
      <c r="BA640">
        <f t="shared" si="502"/>
        <v>0.3616559393826087</v>
      </c>
      <c r="BB640">
        <f t="shared" si="514"/>
        <v>-8.834087964031232</v>
      </c>
      <c r="BC640">
        <f t="shared" si="515"/>
        <v>-2.0479222156460426</v>
      </c>
      <c r="BD640">
        <f t="shared" si="503"/>
        <v>-297.33729986167612</v>
      </c>
      <c r="BF640">
        <f t="shared" si="504"/>
        <v>-87.791560985107893</v>
      </c>
      <c r="BG640">
        <f t="shared" si="505"/>
        <v>-209.10941459945391</v>
      </c>
      <c r="BH640">
        <f t="shared" si="516"/>
        <v>-29.109414599453913</v>
      </c>
      <c r="BI640">
        <f t="shared" si="517"/>
        <v>-29.109414599453913</v>
      </c>
      <c r="BJ640">
        <f t="shared" si="506"/>
        <v>0</v>
      </c>
      <c r="BK640">
        <f t="shared" si="518"/>
        <v>0</v>
      </c>
      <c r="BM640">
        <f t="shared" si="519"/>
        <v>-78.957473021076652</v>
      </c>
      <c r="BN640">
        <f t="shared" si="507"/>
        <v>-91.772114737777827</v>
      </c>
      <c r="BQ640" s="47">
        <f t="shared" si="520"/>
        <v>8.0678728362539047</v>
      </c>
    </row>
    <row r="641" spans="1:69">
      <c r="A641">
        <f t="shared" si="563"/>
        <v>6500000</v>
      </c>
      <c r="B641">
        <f t="shared" si="508"/>
        <v>6500</v>
      </c>
      <c r="C641">
        <f t="shared" si="539"/>
        <v>32.687863337670755</v>
      </c>
      <c r="D641">
        <f t="shared" si="540"/>
        <v>1.5401991587320139</v>
      </c>
      <c r="F641">
        <f t="shared" si="541"/>
        <v>2.2641686368492436E-7</v>
      </c>
      <c r="G641">
        <f t="shared" si="542"/>
        <v>1.4346319447073116E-4</v>
      </c>
      <c r="H641">
        <f t="shared" si="481"/>
        <v>-3.1414491868055294</v>
      </c>
      <c r="J641">
        <f t="shared" si="482"/>
        <v>15</v>
      </c>
      <c r="M641">
        <f t="shared" si="543"/>
        <v>2.3168874122861001E-4</v>
      </c>
      <c r="N641">
        <f t="shared" si="484"/>
        <v>-1.5707963250000001</v>
      </c>
      <c r="O641">
        <f t="shared" si="544"/>
        <v>3167.1967879658127</v>
      </c>
      <c r="P641">
        <f t="shared" si="486"/>
        <v>1.5704805901723999</v>
      </c>
      <c r="Q641">
        <f t="shared" si="545"/>
        <v>2471.810325849141</v>
      </c>
      <c r="R641">
        <f t="shared" si="488"/>
        <v>1.5703917649978927</v>
      </c>
      <c r="S641">
        <f t="shared" si="546"/>
        <v>2.8686473439311636E-2</v>
      </c>
      <c r="T641">
        <f t="shared" si="490"/>
        <v>-1.5421059174823006</v>
      </c>
      <c r="U641">
        <f t="shared" si="547"/>
        <v>1.8409715846766241E-2</v>
      </c>
      <c r="V641">
        <f t="shared" si="492"/>
        <v>-1.552385570893267</v>
      </c>
      <c r="X641">
        <f t="shared" si="548"/>
        <v>-79.465881393426841</v>
      </c>
      <c r="Y641">
        <f t="shared" si="549"/>
        <v>-179.08744073811806</v>
      </c>
      <c r="Z641">
        <f t="shared" si="510"/>
        <v>0.91255926188193826</v>
      </c>
      <c r="AC641">
        <v>1</v>
      </c>
      <c r="AD641">
        <f t="shared" si="550"/>
        <v>3167.1966300975</v>
      </c>
      <c r="AE641">
        <f t="shared" si="551"/>
        <v>-10.606744403397535</v>
      </c>
      <c r="AF641">
        <f t="shared" si="552"/>
        <v>0.19530024867990003</v>
      </c>
      <c r="AG641">
        <f t="shared" si="553"/>
        <v>5.4020013327885446</v>
      </c>
      <c r="AH641">
        <f t="shared" si="554"/>
        <v>-298.50267881251705</v>
      </c>
      <c r="AJ641">
        <f t="shared" si="497"/>
        <v>22100</v>
      </c>
      <c r="AK641">
        <f t="shared" si="555"/>
        <v>770080.88771195395</v>
      </c>
      <c r="AL641">
        <v>16</v>
      </c>
      <c r="AM641">
        <f t="shared" si="556"/>
        <v>2471.8101235682402</v>
      </c>
      <c r="AN641">
        <f t="shared" si="557"/>
        <v>311.59014307528116</v>
      </c>
      <c r="AO641">
        <f t="shared" si="558"/>
        <v>-6.9238966001520268</v>
      </c>
      <c r="AQ641">
        <f t="shared" si="559"/>
        <v>5.9171597283008303E-5</v>
      </c>
      <c r="AR641">
        <f t="shared" si="560"/>
        <v>-0.76923076467910789</v>
      </c>
      <c r="AT641">
        <f t="shared" si="561"/>
        <v>-229.61712423666722</v>
      </c>
      <c r="AU641">
        <f t="shared" si="562"/>
        <v>-4.1730484963170857</v>
      </c>
      <c r="AV641">
        <f t="shared" si="511"/>
        <v>-3.123420711233889</v>
      </c>
      <c r="AW641">
        <f t="shared" si="512"/>
        <v>311.59338278463514</v>
      </c>
      <c r="AX641">
        <f t="shared" si="513"/>
        <v>-567.21584715829169</v>
      </c>
      <c r="AY641">
        <f t="shared" si="521"/>
        <v>-1.0684612895469214</v>
      </c>
      <c r="BA641">
        <f t="shared" si="502"/>
        <v>0.35486247084334999</v>
      </c>
      <c r="BB641">
        <f t="shared" si="514"/>
        <v>-8.9987985572839015</v>
      </c>
      <c r="BC641">
        <f t="shared" si="515"/>
        <v>-2.0549594216869673</v>
      </c>
      <c r="BD641">
        <f t="shared" si="503"/>
        <v>-297.7405020678458</v>
      </c>
      <c r="BF641">
        <f t="shared" si="504"/>
        <v>-88.0910672990384</v>
      </c>
      <c r="BG641">
        <f t="shared" si="505"/>
        <v>-209.48537072649657</v>
      </c>
      <c r="BH641">
        <f t="shared" si="516"/>
        <v>-29.485370726496569</v>
      </c>
      <c r="BI641">
        <f t="shared" si="517"/>
        <v>-29.485370726496569</v>
      </c>
      <c r="BJ641">
        <f t="shared" si="506"/>
        <v>0</v>
      </c>
      <c r="BK641">
        <f t="shared" si="518"/>
        <v>0</v>
      </c>
      <c r="BM641">
        <f t="shared" si="519"/>
        <v>-79.092268741754509</v>
      </c>
      <c r="BN641">
        <f t="shared" si="507"/>
        <v>-91.744868658650816</v>
      </c>
      <c r="BQ641" s="47">
        <f t="shared" si="520"/>
        <v>7.9031622430012352</v>
      </c>
    </row>
    <row r="642" spans="1:69">
      <c r="A642">
        <f t="shared" si="563"/>
        <v>6600000</v>
      </c>
      <c r="B642">
        <f t="shared" si="508"/>
        <v>6600</v>
      </c>
      <c r="C642">
        <f t="shared" si="539"/>
        <v>33.190286452908055</v>
      </c>
      <c r="D642">
        <f t="shared" si="540"/>
        <v>1.5406624694383639</v>
      </c>
      <c r="F642">
        <f t="shared" si="541"/>
        <v>2.1960772330897887E-7</v>
      </c>
      <c r="G642">
        <f t="shared" si="542"/>
        <v>1.4128950875579691E-4</v>
      </c>
      <c r="H642">
        <f t="shared" si="481"/>
        <v>-3.1414513604912444</v>
      </c>
      <c r="J642">
        <f t="shared" si="482"/>
        <v>15</v>
      </c>
      <c r="M642">
        <f t="shared" si="543"/>
        <v>2.2817830575544925E-4</v>
      </c>
      <c r="N642">
        <f t="shared" si="484"/>
        <v>-1.5707963250000001</v>
      </c>
      <c r="O642">
        <f t="shared" si="544"/>
        <v>3215.9228875753688</v>
      </c>
      <c r="P642">
        <f t="shared" si="486"/>
        <v>1.5704853740603089</v>
      </c>
      <c r="Q642">
        <f t="shared" si="545"/>
        <v>2509.8381708391753</v>
      </c>
      <c r="R642">
        <f t="shared" si="488"/>
        <v>1.5703978947214361</v>
      </c>
      <c r="S642">
        <f t="shared" si="546"/>
        <v>2.8252179495085163E-2</v>
      </c>
      <c r="T642">
        <f t="shared" si="490"/>
        <v>-1.5425403875351846</v>
      </c>
      <c r="U642">
        <f t="shared" si="547"/>
        <v>1.8130873157211763E-2</v>
      </c>
      <c r="V642">
        <f t="shared" si="492"/>
        <v>-1.5526644601347359</v>
      </c>
      <c r="X642">
        <f t="shared" si="548"/>
        <v>-79.731075132452048</v>
      </c>
      <c r="Y642">
        <f t="shared" si="549"/>
        <v>-179.10126670604163</v>
      </c>
      <c r="Z642">
        <f t="shared" si="510"/>
        <v>0.89873329395837231</v>
      </c>
      <c r="AC642">
        <v>1</v>
      </c>
      <c r="AD642">
        <f t="shared" si="550"/>
        <v>3215.9227320990003</v>
      </c>
      <c r="AE642">
        <f t="shared" si="551"/>
        <v>-10.935616241704064</v>
      </c>
      <c r="AF642">
        <f t="shared" si="552"/>
        <v>0.19830486789036003</v>
      </c>
      <c r="AG642">
        <f t="shared" si="553"/>
        <v>5.2395978557851768</v>
      </c>
      <c r="AH642">
        <f t="shared" si="554"/>
        <v>-293.98285595265588</v>
      </c>
      <c r="AJ642">
        <f t="shared" si="497"/>
        <v>22100</v>
      </c>
      <c r="AK642">
        <f t="shared" si="555"/>
        <v>781928.2859844456</v>
      </c>
      <c r="AL642">
        <v>17</v>
      </c>
      <c r="AM642">
        <f t="shared" si="556"/>
        <v>2509.8379716231357</v>
      </c>
      <c r="AN642">
        <f t="shared" si="557"/>
        <v>311.59067121948158</v>
      </c>
      <c r="AO642">
        <f t="shared" si="558"/>
        <v>-6.6948379852593352</v>
      </c>
      <c r="AQ642">
        <f t="shared" si="559"/>
        <v>5.7392102517262957E-5</v>
      </c>
      <c r="AR642">
        <f t="shared" si="560"/>
        <v>-0.75757575322787107</v>
      </c>
      <c r="AT642">
        <f t="shared" si="561"/>
        <v>-222.71398282287672</v>
      </c>
      <c r="AU642">
        <f t="shared" si="562"/>
        <v>-3.9862645864147463</v>
      </c>
      <c r="AV642">
        <f t="shared" si="511"/>
        <v>-3.1236959820886079</v>
      </c>
      <c r="AW642">
        <f t="shared" si="512"/>
        <v>311.69659103774649</v>
      </c>
      <c r="AX642">
        <f t="shared" si="513"/>
        <v>-558.50067972423608</v>
      </c>
      <c r="AY642">
        <f t="shared" si="521"/>
        <v>-1.0617591852104851</v>
      </c>
      <c r="BA642">
        <f t="shared" si="502"/>
        <v>0.34826842062851215</v>
      </c>
      <c r="BB642">
        <f t="shared" si="514"/>
        <v>-9.1617180714758302</v>
      </c>
      <c r="BC642">
        <f t="shared" si="515"/>
        <v>-2.0619367968781228</v>
      </c>
      <c r="BD642">
        <f t="shared" si="503"/>
        <v>-298.14027621883508</v>
      </c>
      <c r="BF642">
        <f t="shared" si="504"/>
        <v>-88.386720685195115</v>
      </c>
      <c r="BG642">
        <f t="shared" si="505"/>
        <v>-209.85872367239608</v>
      </c>
      <c r="BH642">
        <f t="shared" si="516"/>
        <v>-29.858723672396081</v>
      </c>
      <c r="BI642">
        <f t="shared" si="517"/>
        <v>-29.858723672396081</v>
      </c>
      <c r="BJ642">
        <f t="shared" si="506"/>
        <v>0</v>
      </c>
      <c r="BK642">
        <f t="shared" si="518"/>
        <v>0</v>
      </c>
      <c r="BM642">
        <f t="shared" si="519"/>
        <v>-79.225002613719283</v>
      </c>
      <c r="BN642">
        <f t="shared" si="507"/>
        <v>-91.718447453561012</v>
      </c>
      <c r="BQ642" s="47">
        <f t="shared" si="520"/>
        <v>7.7402427288093056</v>
      </c>
    </row>
    <row r="643" spans="1:69">
      <c r="A643">
        <f t="shared" si="563"/>
        <v>6700000</v>
      </c>
      <c r="B643">
        <f t="shared" si="508"/>
        <v>6700</v>
      </c>
      <c r="C643">
        <f t="shared" si="539"/>
        <v>33.692716480184913</v>
      </c>
      <c r="D643">
        <f t="shared" si="540"/>
        <v>1.5411119623437262</v>
      </c>
      <c r="F643">
        <f t="shared" si="541"/>
        <v>2.1310118883505195E-7</v>
      </c>
      <c r="G643">
        <f t="shared" si="542"/>
        <v>1.3918070922320578E-4</v>
      </c>
      <c r="H643">
        <f t="shared" si="481"/>
        <v>-3.1414534692907772</v>
      </c>
      <c r="J643">
        <f t="shared" si="482"/>
        <v>15</v>
      </c>
      <c r="M643">
        <f t="shared" si="543"/>
        <v>2.2477265940089032E-4</v>
      </c>
      <c r="N643">
        <f t="shared" si="484"/>
        <v>-1.5707963250000001</v>
      </c>
      <c r="O643">
        <f t="shared" si="544"/>
        <v>3264.6489872563266</v>
      </c>
      <c r="P643">
        <f t="shared" si="486"/>
        <v>1.5704900151456072</v>
      </c>
      <c r="Q643">
        <f t="shared" si="545"/>
        <v>2547.8660159206975</v>
      </c>
      <c r="R643">
        <f t="shared" si="488"/>
        <v>1.5704038414681858</v>
      </c>
      <c r="S643">
        <f t="shared" si="546"/>
        <v>2.7830834256731277E-2</v>
      </c>
      <c r="T643">
        <f t="shared" si="490"/>
        <v>-1.5429618985318068</v>
      </c>
      <c r="U643">
        <f t="shared" si="547"/>
        <v>1.7860350086304138E-2</v>
      </c>
      <c r="V643">
        <f t="shared" si="492"/>
        <v>-1.5529350270204829</v>
      </c>
      <c r="X643">
        <f t="shared" si="548"/>
        <v>-79.992281709504326</v>
      </c>
      <c r="Y643">
        <f t="shared" si="549"/>
        <v>-179.11467998863523</v>
      </c>
      <c r="Z643">
        <f t="shared" si="510"/>
        <v>0.88532001136476879</v>
      </c>
      <c r="AC643">
        <v>1</v>
      </c>
      <c r="AD643">
        <f t="shared" si="550"/>
        <v>3264.6488341005006</v>
      </c>
      <c r="AE643">
        <f t="shared" si="551"/>
        <v>-11.269509024106874</v>
      </c>
      <c r="AF643">
        <f t="shared" si="552"/>
        <v>0.20130948710082003</v>
      </c>
      <c r="AG643">
        <f t="shared" si="553"/>
        <v>5.0844086778161826</v>
      </c>
      <c r="AH643">
        <f t="shared" si="554"/>
        <v>-289.5978243077015</v>
      </c>
      <c r="AJ643">
        <f t="shared" si="497"/>
        <v>22100</v>
      </c>
      <c r="AK643">
        <f t="shared" si="555"/>
        <v>793775.68425693724</v>
      </c>
      <c r="AL643">
        <v>18</v>
      </c>
      <c r="AM643">
        <f t="shared" si="556"/>
        <v>2547.865819678032</v>
      </c>
      <c r="AN643">
        <f t="shared" si="557"/>
        <v>311.59105210393727</v>
      </c>
      <c r="AO643">
        <f t="shared" si="558"/>
        <v>-6.4726175667339927</v>
      </c>
      <c r="AQ643">
        <f t="shared" si="559"/>
        <v>5.5691690489576241E-5</v>
      </c>
      <c r="AR643">
        <f t="shared" si="560"/>
        <v>-0.7462686525603216</v>
      </c>
      <c r="AT643">
        <f t="shared" si="561"/>
        <v>-216.11749497119473</v>
      </c>
      <c r="AU643">
        <f t="shared" si="562"/>
        <v>-3.810463005457688</v>
      </c>
      <c r="AV643">
        <f t="shared" si="511"/>
        <v>-3.1239630385991357</v>
      </c>
      <c r="AW643">
        <f t="shared" si="512"/>
        <v>311.79356337764261</v>
      </c>
      <c r="AX643">
        <f t="shared" si="513"/>
        <v>-550.04543020813207</v>
      </c>
      <c r="AY643">
        <f t="shared" si="521"/>
        <v>-1.0551081298961889</v>
      </c>
      <c r="BA643">
        <f t="shared" si="502"/>
        <v>0.34186522416276049</v>
      </c>
      <c r="BB643">
        <f t="shared" si="514"/>
        <v>-9.3229015010236935</v>
      </c>
      <c r="BC643">
        <f t="shared" si="515"/>
        <v>-2.0688549087029466</v>
      </c>
      <c r="BD643">
        <f t="shared" si="503"/>
        <v>-298.53665482904995</v>
      </c>
      <c r="BF643">
        <f t="shared" si="504"/>
        <v>-88.678638320239727</v>
      </c>
      <c r="BG643">
        <f t="shared" si="505"/>
        <v>-210.22946906149639</v>
      </c>
      <c r="BH643">
        <f t="shared" si="516"/>
        <v>-30.229469061496388</v>
      </c>
      <c r="BI643">
        <f t="shared" si="517"/>
        <v>-30.229469061496388</v>
      </c>
      <c r="BJ643">
        <f t="shared" si="506"/>
        <v>0</v>
      </c>
      <c r="BK643">
        <f t="shared" si="518"/>
        <v>0</v>
      </c>
      <c r="BM643">
        <f t="shared" si="519"/>
        <v>-79.355736819216048</v>
      </c>
      <c r="BN643">
        <f t="shared" si="507"/>
        <v>-91.692814232446452</v>
      </c>
      <c r="BQ643" s="47">
        <f t="shared" si="520"/>
        <v>7.5790592992614423</v>
      </c>
    </row>
    <row r="644" spans="1:69">
      <c r="A644">
        <f t="shared" si="563"/>
        <v>6800000</v>
      </c>
      <c r="B644">
        <f t="shared" si="508"/>
        <v>6800</v>
      </c>
      <c r="C644">
        <f t="shared" si="539"/>
        <v>34.195153114825182</v>
      </c>
      <c r="D644">
        <f t="shared" si="540"/>
        <v>1.5415482463459742</v>
      </c>
      <c r="F644">
        <f t="shared" si="541"/>
        <v>2.0687959145594207E-7</v>
      </c>
      <c r="G644">
        <f t="shared" si="542"/>
        <v>1.3713393324487301E-4</v>
      </c>
      <c r="H644">
        <f t="shared" si="481"/>
        <v>-3.1414555160667552</v>
      </c>
      <c r="J644">
        <f t="shared" si="482"/>
        <v>15</v>
      </c>
      <c r="M644">
        <f t="shared" si="543"/>
        <v>2.2146717911558311E-4</v>
      </c>
      <c r="N644">
        <f t="shared" si="484"/>
        <v>-1.5707963250000001</v>
      </c>
      <c r="O644">
        <f t="shared" si="544"/>
        <v>3313.3750870055351</v>
      </c>
      <c r="P644">
        <f t="shared" si="486"/>
        <v>1.5704945197284093</v>
      </c>
      <c r="Q644">
        <f t="shared" si="545"/>
        <v>2585.8938610896721</v>
      </c>
      <c r="R644">
        <f t="shared" si="488"/>
        <v>1.570409613310646</v>
      </c>
      <c r="S644">
        <f t="shared" si="546"/>
        <v>2.7421867336752715E-2</v>
      </c>
      <c r="T644">
        <f t="shared" si="490"/>
        <v>-1.543371021608932</v>
      </c>
      <c r="U644">
        <f t="shared" si="547"/>
        <v>1.7597779824589124E-2</v>
      </c>
      <c r="V644">
        <f t="shared" si="492"/>
        <v>-1.5531976385581925</v>
      </c>
      <c r="X644">
        <f t="shared" si="548"/>
        <v>-80.249619231671105</v>
      </c>
      <c r="Y644">
        <f t="shared" si="549"/>
        <v>-179.12769879086426</v>
      </c>
      <c r="Z644">
        <f t="shared" si="510"/>
        <v>0.87230120913574183</v>
      </c>
      <c r="AC644">
        <v>1</v>
      </c>
      <c r="AD644">
        <f t="shared" si="550"/>
        <v>3313.3749361020004</v>
      </c>
      <c r="AE644">
        <f t="shared" si="551"/>
        <v>-11.608422750605968</v>
      </c>
      <c r="AF644">
        <f t="shared" si="552"/>
        <v>0.20431410631128002</v>
      </c>
      <c r="AG644">
        <f t="shared" si="553"/>
        <v>4.9360127852176987</v>
      </c>
      <c r="AH644">
        <f t="shared" si="554"/>
        <v>-285.34164461646088</v>
      </c>
      <c r="AJ644">
        <f t="shared" si="497"/>
        <v>22100</v>
      </c>
      <c r="AK644">
        <f t="shared" si="555"/>
        <v>805623.08252942876</v>
      </c>
      <c r="AL644">
        <v>19</v>
      </c>
      <c r="AM644">
        <f t="shared" si="556"/>
        <v>2585.893667732928</v>
      </c>
      <c r="AN644">
        <f t="shared" si="557"/>
        <v>311.59129794261759</v>
      </c>
      <c r="AO644">
        <f t="shared" si="558"/>
        <v>-6.2569337405413048</v>
      </c>
      <c r="AQ644">
        <f t="shared" si="559"/>
        <v>5.4065743652326213E-5</v>
      </c>
      <c r="AR644">
        <f t="shared" si="560"/>
        <v>-0.73529411367163655</v>
      </c>
      <c r="AT644">
        <f t="shared" si="561"/>
        <v>-209.8097648026658</v>
      </c>
      <c r="AU644">
        <f t="shared" si="562"/>
        <v>-3.6448483541896808</v>
      </c>
      <c r="AV644">
        <f t="shared" si="511"/>
        <v>-3.124222243007944</v>
      </c>
      <c r="AW644">
        <f t="shared" si="512"/>
        <v>311.8847121347348</v>
      </c>
      <c r="AX644">
        <f t="shared" si="513"/>
        <v>-541.83864818845416</v>
      </c>
      <c r="AY644">
        <f t="shared" si="521"/>
        <v>-1.04850793999707</v>
      </c>
      <c r="BA644">
        <f t="shared" si="502"/>
        <v>0.33564481522595452</v>
      </c>
      <c r="BB644">
        <f t="shared" si="514"/>
        <v>-9.4824011412570179</v>
      </c>
      <c r="BC644">
        <f t="shared" si="515"/>
        <v>-2.0757143030108738</v>
      </c>
      <c r="BD644">
        <f t="shared" si="503"/>
        <v>-298.92966917335934</v>
      </c>
      <c r="BF644">
        <f t="shared" si="504"/>
        <v>-88.966931908151224</v>
      </c>
      <c r="BG644">
        <f t="shared" si="505"/>
        <v>-210.59760344540459</v>
      </c>
      <c r="BH644">
        <f t="shared" si="516"/>
        <v>-30.597603445404587</v>
      </c>
      <c r="BI644">
        <f t="shared" si="517"/>
        <v>-30.597603445404587</v>
      </c>
      <c r="BJ644">
        <f t="shared" si="506"/>
        <v>0</v>
      </c>
      <c r="BK644">
        <f t="shared" si="518"/>
        <v>0</v>
      </c>
      <c r="BM644">
        <f t="shared" si="519"/>
        <v>-79.48453076689421</v>
      </c>
      <c r="BN644">
        <f t="shared" si="507"/>
        <v>-91.667934272045287</v>
      </c>
      <c r="BQ644" s="47">
        <f t="shared" si="520"/>
        <v>7.4195596590281188</v>
      </c>
    </row>
    <row r="645" spans="1:69">
      <c r="A645">
        <f t="shared" si="563"/>
        <v>6900000</v>
      </c>
      <c r="B645">
        <f t="shared" si="508"/>
        <v>6900</v>
      </c>
      <c r="C645">
        <f t="shared" si="539"/>
        <v>34.697596069796141</v>
      </c>
      <c r="D645">
        <f t="shared" si="540"/>
        <v>1.5419718950949077</v>
      </c>
      <c r="F645">
        <f t="shared" si="541"/>
        <v>2.0092653336564587E-7</v>
      </c>
      <c r="G645">
        <f t="shared" si="542"/>
        <v>1.3514648414233763E-4</v>
      </c>
      <c r="H645">
        <f t="shared" si="481"/>
        <v>-3.1414575035158578</v>
      </c>
      <c r="J645">
        <f t="shared" si="482"/>
        <v>15</v>
      </c>
      <c r="M645">
        <f t="shared" si="543"/>
        <v>2.1825750985303839E-4</v>
      </c>
      <c r="N645">
        <f t="shared" si="484"/>
        <v>-1.5707963250000001</v>
      </c>
      <c r="O645">
        <f t="shared" si="544"/>
        <v>3362.1011868200271</v>
      </c>
      <c r="P645">
        <f t="shared" si="486"/>
        <v>1.5704988937436057</v>
      </c>
      <c r="Q645">
        <f t="shared" si="545"/>
        <v>2623.9217063422966</v>
      </c>
      <c r="R645">
        <f t="shared" si="488"/>
        <v>1.5704152178533493</v>
      </c>
      <c r="S645">
        <f t="shared" si="546"/>
        <v>2.7024741351354013E-2</v>
      </c>
      <c r="T645">
        <f t="shared" si="490"/>
        <v>-1.5437682948354756</v>
      </c>
      <c r="U645">
        <f t="shared" si="547"/>
        <v>1.7342816810450665E-2</v>
      </c>
      <c r="V645">
        <f t="shared" si="492"/>
        <v>-1.5534526404907307</v>
      </c>
      <c r="X645">
        <f t="shared" si="548"/>
        <v>-80.503200635241512</v>
      </c>
      <c r="Y645">
        <f t="shared" si="549"/>
        <v>-179.14034026245773</v>
      </c>
      <c r="Z645">
        <f t="shared" si="510"/>
        <v>0.85965973754227321</v>
      </c>
      <c r="AC645">
        <v>1</v>
      </c>
      <c r="AD645">
        <f t="shared" si="550"/>
        <v>3362.1010381035003</v>
      </c>
      <c r="AE645">
        <f t="shared" si="551"/>
        <v>-11.95235742120134</v>
      </c>
      <c r="AF645">
        <f t="shared" si="552"/>
        <v>0.20731872552173999</v>
      </c>
      <c r="AG645">
        <f t="shared" si="553"/>
        <v>4.7940194311909794</v>
      </c>
      <c r="AH645">
        <f t="shared" si="554"/>
        <v>-281.20872139774679</v>
      </c>
      <c r="AJ645">
        <f t="shared" si="497"/>
        <v>22100</v>
      </c>
      <c r="AK645">
        <f t="shared" si="555"/>
        <v>817470.48080192041</v>
      </c>
      <c r="AL645">
        <v>20</v>
      </c>
      <c r="AM645">
        <f t="shared" si="556"/>
        <v>2623.9215157878239</v>
      </c>
      <c r="AN645">
        <f t="shared" si="557"/>
        <v>311.59141991484654</v>
      </c>
      <c r="AO645">
        <f t="shared" si="558"/>
        <v>-6.0475023762052977</v>
      </c>
      <c r="AQ645">
        <f t="shared" si="559"/>
        <v>5.25099766198804E-5</v>
      </c>
      <c r="AR645">
        <f t="shared" si="560"/>
        <v>-0.72463767735434947</v>
      </c>
      <c r="AT645">
        <f t="shared" si="561"/>
        <v>-203.77418299160135</v>
      </c>
      <c r="AU645">
        <f t="shared" si="562"/>
        <v>-3.4886933691957531</v>
      </c>
      <c r="AV645">
        <f t="shared" si="511"/>
        <v>-3.1244739365689291</v>
      </c>
      <c r="AW645">
        <f t="shared" si="512"/>
        <v>311.97041789602201</v>
      </c>
      <c r="AX645">
        <f t="shared" si="513"/>
        <v>-533.8695457380062</v>
      </c>
      <c r="AY645">
        <f t="shared" si="521"/>
        <v>-1.0419584302140128</v>
      </c>
      <c r="BA645">
        <f t="shared" si="502"/>
        <v>0.32959958967244724</v>
      </c>
      <c r="BB645">
        <f t="shared" si="514"/>
        <v>-9.6402667527935133</v>
      </c>
      <c r="BC645">
        <f t="shared" si="515"/>
        <v>-2.0825155063549161</v>
      </c>
      <c r="BD645">
        <f t="shared" si="503"/>
        <v>-299.31934942102851</v>
      </c>
      <c r="BF645">
        <f t="shared" si="504"/>
        <v>-89.251708007271588</v>
      </c>
      <c r="BG645">
        <f t="shared" si="505"/>
        <v>-210.96312428018186</v>
      </c>
      <c r="BH645">
        <f t="shared" si="516"/>
        <v>-30.963124280181859</v>
      </c>
      <c r="BI645">
        <f t="shared" si="517"/>
        <v>-30.963124280181859</v>
      </c>
      <c r="BJ645">
        <f t="shared" si="506"/>
        <v>0</v>
      </c>
      <c r="BK645">
        <f t="shared" si="518"/>
        <v>0</v>
      </c>
      <c r="BM645">
        <f t="shared" si="519"/>
        <v>-79.611441254478081</v>
      </c>
      <c r="BN645">
        <f t="shared" si="507"/>
        <v>-91.643774859153368</v>
      </c>
      <c r="BQ645" s="47">
        <f t="shared" si="520"/>
        <v>7.2616940474916234</v>
      </c>
    </row>
    <row r="646" spans="1:69">
      <c r="A646">
        <f t="shared" si="563"/>
        <v>7000000</v>
      </c>
      <c r="B646">
        <f t="shared" si="508"/>
        <v>7000</v>
      </c>
      <c r="C646">
        <f t="shared" si="539"/>
        <v>35.200045074449953</v>
      </c>
      <c r="D646">
        <f t="shared" si="540"/>
        <v>1.5423834495057518</v>
      </c>
      <c r="F646">
        <f t="shared" si="541"/>
        <v>1.9522677960225834E-7</v>
      </c>
      <c r="G646">
        <f t="shared" si="542"/>
        <v>1.332158193332038E-4</v>
      </c>
      <c r="H646">
        <f t="shared" si="481"/>
        <v>-3.1414594341806672</v>
      </c>
      <c r="J646">
        <f t="shared" si="482"/>
        <v>15</v>
      </c>
      <c r="M646">
        <f t="shared" si="543"/>
        <v>2.1513954542656642E-4</v>
      </c>
      <c r="N646">
        <f t="shared" si="484"/>
        <v>-1.5707963250000001</v>
      </c>
      <c r="O646">
        <f t="shared" si="544"/>
        <v>3410.8272866970055</v>
      </c>
      <c r="P646">
        <f t="shared" si="486"/>
        <v>1.5705031427869505</v>
      </c>
      <c r="Q646">
        <f t="shared" si="545"/>
        <v>2661.9495516749862</v>
      </c>
      <c r="R646">
        <f t="shared" si="488"/>
        <v>1.570420662266284</v>
      </c>
      <c r="S646">
        <f t="shared" si="546"/>
        <v>2.6638949568248322E-2</v>
      </c>
      <c r="T646">
        <f t="shared" si="490"/>
        <v>-1.5441542255710117</v>
      </c>
      <c r="U646">
        <f t="shared" si="547"/>
        <v>1.7095135213789605E-2</v>
      </c>
      <c r="V646">
        <f t="shared" si="492"/>
        <v>-1.5537003588141391</v>
      </c>
      <c r="X646">
        <f t="shared" si="548"/>
        <v>-80.753133983181215</v>
      </c>
      <c r="Y646">
        <f t="shared" si="549"/>
        <v>-179.15262057327186</v>
      </c>
      <c r="Z646">
        <f t="shared" si="510"/>
        <v>0.84737942672813915</v>
      </c>
      <c r="AC646">
        <v>1</v>
      </c>
      <c r="AD646">
        <f t="shared" si="550"/>
        <v>3410.8271401050006</v>
      </c>
      <c r="AE646">
        <f t="shared" si="551"/>
        <v>-12.301313035892999</v>
      </c>
      <c r="AF646">
        <f t="shared" si="552"/>
        <v>0.21032334473220005</v>
      </c>
      <c r="AG646">
        <f t="shared" si="553"/>
        <v>4.6580655620245546</v>
      </c>
      <c r="AH646">
        <f t="shared" si="554"/>
        <v>-277.19377843866727</v>
      </c>
      <c r="AJ646">
        <f t="shared" si="497"/>
        <v>22100</v>
      </c>
      <c r="AK646">
        <f t="shared" si="555"/>
        <v>829317.87907441205</v>
      </c>
      <c r="AL646">
        <v>21</v>
      </c>
      <c r="AM646">
        <f t="shared" si="556"/>
        <v>2661.9493638427202</v>
      </c>
      <c r="AN646">
        <f t="shared" si="557"/>
        <v>311.59142826218931</v>
      </c>
      <c r="AO646">
        <f t="shared" si="558"/>
        <v>-5.8440555698764136</v>
      </c>
      <c r="AQ646">
        <f t="shared" si="559"/>
        <v>5.1020407902957101E-5</v>
      </c>
      <c r="AR646">
        <f t="shared" si="560"/>
        <v>-0.71428571064139945</v>
      </c>
      <c r="AT646">
        <f t="shared" si="561"/>
        <v>-197.99531736103307</v>
      </c>
      <c r="AU646">
        <f t="shared" si="562"/>
        <v>-3.3413322098290417</v>
      </c>
      <c r="AV646">
        <f t="shared" si="511"/>
        <v>-3.1247184410456748</v>
      </c>
      <c r="AW646">
        <f t="shared" si="512"/>
        <v>312.051032324348</v>
      </c>
      <c r="AX646">
        <f t="shared" si="513"/>
        <v>-526.12795021877878</v>
      </c>
      <c r="AY646">
        <f t="shared" si="521"/>
        <v>-1.0354594129548409</v>
      </c>
      <c r="BA646">
        <f t="shared" si="502"/>
        <v>0.32372237227753603</v>
      </c>
      <c r="BB646">
        <f t="shared" si="514"/>
        <v>-9.7965457140841821</v>
      </c>
      <c r="BC646">
        <f t="shared" si="515"/>
        <v>-2.0892590280908339</v>
      </c>
      <c r="BD646">
        <f t="shared" si="503"/>
        <v>-299.70572475599283</v>
      </c>
      <c r="BF646">
        <f t="shared" si="504"/>
        <v>-89.533068333758749</v>
      </c>
      <c r="BG646">
        <f t="shared" si="505"/>
        <v>-211.32602990328323</v>
      </c>
      <c r="BH646">
        <f t="shared" si="516"/>
        <v>-31.326029903283228</v>
      </c>
      <c r="BI646">
        <f t="shared" si="517"/>
        <v>-31.326029903283228</v>
      </c>
      <c r="BJ646">
        <f t="shared" si="506"/>
        <v>0</v>
      </c>
      <c r="BK646">
        <f t="shared" si="518"/>
        <v>0</v>
      </c>
      <c r="BM646">
        <f t="shared" si="519"/>
        <v>-79.73652261967456</v>
      </c>
      <c r="BN646">
        <f t="shared" si="507"/>
        <v>-91.620305147290424</v>
      </c>
      <c r="BQ646" s="47">
        <f t="shared" si="520"/>
        <v>7.1054150862009555</v>
      </c>
    </row>
    <row r="647" spans="1:69">
      <c r="A647">
        <f t="shared" si="563"/>
        <v>7100000</v>
      </c>
      <c r="B647">
        <f t="shared" si="508"/>
        <v>7100</v>
      </c>
      <c r="C647">
        <f t="shared" si="539"/>
        <v>35.70249987337111</v>
      </c>
      <c r="D647">
        <f t="shared" si="540"/>
        <v>1.5427834200606563</v>
      </c>
      <c r="F647">
        <f t="shared" si="541"/>
        <v>1.8976616047823269E-7</v>
      </c>
      <c r="G647">
        <f t="shared" si="542"/>
        <v>1.3133953947929241E-4</v>
      </c>
      <c r="H647">
        <f t="shared" si="481"/>
        <v>-3.1414613104605209</v>
      </c>
      <c r="J647">
        <f t="shared" si="482"/>
        <v>15</v>
      </c>
      <c r="M647">
        <f t="shared" si="543"/>
        <v>2.1210941098393873E-4</v>
      </c>
      <c r="N647">
        <f t="shared" si="484"/>
        <v>-1.5707963250000001</v>
      </c>
      <c r="O647">
        <f t="shared" si="544"/>
        <v>3459.5533866338292</v>
      </c>
      <c r="P647">
        <f t="shared" si="486"/>
        <v>1.5705072721389433</v>
      </c>
      <c r="Q647">
        <f t="shared" si="545"/>
        <v>2699.9773970843576</v>
      </c>
      <c r="R647">
        <f t="shared" si="488"/>
        <v>1.5704259533154954</v>
      </c>
      <c r="S647">
        <f t="shared" si="546"/>
        <v>2.6264013752738541E-2</v>
      </c>
      <c r="T647">
        <f t="shared" si="490"/>
        <v>-1.5445292926253074</v>
      </c>
      <c r="U647">
        <f t="shared" si="547"/>
        <v>1.6854427547708994E-2</v>
      </c>
      <c r="V647">
        <f t="shared" si="492"/>
        <v>-1.5539411011674369</v>
      </c>
      <c r="X647">
        <f t="shared" si="548"/>
        <v>-80.999522741520153</v>
      </c>
      <c r="Y647">
        <f t="shared" si="549"/>
        <v>-179.16455498228601</v>
      </c>
      <c r="Z647">
        <f t="shared" si="510"/>
        <v>0.83544501771399382</v>
      </c>
      <c r="AC647">
        <v>1</v>
      </c>
      <c r="AD647">
        <f t="shared" si="550"/>
        <v>3459.5532421065004</v>
      </c>
      <c r="AE647">
        <f t="shared" si="551"/>
        <v>-12.655289594680941</v>
      </c>
      <c r="AF647">
        <f t="shared" si="552"/>
        <v>0.21332796394266001</v>
      </c>
      <c r="AG647">
        <f t="shared" si="553"/>
        <v>4.5278134950620288</v>
      </c>
      <c r="AH647">
        <f t="shared" si="554"/>
        <v>-273.29183635008576</v>
      </c>
      <c r="AJ647">
        <f t="shared" si="497"/>
        <v>22100</v>
      </c>
      <c r="AK647">
        <f t="shared" si="555"/>
        <v>841165.27734690357</v>
      </c>
      <c r="AL647">
        <v>22</v>
      </c>
      <c r="AM647">
        <f t="shared" si="556"/>
        <v>2699.9772118976161</v>
      </c>
      <c r="AN647">
        <f t="shared" si="557"/>
        <v>311.59133237523918</v>
      </c>
      <c r="AO647">
        <f t="shared" si="558"/>
        <v>-5.6463405026408173</v>
      </c>
      <c r="AQ647">
        <f t="shared" si="559"/>
        <v>4.9593334409872377E-5</v>
      </c>
      <c r="AR647">
        <f t="shared" si="560"/>
        <v>-0.70422534862018771</v>
      </c>
      <c r="AT647">
        <f t="shared" si="561"/>
        <v>-192.45881417932165</v>
      </c>
      <c r="AU647">
        <f t="shared" si="562"/>
        <v>-3.2021544904788457</v>
      </c>
      <c r="AV647">
        <f t="shared" si="511"/>
        <v>-3.1249560600831918</v>
      </c>
      <c r="AW647">
        <f t="shared" si="512"/>
        <v>312.12688069346058</v>
      </c>
      <c r="AX647">
        <f t="shared" si="513"/>
        <v>-518.60426105431225</v>
      </c>
      <c r="AY647">
        <f t="shared" si="521"/>
        <v>-1.0290106978212779</v>
      </c>
      <c r="BA647">
        <f t="shared" si="502"/>
        <v>0.31800638640182405</v>
      </c>
      <c r="BB647">
        <f t="shared" si="514"/>
        <v>-9.9512831631276448</v>
      </c>
      <c r="BC647">
        <f t="shared" si="515"/>
        <v>-2.0959453622619142</v>
      </c>
      <c r="BD647">
        <f t="shared" si="503"/>
        <v>-300.08882348484758</v>
      </c>
      <c r="BF647">
        <f t="shared" si="504"/>
        <v>-89.811110043452828</v>
      </c>
      <c r="BG647">
        <f t="shared" si="505"/>
        <v>-211.68631951030318</v>
      </c>
      <c r="BH647">
        <f t="shared" si="516"/>
        <v>-31.686319510303179</v>
      </c>
      <c r="BI647">
        <f t="shared" si="517"/>
        <v>-31.686319510303179</v>
      </c>
      <c r="BJ647">
        <f t="shared" si="506"/>
        <v>0</v>
      </c>
      <c r="BK647">
        <f t="shared" si="518"/>
        <v>0</v>
      </c>
      <c r="BM647">
        <f t="shared" si="519"/>
        <v>-79.859826880325187</v>
      </c>
      <c r="BN647">
        <f t="shared" si="507"/>
        <v>-91.597496025455627</v>
      </c>
      <c r="BQ647" s="47">
        <f t="shared" si="520"/>
        <v>6.9506776371574919</v>
      </c>
    </row>
    <row r="648" spans="1:69">
      <c r="A648">
        <f t="shared" si="563"/>
        <v>7200000</v>
      </c>
      <c r="B648">
        <f t="shared" si="508"/>
        <v>7200</v>
      </c>
      <c r="C648">
        <f t="shared" si="539"/>
        <v>36.204960225319979</v>
      </c>
      <c r="D648">
        <f t="shared" si="540"/>
        <v>1.5431722889187609</v>
      </c>
      <c r="F648">
        <f t="shared" si="541"/>
        <v>1.8453148342991544E-7</v>
      </c>
      <c r="G648">
        <f t="shared" si="542"/>
        <v>1.295153785391149E-4</v>
      </c>
      <c r="H648">
        <f t="shared" si="481"/>
        <v>-3.141463134621461</v>
      </c>
      <c r="J648">
        <f t="shared" si="482"/>
        <v>15</v>
      </c>
      <c r="M648">
        <f t="shared" si="543"/>
        <v>2.0916344694249514E-4</v>
      </c>
      <c r="N648">
        <f t="shared" si="484"/>
        <v>-1.5707963250000001</v>
      </c>
      <c r="O648">
        <f t="shared" si="544"/>
        <v>3508.2794866280055</v>
      </c>
      <c r="P648">
        <f t="shared" si="486"/>
        <v>1.5705112867867237</v>
      </c>
      <c r="Q648">
        <f t="shared" si="545"/>
        <v>2738.0052425672156</v>
      </c>
      <c r="R648">
        <f t="shared" si="488"/>
        <v>1.5704310973911375</v>
      </c>
      <c r="S648">
        <f t="shared" si="546"/>
        <v>2.5899482192850792E-2</v>
      </c>
      <c r="T648">
        <f t="shared" si="490"/>
        <v>-1.5448939482381912</v>
      </c>
      <c r="U648">
        <f t="shared" si="547"/>
        <v>1.662040339577539E-2</v>
      </c>
      <c r="V648">
        <f t="shared" si="492"/>
        <v>-1.5541751581066829</v>
      </c>
      <c r="X648">
        <f t="shared" si="548"/>
        <v>-81.24246603642176</v>
      </c>
      <c r="Y648">
        <f t="shared" si="549"/>
        <v>-179.17615790084952</v>
      </c>
      <c r="Z648">
        <f t="shared" si="510"/>
        <v>0.82384209915048245</v>
      </c>
      <c r="AC648">
        <v>1</v>
      </c>
      <c r="AD648">
        <f t="shared" si="550"/>
        <v>3508.2793441080003</v>
      </c>
      <c r="AE648">
        <f t="shared" si="551"/>
        <v>-13.014287097565166</v>
      </c>
      <c r="AF648">
        <f t="shared" si="552"/>
        <v>0.21633258315312001</v>
      </c>
      <c r="AG648">
        <f t="shared" si="553"/>
        <v>4.4029488206648661</v>
      </c>
      <c r="AH648">
        <f t="shared" si="554"/>
        <v>-269.49819198873507</v>
      </c>
      <c r="AJ648">
        <f t="shared" si="497"/>
        <v>22100</v>
      </c>
      <c r="AK648">
        <f t="shared" si="555"/>
        <v>853012.67561939533</v>
      </c>
      <c r="AL648">
        <v>23</v>
      </c>
      <c r="AM648">
        <f t="shared" si="556"/>
        <v>2738.0050599525121</v>
      </c>
      <c r="AN648">
        <f t="shared" si="557"/>
        <v>311.59114087146753</v>
      </c>
      <c r="AO648">
        <f t="shared" si="558"/>
        <v>-5.4541183938554347</v>
      </c>
      <c r="AQ648">
        <f t="shared" si="559"/>
        <v>4.8225308409407272E-5</v>
      </c>
      <c r="AR648">
        <f t="shared" si="560"/>
        <v>-0.69444444109546466</v>
      </c>
      <c r="AT648">
        <f t="shared" si="561"/>
        <v>-187.15130897829059</v>
      </c>
      <c r="AU648">
        <f t="shared" si="562"/>
        <v>-3.0705999663629826</v>
      </c>
      <c r="AV648">
        <f t="shared" si="511"/>
        <v>-3.1251870804654196</v>
      </c>
      <c r="AW648">
        <f t="shared" si="512"/>
        <v>312.19826417090252</v>
      </c>
      <c r="AX648">
        <f t="shared" si="513"/>
        <v>-511.28941009416855</v>
      </c>
      <c r="AY648">
        <f t="shared" si="521"/>
        <v>-1.0226120911746615</v>
      </c>
      <c r="BA648">
        <f t="shared" si="502"/>
        <v>0.31244522619866844</v>
      </c>
      <c r="BB648">
        <f t="shared" si="514"/>
        <v>-10.104522129255463</v>
      </c>
      <c r="BC648">
        <f t="shared" si="515"/>
        <v>-2.1025749892907584</v>
      </c>
      <c r="BD648">
        <f t="shared" si="503"/>
        <v>-300.46867313378027</v>
      </c>
      <c r="BF648">
        <f t="shared" si="504"/>
        <v>-90.085925993965432</v>
      </c>
      <c r="BG648">
        <f t="shared" si="505"/>
        <v>-212.04399313158009</v>
      </c>
      <c r="BH648">
        <f t="shared" si="516"/>
        <v>-32.043993131580095</v>
      </c>
      <c r="BI648">
        <f t="shared" si="517"/>
        <v>-32.043993131580095</v>
      </c>
      <c r="BJ648">
        <f t="shared" si="506"/>
        <v>0</v>
      </c>
      <c r="BK648">
        <f t="shared" si="518"/>
        <v>0</v>
      </c>
      <c r="BM648">
        <f t="shared" si="519"/>
        <v>-79.981403864709975</v>
      </c>
      <c r="BN648">
        <f t="shared" si="507"/>
        <v>-91.575319997799852</v>
      </c>
      <c r="BQ648" s="47">
        <f t="shared" si="520"/>
        <v>6.797438671029675</v>
      </c>
    </row>
    <row r="649" spans="1:69">
      <c r="A649">
        <f t="shared" si="563"/>
        <v>7300000</v>
      </c>
      <c r="B649">
        <f t="shared" si="508"/>
        <v>7300</v>
      </c>
      <c r="C649">
        <f t="shared" si="539"/>
        <v>36.707425902262884</v>
      </c>
      <c r="D649">
        <f t="shared" si="540"/>
        <v>1.5435505118531425</v>
      </c>
      <c r="F649">
        <f t="shared" si="541"/>
        <v>1.7951045326127957E-7</v>
      </c>
      <c r="G649">
        <f t="shared" si="542"/>
        <v>1.2774119463795285E-4</v>
      </c>
      <c r="H649">
        <f t="shared" ref="H649:H676" si="564">IF(G649&gt;0,G649-Pi,G649)</f>
        <v>-3.1414649088053621</v>
      </c>
      <c r="J649">
        <f t="shared" ref="J649:J676" si="565">Vin/Vramp</f>
        <v>15</v>
      </c>
      <c r="M649">
        <f t="shared" si="543"/>
        <v>2.0629819424465275E-4</v>
      </c>
      <c r="N649">
        <f t="shared" ref="N649:N676" si="566">-Pi/2</f>
        <v>-1.5707963250000001</v>
      </c>
      <c r="O649">
        <f t="shared" si="544"/>
        <v>3557.0055866771768</v>
      </c>
      <c r="P649">
        <f t="shared" ref="P649:P676" si="567">ATAN2(Fz1_u,A649)</f>
        <v>1.5705151914441629</v>
      </c>
      <c r="Q649">
        <f t="shared" si="545"/>
        <v>2776.0330881205405</v>
      </c>
      <c r="R649">
        <f t="shared" ref="R649:R676" si="568">ATAN2(Fz2_u,A649)</f>
        <v>1.570436100533219</v>
      </c>
      <c r="S649">
        <f t="shared" si="546"/>
        <v>2.5544927886398106E-2</v>
      </c>
      <c r="T649">
        <f t="shared" ref="T649:T676" si="569">-ATAN2(Fp1_u,A649)</f>
        <v>-1.5452486198969495</v>
      </c>
      <c r="U649">
        <f t="shared" si="547"/>
        <v>1.6392788243786025E-2</v>
      </c>
      <c r="V649">
        <f t="shared" ref="V649:V676" si="570">-ATAN2(Fp2_u,A649)</f>
        <v>-1.5544028042743916</v>
      </c>
      <c r="X649">
        <f t="shared" si="548"/>
        <v>-81.482058893531573</v>
      </c>
      <c r="Y649">
        <f t="shared" si="549"/>
        <v>-179.18744295073142</v>
      </c>
      <c r="Z649">
        <f t="shared" si="510"/>
        <v>0.81255704926857675</v>
      </c>
      <c r="AC649">
        <v>1</v>
      </c>
      <c r="AD649">
        <f t="shared" si="550"/>
        <v>3557.0054461095001</v>
      </c>
      <c r="AE649">
        <f t="shared" si="551"/>
        <v>-13.378305544545674</v>
      </c>
      <c r="AF649">
        <f t="shared" si="552"/>
        <v>0.21933720236358004</v>
      </c>
      <c r="AG649">
        <f t="shared" si="553"/>
        <v>4.2831785038139012</v>
      </c>
      <c r="AH649">
        <f t="shared" si="554"/>
        <v>-265.8083995673918</v>
      </c>
      <c r="AJ649">
        <f t="shared" ref="AJ649:AJ676" si="571">_Rfb1</f>
        <v>22100</v>
      </c>
      <c r="AK649">
        <f t="shared" si="555"/>
        <v>864860.07389188686</v>
      </c>
      <c r="AL649">
        <v>24</v>
      </c>
      <c r="AM649">
        <f t="shared" si="556"/>
        <v>2776.032908007408</v>
      </c>
      <c r="AN649">
        <f t="shared" si="557"/>
        <v>311.5908616651559</v>
      </c>
      <c r="AO649">
        <f t="shared" si="558"/>
        <v>-5.2671635404104649</v>
      </c>
      <c r="AQ649">
        <f t="shared" si="559"/>
        <v>4.691311668740328E-5</v>
      </c>
      <c r="AR649">
        <f t="shared" si="560"/>
        <v>-0.6849315036360879</v>
      </c>
      <c r="AT649">
        <f t="shared" si="561"/>
        <v>-182.06034585754279</v>
      </c>
      <c r="AU649">
        <f t="shared" si="562"/>
        <v>-2.9461537934244215</v>
      </c>
      <c r="AV649">
        <f t="shared" si="511"/>
        <v>-3.1254117732694442</v>
      </c>
      <c r="AW649">
        <f t="shared" si="512"/>
        <v>312.26546187678213</v>
      </c>
      <c r="AX649">
        <f t="shared" si="513"/>
        <v>-504.17482522719217</v>
      </c>
      <c r="AY649">
        <f t="shared" si="521"/>
        <v>-1.0162633957722482</v>
      </c>
      <c r="BA649">
        <f t="shared" ref="BA649:BA676" si="572">SQRT(AT649^2+AU649^2)/SQRT(AW649^2+AX649^2)</f>
        <v>0.30703283112006419</v>
      </c>
      <c r="BB649">
        <f t="shared" si="514"/>
        <v>-10.256303655803167</v>
      </c>
      <c r="BC649">
        <f t="shared" si="515"/>
        <v>-2.109148377497196</v>
      </c>
      <c r="BD649">
        <f t="shared" ref="BD649:BD678" si="573">BC649*180/Pi-180</f>
        <v>-300.84530053554056</v>
      </c>
      <c r="BF649">
        <f t="shared" ref="BF649:BF676" si="574">20*LOG(BA649*J649*F649*C649)</f>
        <v>-90.357604988625795</v>
      </c>
      <c r="BG649">
        <f t="shared" ref="BG649:BG676" si="575">(180/Pi)*(D649+H649+BC649)</f>
        <v>-212.39905160871021</v>
      </c>
      <c r="BH649">
        <f t="shared" si="516"/>
        <v>-32.399051608710209</v>
      </c>
      <c r="BI649">
        <f t="shared" si="517"/>
        <v>-32.399051608710209</v>
      </c>
      <c r="BJ649">
        <f t="shared" ref="BJ649:BJ676" si="576">SUM((BF650&lt;0)*(BF649&gt;0))*A649</f>
        <v>0</v>
      </c>
      <c r="BK649">
        <f t="shared" si="518"/>
        <v>0</v>
      </c>
      <c r="BM649">
        <f t="shared" si="519"/>
        <v>-80.101301332822629</v>
      </c>
      <c r="BN649">
        <f t="shared" ref="BN649:BN676" si="577">(H649+D649)*180/Pi</f>
        <v>-91.553751073169678</v>
      </c>
      <c r="BQ649" s="47">
        <f t="shared" si="520"/>
        <v>6.6456571444819676</v>
      </c>
    </row>
    <row r="650" spans="1:69">
      <c r="A650">
        <f t="shared" si="563"/>
        <v>7400000</v>
      </c>
      <c r="B650">
        <f t="shared" ref="B650:B676" si="578">A650/1000</f>
        <v>7400</v>
      </c>
      <c r="C650">
        <f t="shared" si="539"/>
        <v>37.209896688480868</v>
      </c>
      <c r="D650">
        <f t="shared" si="540"/>
        <v>1.5439185200309891</v>
      </c>
      <c r="F650">
        <f t="shared" si="541"/>
        <v>1.7469159988059384E-7</v>
      </c>
      <c r="G650">
        <f t="shared" si="542"/>
        <v>1.2601496167820238E-4</v>
      </c>
      <c r="H650">
        <f t="shared" si="564"/>
        <v>-3.1414666350383218</v>
      </c>
      <c r="J650">
        <f t="shared" si="565"/>
        <v>15</v>
      </c>
      <c r="M650">
        <f t="shared" si="543"/>
        <v>2.035103808089142E-4</v>
      </c>
      <c r="N650">
        <f t="shared" si="566"/>
        <v>-1.5707963250000001</v>
      </c>
      <c r="O650">
        <f t="shared" si="544"/>
        <v>3605.7316867791137</v>
      </c>
      <c r="P650">
        <f t="shared" si="567"/>
        <v>1.5705189905703278</v>
      </c>
      <c r="Q650">
        <f t="shared" si="545"/>
        <v>2814.0609337414749</v>
      </c>
      <c r="R650">
        <f t="shared" si="568"/>
        <v>1.5704409684552614</v>
      </c>
      <c r="S650">
        <f t="shared" si="546"/>
        <v>2.5199946874697458E-2</v>
      </c>
      <c r="T650">
        <f t="shared" si="569"/>
        <v>-1.5455937120065961</v>
      </c>
      <c r="U650">
        <f t="shared" si="547"/>
        <v>1.6171322406167084E-2</v>
      </c>
      <c r="V650">
        <f t="shared" si="570"/>
        <v>-1.5546242994741881</v>
      </c>
      <c r="X650">
        <f t="shared" si="548"/>
        <v>-81.71839246105101</v>
      </c>
      <c r="Y650">
        <f t="shared" si="549"/>
        <v>-179.19842301746377</v>
      </c>
      <c r="Z650">
        <f t="shared" ref="Z650:Z676" si="579">Y650+180</f>
        <v>0.80157698253623266</v>
      </c>
      <c r="AC650">
        <v>1</v>
      </c>
      <c r="AD650">
        <f t="shared" si="550"/>
        <v>3605.7315481110004</v>
      </c>
      <c r="AE650">
        <f t="shared" si="551"/>
        <v>-13.747344935622463</v>
      </c>
      <c r="AF650">
        <f t="shared" si="552"/>
        <v>0.22234182157404003</v>
      </c>
      <c r="AG650">
        <f t="shared" si="553"/>
        <v>4.1682291639324838</v>
      </c>
      <c r="AH650">
        <f t="shared" si="554"/>
        <v>-262.2182532937756</v>
      </c>
      <c r="AJ650">
        <f t="shared" si="571"/>
        <v>22100</v>
      </c>
      <c r="AK650">
        <f t="shared" si="555"/>
        <v>876707.4721643785</v>
      </c>
      <c r="AL650">
        <v>25</v>
      </c>
      <c r="AM650">
        <f t="shared" si="556"/>
        <v>2814.0607560623039</v>
      </c>
      <c r="AN650">
        <f t="shared" si="557"/>
        <v>311.59050203030165</v>
      </c>
      <c r="AO650">
        <f t="shared" si="558"/>
        <v>-5.0852624338028427</v>
      </c>
      <c r="AQ650">
        <f t="shared" si="559"/>
        <v>4.5653761661551488E-5</v>
      </c>
      <c r="AR650">
        <f t="shared" si="560"/>
        <v>-0.67567567259096206</v>
      </c>
      <c r="AT650">
        <f t="shared" si="561"/>
        <v>-177.17430436455828</v>
      </c>
      <c r="AU650">
        <f t="shared" si="562"/>
        <v>-2.8283422934925264</v>
      </c>
      <c r="AV650">
        <f t="shared" ref="AV650:AV676" si="580">ATAN2(AT650,AU650)</f>
        <v>-3.1256303949261888</v>
      </c>
      <c r="AW650">
        <f t="shared" ref="AW650:AW676" si="581">AG650-AH650*AO650/_Rfb2+AG650*AN650/_Rfb2+AN650-AO650*AR650+AQ650*AN650</f>
        <v>312.32873274302625</v>
      </c>
      <c r="AX650">
        <f t="shared" ref="AX650:AX676" si="582">AH650+AH650*AN650/_Rfb2+AG650*AO650/_Rfb2+AO650+AO650*AQ650+AN650*AR650</f>
        <v>-497.25239693721807</v>
      </c>
      <c r="AY650">
        <f t="shared" si="521"/>
        <v>-1.0099644104667926</v>
      </c>
      <c r="BA650">
        <f t="shared" si="572"/>
        <v>0.30176346250280534</v>
      </c>
      <c r="BB650">
        <f t="shared" ref="BB650:BB676" si="583">20*LOG(BA650)</f>
        <v>-10.406666914404443</v>
      </c>
      <c r="BC650">
        <f t="shared" ref="BC650:BC676" si="584">AV650-AY650</f>
        <v>-2.1156659844593961</v>
      </c>
      <c r="BD650">
        <f t="shared" si="573"/>
        <v>-301.21873190742645</v>
      </c>
      <c r="BF650">
        <f t="shared" si="574"/>
        <v>-90.62623200376251</v>
      </c>
      <c r="BG650">
        <f t="shared" si="575"/>
        <v>-212.75149657101824</v>
      </c>
      <c r="BH650">
        <f t="shared" ref="BH650:BH676" si="585">IF(BG650&gt;180,BG650-180,BG650+180)</f>
        <v>-32.751496571018237</v>
      </c>
      <c r="BI650">
        <f t="shared" ref="BI650:BI676" si="586">IF(BH650&gt;180,BH650-360,BH650)</f>
        <v>-32.751496571018237</v>
      </c>
      <c r="BJ650">
        <f t="shared" si="576"/>
        <v>0</v>
      </c>
      <c r="BK650">
        <f t="shared" ref="BK650:BK676" si="587">IF(BJ650&gt;0,BI650,0)</f>
        <v>0</v>
      </c>
      <c r="BM650">
        <f t="shared" ref="BM650:BM676" si="588">20*LOG(J650*F650*C650)</f>
        <v>-80.219565089358071</v>
      </c>
      <c r="BN650">
        <f t="shared" si="577"/>
        <v>-91.532764663591834</v>
      </c>
      <c r="BQ650" s="47">
        <f t="shared" ref="BQ650:BQ676" si="589">20*LOG(BA650*7)</f>
        <v>6.4952938858806952</v>
      </c>
    </row>
    <row r="651" spans="1:69">
      <c r="A651">
        <f t="shared" si="563"/>
        <v>7500000</v>
      </c>
      <c r="B651">
        <f t="shared" si="578"/>
        <v>7500</v>
      </c>
      <c r="C651">
        <f t="shared" si="539"/>
        <v>37.712372379749588</v>
      </c>
      <c r="D651">
        <f t="shared" si="540"/>
        <v>1.5442767216516049</v>
      </c>
      <c r="F651">
        <f t="shared" si="541"/>
        <v>1.7006421273618408E-7</v>
      </c>
      <c r="G651">
        <f t="shared" si="542"/>
        <v>1.2433476162089163E-4</v>
      </c>
      <c r="H651">
        <f t="shared" si="564"/>
        <v>-3.1414683152383791</v>
      </c>
      <c r="J651">
        <f t="shared" si="565"/>
        <v>15</v>
      </c>
      <c r="M651">
        <f t="shared" si="543"/>
        <v>2.0079690906479536E-4</v>
      </c>
      <c r="N651">
        <f t="shared" si="566"/>
        <v>-1.5707963250000001</v>
      </c>
      <c r="O651">
        <f t="shared" si="544"/>
        <v>3654.4577869317059</v>
      </c>
      <c r="P651">
        <f t="shared" si="567"/>
        <v>1.5705226883864696</v>
      </c>
      <c r="Q651">
        <f t="shared" si="545"/>
        <v>2852.0887794273158</v>
      </c>
      <c r="R651">
        <f t="shared" si="568"/>
        <v>1.5704457065660655</v>
      </c>
      <c r="S651">
        <f t="shared" si="546"/>
        <v>2.486415670928831E-2</v>
      </c>
      <c r="T651">
        <f t="shared" si="569"/>
        <v>-1.5459296074267199</v>
      </c>
      <c r="U651">
        <f t="shared" si="547"/>
        <v>1.5955760038180271E-2</v>
      </c>
      <c r="V651">
        <f t="shared" si="570"/>
        <v>-1.5548398896595481</v>
      </c>
      <c r="X651">
        <f t="shared" si="548"/>
        <v>-81.951554217846322</v>
      </c>
      <c r="Y651">
        <f t="shared" si="549"/>
        <v>-179.20911029941809</v>
      </c>
      <c r="Z651">
        <f t="shared" si="579"/>
        <v>0.79088970058191421</v>
      </c>
      <c r="AC651">
        <v>1</v>
      </c>
      <c r="AD651">
        <f t="shared" si="550"/>
        <v>3654.4576501125002</v>
      </c>
      <c r="AE651">
        <f t="shared" si="551"/>
        <v>-14.121405270795533</v>
      </c>
      <c r="AF651">
        <f t="shared" si="552"/>
        <v>0.22534644078450003</v>
      </c>
      <c r="AG651">
        <f t="shared" si="553"/>
        <v>4.0578455140645131</v>
      </c>
      <c r="AH651">
        <f t="shared" si="554"/>
        <v>-258.72377139579316</v>
      </c>
      <c r="AJ651">
        <f t="shared" si="571"/>
        <v>22100</v>
      </c>
      <c r="AK651">
        <f t="shared" si="555"/>
        <v>888554.87043687003</v>
      </c>
      <c r="AL651">
        <v>26</v>
      </c>
      <c r="AM651">
        <f t="shared" si="556"/>
        <v>2852.0886041172002</v>
      </c>
      <c r="AN651">
        <f t="shared" si="557"/>
        <v>311.59006865727576</v>
      </c>
      <c r="AO651">
        <f t="shared" si="558"/>
        <v>-4.9082129477684315</v>
      </c>
      <c r="AQ651">
        <f t="shared" si="559"/>
        <v>4.4444444246913578E-5</v>
      </c>
      <c r="AR651">
        <f t="shared" si="560"/>
        <v>-0.66666666370370375</v>
      </c>
      <c r="AT651">
        <f t="shared" si="561"/>
        <v>-172.48233314858447</v>
      </c>
      <c r="AU651">
        <f t="shared" si="562"/>
        <v>-2.7167291649195811</v>
      </c>
      <c r="AV651">
        <f t="shared" si="580"/>
        <v>-3.1258431881963036</v>
      </c>
      <c r="AW651">
        <f t="shared" si="581"/>
        <v>312.38831719473376</v>
      </c>
      <c r="AX651">
        <f t="shared" si="582"/>
        <v>-490.51444752744248</v>
      </c>
      <c r="AY651">
        <f t="shared" ref="AY651:AY676" si="590">ATAN2(AW651,AX651)</f>
        <v>-1.0037149299628234</v>
      </c>
      <c r="BA651">
        <f t="shared" si="572"/>
        <v>0.29663168204007601</v>
      </c>
      <c r="BB651">
        <f t="shared" si="583"/>
        <v>-10.555649311576566</v>
      </c>
      <c r="BC651">
        <f t="shared" si="584"/>
        <v>-2.1221282582334799</v>
      </c>
      <c r="BD651">
        <f t="shared" si="573"/>
        <v>-301.58899292116257</v>
      </c>
      <c r="BF651">
        <f t="shared" si="574"/>
        <v>-90.891888400659738</v>
      </c>
      <c r="BG651">
        <f t="shared" si="575"/>
        <v>-213.10133041202704</v>
      </c>
      <c r="BH651">
        <f t="shared" si="585"/>
        <v>-33.101330412027039</v>
      </c>
      <c r="BI651">
        <f t="shared" si="586"/>
        <v>-33.101330412027039</v>
      </c>
      <c r="BJ651">
        <f t="shared" si="576"/>
        <v>0</v>
      </c>
      <c r="BK651">
        <f t="shared" si="587"/>
        <v>0</v>
      </c>
      <c r="BM651">
        <f t="shared" si="588"/>
        <v>-80.336239089083179</v>
      </c>
      <c r="BN651">
        <f t="shared" si="577"/>
        <v>-91.512337490864496</v>
      </c>
      <c r="BQ651" s="47">
        <f t="shared" si="589"/>
        <v>6.3463114887085705</v>
      </c>
    </row>
    <row r="652" spans="1:69">
      <c r="A652">
        <f t="shared" si="563"/>
        <v>7600000</v>
      </c>
      <c r="B652">
        <f t="shared" si="578"/>
        <v>7600</v>
      </c>
      <c r="C652">
        <f t="shared" si="539"/>
        <v>38.214852782583897</v>
      </c>
      <c r="D652">
        <f t="shared" si="540"/>
        <v>1.5446255034553136</v>
      </c>
      <c r="F652">
        <f t="shared" si="541"/>
        <v>1.6561828125082354E-7</v>
      </c>
      <c r="G652">
        <f t="shared" si="542"/>
        <v>1.2269877737655329E-4</v>
      </c>
      <c r="H652">
        <f t="shared" si="564"/>
        <v>-3.1414699512226236</v>
      </c>
      <c r="J652">
        <f t="shared" si="565"/>
        <v>15</v>
      </c>
      <c r="M652">
        <f t="shared" si="543"/>
        <v>1.9815484447183754E-4</v>
      </c>
      <c r="N652">
        <f t="shared" si="566"/>
        <v>-1.5707963250000001</v>
      </c>
      <c r="O652">
        <f t="shared" si="544"/>
        <v>3703.1838871329528</v>
      </c>
      <c r="P652">
        <f t="shared" si="567"/>
        <v>1.5705262888916673</v>
      </c>
      <c r="Q652">
        <f t="shared" si="545"/>
        <v>2890.1166251754998</v>
      </c>
      <c r="R652">
        <f t="shared" si="568"/>
        <v>1.5704503199897586</v>
      </c>
      <c r="S652">
        <f t="shared" si="546"/>
        <v>2.4537195039433461E-2</v>
      </c>
      <c r="T652">
        <f t="shared" si="569"/>
        <v>-1.5462566688871813</v>
      </c>
      <c r="U652">
        <f t="shared" si="547"/>
        <v>1.5745868226042504E-2</v>
      </c>
      <c r="V652">
        <f t="shared" si="570"/>
        <v>-1.5550498078445227</v>
      </c>
      <c r="X652">
        <f t="shared" si="548"/>
        <v>-82.18162816778144</v>
      </c>
      <c r="Y652">
        <f t="shared" si="549"/>
        <v>-179.21951635300834</v>
      </c>
      <c r="Z652">
        <f t="shared" si="579"/>
        <v>0.78048364699165518</v>
      </c>
      <c r="AC652">
        <v>1</v>
      </c>
      <c r="AD652">
        <f t="shared" si="550"/>
        <v>3703.1837521140001</v>
      </c>
      <c r="AE652">
        <f t="shared" si="551"/>
        <v>-14.500486550064888</v>
      </c>
      <c r="AF652">
        <f t="shared" si="552"/>
        <v>0.22835105999496</v>
      </c>
      <c r="AG652">
        <f t="shared" si="553"/>
        <v>3.9517889427579838</v>
      </c>
      <c r="AH652">
        <f t="shared" si="554"/>
        <v>-255.32118140570103</v>
      </c>
      <c r="AJ652">
        <f t="shared" si="571"/>
        <v>22100</v>
      </c>
      <c r="AK652">
        <f t="shared" si="555"/>
        <v>900402.26870936167</v>
      </c>
      <c r="AL652">
        <v>27</v>
      </c>
      <c r="AM652">
        <f t="shared" si="556"/>
        <v>2890.1164521720962</v>
      </c>
      <c r="AN652">
        <f t="shared" si="557"/>
        <v>311.58956770392024</v>
      </c>
      <c r="AO652">
        <f t="shared" si="558"/>
        <v>-4.73582358998285</v>
      </c>
      <c r="AQ652">
        <f t="shared" si="559"/>
        <v>4.3282548289116396E-5</v>
      </c>
      <c r="AR652">
        <f t="shared" si="560"/>
        <v>-0.65789473399456921</v>
      </c>
      <c r="AT652">
        <f t="shared" si="561"/>
        <v>-167.97428968058708</v>
      </c>
      <c r="AU652">
        <f t="shared" si="562"/>
        <v>-2.6109120866618705</v>
      </c>
      <c r="AV652">
        <f t="shared" si="580"/>
        <v>-3.1260503830690589</v>
      </c>
      <c r="AW652">
        <f t="shared" si="581"/>
        <v>312.44443867266614</v>
      </c>
      <c r="AX652">
        <f t="shared" si="582"/>
        <v>-483.9537027683935</v>
      </c>
      <c r="AY652">
        <f t="shared" si="590"/>
        <v>-0.99751474462370826</v>
      </c>
      <c r="BA652">
        <f t="shared" si="572"/>
        <v>0.29163233196416799</v>
      </c>
      <c r="BB652">
        <f t="shared" si="583"/>
        <v>-10.703286588203733</v>
      </c>
      <c r="BC652">
        <f t="shared" si="584"/>
        <v>-2.1285356384453507</v>
      </c>
      <c r="BD652">
        <f t="shared" si="573"/>
        <v>-301.95610876545788</v>
      </c>
      <c r="BF652">
        <f t="shared" si="574"/>
        <v>-91.154652123402954</v>
      </c>
      <c r="BG652">
        <f t="shared" si="575"/>
        <v>-213.44855626596873</v>
      </c>
      <c r="BH652">
        <f t="shared" si="585"/>
        <v>-33.448556265968733</v>
      </c>
      <c r="BI652">
        <f t="shared" si="586"/>
        <v>-33.448556265968733</v>
      </c>
      <c r="BJ652">
        <f t="shared" si="576"/>
        <v>0</v>
      </c>
      <c r="BK652">
        <f t="shared" si="587"/>
        <v>0</v>
      </c>
      <c r="BM652">
        <f t="shared" si="588"/>
        <v>-80.45136553519923</v>
      </c>
      <c r="BN652">
        <f t="shared" si="577"/>
        <v>-91.492447500510849</v>
      </c>
      <c r="BQ652" s="47">
        <f t="shared" si="589"/>
        <v>6.1986742120814036</v>
      </c>
    </row>
    <row r="653" spans="1:69">
      <c r="A653">
        <f t="shared" si="563"/>
        <v>7700000</v>
      </c>
      <c r="B653">
        <f t="shared" si="578"/>
        <v>7700</v>
      </c>
      <c r="C653">
        <f t="shared" si="539"/>
        <v>38.717337713541241</v>
      </c>
      <c r="D653">
        <f t="shared" si="540"/>
        <v>1.5449652321149747</v>
      </c>
      <c r="F653">
        <f t="shared" si="541"/>
        <v>1.6134444063561863E-7</v>
      </c>
      <c r="G653">
        <f t="shared" si="542"/>
        <v>1.2110528625005525E-4</v>
      </c>
      <c r="H653">
        <f t="shared" si="564"/>
        <v>-3.1414715447137502</v>
      </c>
      <c r="J653">
        <f t="shared" si="565"/>
        <v>15</v>
      </c>
      <c r="M653">
        <f t="shared" si="543"/>
        <v>1.9558140493324219E-4</v>
      </c>
      <c r="N653">
        <f t="shared" si="566"/>
        <v>-1.5707963250000001</v>
      </c>
      <c r="O653">
        <f t="shared" si="544"/>
        <v>3751.90998738096</v>
      </c>
      <c r="P653">
        <f t="shared" si="567"/>
        <v>1.5705297958772566</v>
      </c>
      <c r="Q653">
        <f t="shared" si="545"/>
        <v>2928.1444709835987</v>
      </c>
      <c r="R653">
        <f t="shared" si="568"/>
        <v>1.5704548135842789</v>
      </c>
      <c r="S653">
        <f t="shared" si="546"/>
        <v>2.4218718309449053E-2</v>
      </c>
      <c r="T653">
        <f t="shared" si="569"/>
        <v>-1.5465752402936506</v>
      </c>
      <c r="U653">
        <f t="shared" si="547"/>
        <v>1.5541426147882946E-2</v>
      </c>
      <c r="V653">
        <f t="shared" si="570"/>
        <v>-1.5552542749435416</v>
      </c>
      <c r="X653">
        <f t="shared" si="548"/>
        <v>-82.408695021354674</v>
      </c>
      <c r="Y653">
        <f t="shared" si="549"/>
        <v>-179.22965213437135</v>
      </c>
      <c r="Z653">
        <f t="shared" si="579"/>
        <v>0.77034786562865065</v>
      </c>
      <c r="AC653">
        <v>1</v>
      </c>
      <c r="AD653">
        <f t="shared" si="550"/>
        <v>3751.9098541155004</v>
      </c>
      <c r="AE653">
        <f t="shared" si="551"/>
        <v>-14.884588773430529</v>
      </c>
      <c r="AF653">
        <f t="shared" si="552"/>
        <v>0.23135567920542005</v>
      </c>
      <c r="AG653">
        <f t="shared" si="553"/>
        <v>3.8498362239362116</v>
      </c>
      <c r="AH653">
        <f t="shared" si="554"/>
        <v>-252.00690658896616</v>
      </c>
      <c r="AJ653">
        <f t="shared" si="571"/>
        <v>22100</v>
      </c>
      <c r="AK653">
        <f t="shared" si="555"/>
        <v>912249.6669818532</v>
      </c>
      <c r="AL653">
        <v>28</v>
      </c>
      <c r="AM653">
        <f t="shared" si="556"/>
        <v>2928.1443002269921</v>
      </c>
      <c r="AN653">
        <f t="shared" si="557"/>
        <v>311.58900484168811</v>
      </c>
      <c r="AO653">
        <f t="shared" si="558"/>
        <v>-4.5679128120140309</v>
      </c>
      <c r="AQ653">
        <f t="shared" si="559"/>
        <v>4.2165626403416991E-5</v>
      </c>
      <c r="AR653">
        <f t="shared" si="560"/>
        <v>-0.64935064661262165</v>
      </c>
      <c r="AT653">
        <f t="shared" si="561"/>
        <v>-163.64068541363579</v>
      </c>
      <c r="AU653">
        <f t="shared" si="562"/>
        <v>-2.5105196704399839</v>
      </c>
      <c r="AV653">
        <f t="shared" si="580"/>
        <v>-3.1262521975912345</v>
      </c>
      <c r="AW653">
        <f t="shared" si="581"/>
        <v>312.49730501365809</v>
      </c>
      <c r="AX653">
        <f t="shared" si="582"/>
        <v>-477.56326574981028</v>
      </c>
      <c r="AY653">
        <f t="shared" si="590"/>
        <v>-0.99136364032417135</v>
      </c>
      <c r="BA653">
        <f t="shared" si="572"/>
        <v>0.28676051678415915</v>
      </c>
      <c r="BB653">
        <f t="shared" si="583"/>
        <v>-10.849612912469478</v>
      </c>
      <c r="BC653">
        <f t="shared" si="584"/>
        <v>-2.1348885572670633</v>
      </c>
      <c r="BD653">
        <f t="shared" si="573"/>
        <v>-302.32010420194717</v>
      </c>
      <c r="BF653">
        <f t="shared" si="574"/>
        <v>-91.41459788371759</v>
      </c>
      <c r="BG653">
        <f t="shared" si="575"/>
        <v>-213.79317798437393</v>
      </c>
      <c r="BH653">
        <f t="shared" si="585"/>
        <v>-33.793177984373926</v>
      </c>
      <c r="BI653">
        <f t="shared" si="586"/>
        <v>-33.793177984373926</v>
      </c>
      <c r="BJ653">
        <f t="shared" si="576"/>
        <v>0</v>
      </c>
      <c r="BK653">
        <f t="shared" si="587"/>
        <v>0</v>
      </c>
      <c r="BM653">
        <f t="shared" si="588"/>
        <v>-80.564984971248123</v>
      </c>
      <c r="BN653">
        <f t="shared" si="577"/>
        <v>-91.473073782426752</v>
      </c>
      <c r="BQ653" s="47">
        <f t="shared" si="589"/>
        <v>6.0523478878156576</v>
      </c>
    </row>
    <row r="654" spans="1:69">
      <c r="A654">
        <f t="shared" si="563"/>
        <v>7800000</v>
      </c>
      <c r="B654">
        <f t="shared" si="578"/>
        <v>7800</v>
      </c>
      <c r="C654">
        <f t="shared" si="539"/>
        <v>39.219826998578483</v>
      </c>
      <c r="D654">
        <f t="shared" si="540"/>
        <v>1.5452962555206318</v>
      </c>
      <c r="F654">
        <f t="shared" si="541"/>
        <v>1.5723392253523284E-7</v>
      </c>
      <c r="G654">
        <f t="shared" si="542"/>
        <v>1.1955265388967595E-4</v>
      </c>
      <c r="H654">
        <f t="shared" si="564"/>
        <v>-3.1414730973461107</v>
      </c>
      <c r="J654">
        <f t="shared" si="565"/>
        <v>15</v>
      </c>
      <c r="M654">
        <f t="shared" si="543"/>
        <v>1.9307395102384167E-4</v>
      </c>
      <c r="N654">
        <f t="shared" si="566"/>
        <v>-1.5707963250000001</v>
      </c>
      <c r="O654">
        <f t="shared" si="544"/>
        <v>3800.6360876739286</v>
      </c>
      <c r="P654">
        <f t="shared" si="567"/>
        <v>1.5705332129401444</v>
      </c>
      <c r="Q654">
        <f t="shared" si="545"/>
        <v>2966.1723168493077</v>
      </c>
      <c r="R654">
        <f t="shared" si="568"/>
        <v>1.5704591919584399</v>
      </c>
      <c r="S654">
        <f t="shared" si="546"/>
        <v>2.3908400556031054E-2</v>
      </c>
      <c r="T654">
        <f t="shared" si="569"/>
        <v>-1.5468856479328617</v>
      </c>
      <c r="U654">
        <f t="shared" si="547"/>
        <v>1.5342224299186387E-2</v>
      </c>
      <c r="V654">
        <f t="shared" si="570"/>
        <v>-1.5554535005466532</v>
      </c>
      <c r="X654">
        <f t="shared" si="548"/>
        <v>-82.632832365621681</v>
      </c>
      <c r="Y654">
        <f t="shared" si="549"/>
        <v>-179.23952803784212</v>
      </c>
      <c r="Z654">
        <f t="shared" si="579"/>
        <v>0.76047196215787949</v>
      </c>
      <c r="AC654">
        <v>1</v>
      </c>
      <c r="AD654">
        <f t="shared" si="550"/>
        <v>3800.6359561170002</v>
      </c>
      <c r="AE654">
        <f t="shared" si="551"/>
        <v>-15.273711940892451</v>
      </c>
      <c r="AF654">
        <f t="shared" si="552"/>
        <v>0.23436029841588002</v>
      </c>
      <c r="AG654">
        <f t="shared" si="553"/>
        <v>3.7517783417246671</v>
      </c>
      <c r="AH654">
        <f t="shared" si="554"/>
        <v>-248.77755341529777</v>
      </c>
      <c r="AJ654">
        <f t="shared" si="571"/>
        <v>22100</v>
      </c>
      <c r="AK654">
        <f t="shared" si="555"/>
        <v>924097.06525434495</v>
      </c>
      <c r="AL654">
        <v>29</v>
      </c>
      <c r="AM654">
        <f t="shared" si="556"/>
        <v>2966.172148281888</v>
      </c>
      <c r="AN654">
        <f t="shared" si="557"/>
        <v>311.58838529735556</v>
      </c>
      <c r="AO654">
        <f t="shared" si="558"/>
        <v>-4.4043083723052909</v>
      </c>
      <c r="AQ654">
        <f t="shared" si="559"/>
        <v>4.109138707638319E-5</v>
      </c>
      <c r="AR654">
        <f t="shared" si="560"/>
        <v>-0.64102563839157778</v>
      </c>
      <c r="AT654">
        <f t="shared" si="561"/>
        <v>-159.47263582976004</v>
      </c>
      <c r="AU654">
        <f t="shared" si="562"/>
        <v>-2.4152087213510534</v>
      </c>
      <c r="AV654">
        <f t="shared" si="580"/>
        <v>-3.1264488386322871</v>
      </c>
      <c r="AW654">
        <f t="shared" si="581"/>
        <v>312.54710970377465</v>
      </c>
      <c r="AX654">
        <f t="shared" si="582"/>
        <v>-471.33659273920125</v>
      </c>
      <c r="AY654">
        <f t="shared" si="590"/>
        <v>-0.9852613983434686</v>
      </c>
      <c r="BA654">
        <f t="shared" si="572"/>
        <v>0.28201158643843521</v>
      </c>
      <c r="BB654">
        <f t="shared" si="583"/>
        <v>-10.994660966739895</v>
      </c>
      <c r="BC654">
        <f t="shared" si="584"/>
        <v>-2.1411874402888182</v>
      </c>
      <c r="BD654">
        <f t="shared" si="573"/>
        <v>-302.68100361515275</v>
      </c>
      <c r="BF654">
        <f t="shared" si="574"/>
        <v>-91.671797333804918</v>
      </c>
      <c r="BG654">
        <f t="shared" si="575"/>
        <v>-214.1352001127751</v>
      </c>
      <c r="BH654">
        <f t="shared" si="585"/>
        <v>-34.135200112775095</v>
      </c>
      <c r="BI654">
        <f t="shared" si="586"/>
        <v>-34.135200112775095</v>
      </c>
      <c r="BJ654">
        <f t="shared" si="576"/>
        <v>0</v>
      </c>
      <c r="BK654">
        <f t="shared" si="587"/>
        <v>0</v>
      </c>
      <c r="BM654">
        <f t="shared" si="588"/>
        <v>-80.677136367065017</v>
      </c>
      <c r="BN654">
        <f t="shared" si="577"/>
        <v>-91.454196497622362</v>
      </c>
      <c r="BQ654" s="47">
        <f t="shared" si="589"/>
        <v>5.9072998335452409</v>
      </c>
    </row>
    <row r="655" spans="1:69">
      <c r="A655">
        <f t="shared" si="563"/>
        <v>7900000</v>
      </c>
      <c r="B655">
        <f t="shared" si="578"/>
        <v>7900</v>
      </c>
      <c r="C655">
        <f t="shared" si="539"/>
        <v>39.722320472457675</v>
      </c>
      <c r="D655">
        <f t="shared" si="540"/>
        <v>1.5456189039667392</v>
      </c>
      <c r="F655">
        <f t="shared" si="541"/>
        <v>1.5327851001833564E-7</v>
      </c>
      <c r="G655">
        <f t="shared" si="542"/>
        <v>1.1803932869574403E-4</v>
      </c>
      <c r="H655">
        <f t="shared" si="564"/>
        <v>-3.1414746106713043</v>
      </c>
      <c r="J655">
        <f t="shared" si="565"/>
        <v>15</v>
      </c>
      <c r="M655">
        <f t="shared" si="543"/>
        <v>1.9062997696024872E-4</v>
      </c>
      <c r="N655">
        <f t="shared" si="566"/>
        <v>-1.5707963250000001</v>
      </c>
      <c r="O655">
        <f t="shared" si="544"/>
        <v>3849.3621880101509</v>
      </c>
      <c r="P655">
        <f t="shared" si="567"/>
        <v>1.5705365434951171</v>
      </c>
      <c r="Q655">
        <f t="shared" si="545"/>
        <v>3004.2001627704385</v>
      </c>
      <c r="R655">
        <f t="shared" si="568"/>
        <v>1.5704634594876981</v>
      </c>
      <c r="S655">
        <f t="shared" si="546"/>
        <v>2.3605932296738387E-2</v>
      </c>
      <c r="T655">
        <f t="shared" si="569"/>
        <v>-1.5471882015864489</v>
      </c>
      <c r="U655">
        <f t="shared" si="547"/>
        <v>1.5148063777014584E-2</v>
      </c>
      <c r="V655">
        <f t="shared" si="570"/>
        <v>-1.5556476836359163</v>
      </c>
      <c r="X655">
        <f t="shared" si="548"/>
        <v>-82.854114823299483</v>
      </c>
      <c r="Y655">
        <f t="shared" si="549"/>
        <v>-179.2491539315069</v>
      </c>
      <c r="Z655">
        <f t="shared" si="579"/>
        <v>0.75084606849310376</v>
      </c>
      <c r="AC655">
        <v>1</v>
      </c>
      <c r="AD655">
        <f t="shared" si="550"/>
        <v>3849.3620581185</v>
      </c>
      <c r="AE655">
        <f t="shared" si="551"/>
        <v>-15.667856052450658</v>
      </c>
      <c r="AF655">
        <f t="shared" si="552"/>
        <v>0.23736491762634002</v>
      </c>
      <c r="AG655">
        <f t="shared" si="553"/>
        <v>3.6574194186753162</v>
      </c>
      <c r="AH655">
        <f t="shared" si="554"/>
        <v>-245.6298999796789</v>
      </c>
      <c r="AJ655">
        <f t="shared" si="571"/>
        <v>22100</v>
      </c>
      <c r="AK655">
        <f t="shared" si="555"/>
        <v>935944.46352683648</v>
      </c>
      <c r="AL655">
        <v>30</v>
      </c>
      <c r="AM655">
        <f t="shared" si="556"/>
        <v>3004.1999963367839</v>
      </c>
      <c r="AN655">
        <f t="shared" si="557"/>
        <v>311.58771389077776</v>
      </c>
      <c r="AO655">
        <f t="shared" si="558"/>
        <v>-4.2448467474956582</v>
      </c>
      <c r="AQ655">
        <f t="shared" si="559"/>
        <v>4.0057682903149807E-5</v>
      </c>
      <c r="AR655">
        <f t="shared" si="560"/>
        <v>-0.63291138986976692</v>
      </c>
      <c r="AT655">
        <f t="shared" si="561"/>
        <v>-155.46181488196308</v>
      </c>
      <c r="AU655">
        <f t="shared" si="562"/>
        <v>-2.3246617722553875</v>
      </c>
      <c r="AV655">
        <f t="shared" si="580"/>
        <v>-3.1266405025914361</v>
      </c>
      <c r="AW655">
        <f t="shared" si="581"/>
        <v>312.59403301733329</v>
      </c>
      <c r="AX655">
        <f t="shared" si="582"/>
        <v>-465.26747086975831</v>
      </c>
      <c r="AY655">
        <f t="shared" si="590"/>
        <v>-0.97920779529487334</v>
      </c>
      <c r="BA655">
        <f t="shared" si="572"/>
        <v>0.27738112073614385</v>
      </c>
      <c r="BB655">
        <f t="shared" si="583"/>
        <v>-11.138462028855011</v>
      </c>
      <c r="BC655">
        <f t="shared" si="584"/>
        <v>-2.1474327072965629</v>
      </c>
      <c r="BD655">
        <f t="shared" si="573"/>
        <v>-303.03883105703767</v>
      </c>
      <c r="BF655">
        <f t="shared" si="574"/>
        <v>-91.926319228089341</v>
      </c>
      <c r="BG655">
        <f t="shared" si="575"/>
        <v>-214.47462786755725</v>
      </c>
      <c r="BH655">
        <f t="shared" si="585"/>
        <v>-34.474627867557246</v>
      </c>
      <c r="BI655">
        <f t="shared" si="586"/>
        <v>-34.474627867557246</v>
      </c>
      <c r="BJ655">
        <f t="shared" si="576"/>
        <v>0</v>
      </c>
      <c r="BK655">
        <f t="shared" si="587"/>
        <v>0</v>
      </c>
      <c r="BM655">
        <f t="shared" si="588"/>
        <v>-80.787857199234324</v>
      </c>
      <c r="BN655">
        <f t="shared" si="577"/>
        <v>-91.435796810519562</v>
      </c>
      <c r="BQ655" s="47">
        <f t="shared" si="589"/>
        <v>5.7634987714301245</v>
      </c>
    </row>
    <row r="656" spans="1:69">
      <c r="A656">
        <f t="shared" si="563"/>
        <v>8000000</v>
      </c>
      <c r="B656">
        <f t="shared" si="578"/>
        <v>8000</v>
      </c>
      <c r="C656">
        <f t="shared" si="539"/>
        <v>40.224817978196178</v>
      </c>
      <c r="D656">
        <f t="shared" si="540"/>
        <v>1.545933491250483</v>
      </c>
      <c r="F656">
        <f t="shared" si="541"/>
        <v>1.4947049648150652E-7</v>
      </c>
      <c r="G656">
        <f t="shared" si="542"/>
        <v>1.1656383664863048E-4</v>
      </c>
      <c r="H656">
        <f t="shared" si="564"/>
        <v>-3.1414760861633515</v>
      </c>
      <c r="J656">
        <f t="shared" si="565"/>
        <v>15</v>
      </c>
      <c r="M656">
        <f t="shared" si="543"/>
        <v>1.8824710224824563E-4</v>
      </c>
      <c r="N656">
        <f t="shared" si="566"/>
        <v>-1.5707963250000001</v>
      </c>
      <c r="O656">
        <f t="shared" si="544"/>
        <v>3898.0882883880054</v>
      </c>
      <c r="P656">
        <f t="shared" si="567"/>
        <v>1.5705397907862209</v>
      </c>
      <c r="Q656">
        <f t="shared" si="545"/>
        <v>3042.228008744914</v>
      </c>
      <c r="R656">
        <f t="shared" si="568"/>
        <v>1.5704676203287364</v>
      </c>
      <c r="S656">
        <f t="shared" si="546"/>
        <v>2.331101950167476E-2</v>
      </c>
      <c r="T656">
        <f t="shared" si="569"/>
        <v>-1.547483195561359</v>
      </c>
      <c r="U656">
        <f t="shared" si="547"/>
        <v>1.495875561786723E-2</v>
      </c>
      <c r="V656">
        <f t="shared" si="570"/>
        <v>-1.5558370132480939</v>
      </c>
      <c r="X656">
        <f t="shared" si="548"/>
        <v>-83.072614201868021</v>
      </c>
      <c r="Y656">
        <f t="shared" si="549"/>
        <v>-179.25853919009057</v>
      </c>
      <c r="Z656">
        <f t="shared" si="579"/>
        <v>0.74146080990942664</v>
      </c>
      <c r="AC656">
        <v>1</v>
      </c>
      <c r="AD656">
        <f t="shared" si="550"/>
        <v>3898.0881601200003</v>
      </c>
      <c r="AE656">
        <f t="shared" si="551"/>
        <v>-16.067021108105145</v>
      </c>
      <c r="AF656">
        <f t="shared" si="552"/>
        <v>0.24036953683680004</v>
      </c>
      <c r="AG656">
        <f t="shared" si="553"/>
        <v>3.566575737121346</v>
      </c>
      <c r="AH656">
        <f t="shared" si="554"/>
        <v>-242.56088529042782</v>
      </c>
      <c r="AJ656">
        <f t="shared" si="571"/>
        <v>22100</v>
      </c>
      <c r="AK656">
        <f t="shared" si="555"/>
        <v>947791.86179932812</v>
      </c>
      <c r="AL656">
        <v>31</v>
      </c>
      <c r="AM656">
        <f t="shared" si="556"/>
        <v>3042.2278443916798</v>
      </c>
      <c r="AN656">
        <f t="shared" si="557"/>
        <v>311.58699506910085</v>
      </c>
      <c r="AO656">
        <f t="shared" si="558"/>
        <v>-4.0893725878528073</v>
      </c>
      <c r="AQ656">
        <f t="shared" si="559"/>
        <v>3.9062499847412111E-5</v>
      </c>
      <c r="AR656">
        <f t="shared" si="560"/>
        <v>-0.62499999755859381</v>
      </c>
      <c r="AT656">
        <f t="shared" si="561"/>
        <v>-151.60041339496354</v>
      </c>
      <c r="AU656">
        <f t="shared" si="562"/>
        <v>-2.2385848615380266</v>
      </c>
      <c r="AV656">
        <f t="shared" si="580"/>
        <v>-3.1268273760517475</v>
      </c>
      <c r="AW656">
        <f t="shared" si="581"/>
        <v>312.63824305341399</v>
      </c>
      <c r="AX656">
        <f t="shared" si="582"/>
        <v>-459.34999749798226</v>
      </c>
      <c r="AY656">
        <f t="shared" si="590"/>
        <v>-0.97320260308755469</v>
      </c>
      <c r="BA656">
        <f t="shared" si="572"/>
        <v>0.27286491497429205</v>
      </c>
      <c r="BB656">
        <f t="shared" si="583"/>
        <v>-11.281046048245431</v>
      </c>
      <c r="BC656">
        <f t="shared" si="584"/>
        <v>-2.1536247729641929</v>
      </c>
      <c r="BD656">
        <f t="shared" si="573"/>
        <v>-303.3936102866661</v>
      </c>
      <c r="BF656">
        <f t="shared" si="574"/>
        <v>-92.178229574711082</v>
      </c>
      <c r="BG656">
        <f t="shared" si="575"/>
        <v>-214.81146711298516</v>
      </c>
      <c r="BH656">
        <f t="shared" si="585"/>
        <v>-34.811467112985156</v>
      </c>
      <c r="BI656">
        <f t="shared" si="586"/>
        <v>-34.811467112985156</v>
      </c>
      <c r="BJ656">
        <f t="shared" si="576"/>
        <v>0</v>
      </c>
      <c r="BK656">
        <f t="shared" si="587"/>
        <v>0</v>
      </c>
      <c r="BM656">
        <f t="shared" si="588"/>
        <v>-80.897183526465653</v>
      </c>
      <c r="BN656">
        <f t="shared" si="577"/>
        <v>-91.417856826319067</v>
      </c>
      <c r="BQ656" s="47">
        <f t="shared" si="589"/>
        <v>5.620914752039706</v>
      </c>
    </row>
    <row r="657" spans="1:69">
      <c r="A657">
        <f t="shared" si="563"/>
        <v>8100000</v>
      </c>
      <c r="B657">
        <f t="shared" si="578"/>
        <v>8100</v>
      </c>
      <c r="C657">
        <f t="shared" si="539"/>
        <v>40.727319366557637</v>
      </c>
      <c r="D657">
        <f t="shared" si="540"/>
        <v>1.5462403156888636</v>
      </c>
      <c r="F657">
        <f t="shared" si="541"/>
        <v>1.4580264808249563E-7</v>
      </c>
      <c r="G657">
        <f t="shared" si="542"/>
        <v>1.1512477651985276E-4</v>
      </c>
      <c r="H657">
        <f t="shared" si="564"/>
        <v>-3.1414775252234803</v>
      </c>
      <c r="J657">
        <f t="shared" si="565"/>
        <v>15</v>
      </c>
      <c r="M657">
        <f t="shared" si="543"/>
        <v>1.8592306394888457E-4</v>
      </c>
      <c r="N657">
        <f t="shared" si="566"/>
        <v>-1.5707963250000001</v>
      </c>
      <c r="O657">
        <f t="shared" si="544"/>
        <v>3946.8143888059503</v>
      </c>
      <c r="P657">
        <f t="shared" si="567"/>
        <v>1.5705429578973027</v>
      </c>
      <c r="Q657">
        <f t="shared" si="545"/>
        <v>3080.2558547707581</v>
      </c>
      <c r="R657">
        <f t="shared" si="568"/>
        <v>1.57047167843297</v>
      </c>
      <c r="S657">
        <f t="shared" si="546"/>
        <v>2.3023382641195137E-2</v>
      </c>
      <c r="T657">
        <f t="shared" si="569"/>
        <v>-1.5477709096440322</v>
      </c>
      <c r="U657">
        <f t="shared" si="547"/>
        <v>1.4774120184551291E-2</v>
      </c>
      <c r="V657">
        <f t="shared" si="570"/>
        <v>-1.5560216690882838</v>
      </c>
      <c r="X657">
        <f t="shared" si="548"/>
        <v>-83.288399633414073</v>
      </c>
      <c r="Y657">
        <f t="shared" si="549"/>
        <v>-179.26769272540756</v>
      </c>
      <c r="Z657">
        <f t="shared" si="579"/>
        <v>0.73230727459244349</v>
      </c>
      <c r="AC657">
        <v>1</v>
      </c>
      <c r="AD657">
        <f t="shared" si="550"/>
        <v>3946.8142621215002</v>
      </c>
      <c r="AE657">
        <f t="shared" si="551"/>
        <v>-16.471207107855911</v>
      </c>
      <c r="AF657">
        <f t="shared" si="552"/>
        <v>0.24337415604726004</v>
      </c>
      <c r="AG657">
        <f t="shared" si="553"/>
        <v>3.479074844527958</v>
      </c>
      <c r="AH657">
        <f t="shared" si="554"/>
        <v>-239.56759934949554</v>
      </c>
      <c r="AJ657">
        <f t="shared" si="571"/>
        <v>22100</v>
      </c>
      <c r="AK657">
        <f t="shared" si="555"/>
        <v>959639.26007181965</v>
      </c>
      <c r="AL657">
        <v>32</v>
      </c>
      <c r="AM657">
        <f t="shared" si="556"/>
        <v>3080.2556924465762</v>
      </c>
      <c r="AN657">
        <f t="shared" si="557"/>
        <v>311.5862329377976</v>
      </c>
      <c r="AO657">
        <f t="shared" si="558"/>
        <v>-3.9377382130106553</v>
      </c>
      <c r="AQ657">
        <f t="shared" si="559"/>
        <v>3.8103947423777063E-5</v>
      </c>
      <c r="AR657">
        <f t="shared" si="560"/>
        <v>-0.6172839482651884</v>
      </c>
      <c r="AT657">
        <f t="shared" si="561"/>
        <v>-147.88110103638442</v>
      </c>
      <c r="AU657">
        <f t="shared" si="562"/>
        <v>-2.1567055275503679</v>
      </c>
      <c r="AV657">
        <f t="shared" si="580"/>
        <v>-3.1270096363857909</v>
      </c>
      <c r="AW657">
        <f t="shared" si="581"/>
        <v>312.67989668017412</v>
      </c>
      <c r="AX657">
        <f t="shared" si="582"/>
        <v>-453.57856108709581</v>
      </c>
      <c r="AY657">
        <f t="shared" si="590"/>
        <v>-0.96724558891730061</v>
      </c>
      <c r="BA657">
        <f t="shared" si="572"/>
        <v>0.26845896662839652</v>
      </c>
      <c r="BB657">
        <f t="shared" si="583"/>
        <v>-11.422441717255694</v>
      </c>
      <c r="BC657">
        <f t="shared" si="584"/>
        <v>-2.1597640474684905</v>
      </c>
      <c r="BD657">
        <f t="shared" si="573"/>
        <v>-303.74536480543657</v>
      </c>
      <c r="BF657">
        <f t="shared" si="574"/>
        <v>-92.427591777526146</v>
      </c>
      <c r="BG657">
        <f t="shared" si="575"/>
        <v>-215.14572433843682</v>
      </c>
      <c r="BH657">
        <f t="shared" si="585"/>
        <v>-35.145724338436821</v>
      </c>
      <c r="BI657">
        <f t="shared" si="586"/>
        <v>-35.145724338436821</v>
      </c>
      <c r="BJ657">
        <f t="shared" si="576"/>
        <v>0</v>
      </c>
      <c r="BK657">
        <f t="shared" si="587"/>
        <v>0</v>
      </c>
      <c r="BM657">
        <f t="shared" si="588"/>
        <v>-81.005150060270452</v>
      </c>
      <c r="BN657">
        <f t="shared" si="577"/>
        <v>-91.400359533000241</v>
      </c>
      <c r="BQ657" s="47">
        <f t="shared" si="589"/>
        <v>5.4795190830294427</v>
      </c>
    </row>
    <row r="658" spans="1:69">
      <c r="A658">
        <f t="shared" si="563"/>
        <v>8200000</v>
      </c>
      <c r="B658">
        <f t="shared" si="578"/>
        <v>8200</v>
      </c>
      <c r="C658">
        <f t="shared" si="539"/>
        <v>41.229824495579983</v>
      </c>
      <c r="D658">
        <f t="shared" si="540"/>
        <v>1.5465396610614619</v>
      </c>
      <c r="F658">
        <f t="shared" si="541"/>
        <v>1.4226816936064044E-7</v>
      </c>
      <c r="G658">
        <f t="shared" si="542"/>
        <v>1.1372081543358657E-4</v>
      </c>
      <c r="H658">
        <f t="shared" si="564"/>
        <v>-3.1414789291845668</v>
      </c>
      <c r="J658">
        <f t="shared" si="565"/>
        <v>15</v>
      </c>
      <c r="M658">
        <f t="shared" si="543"/>
        <v>1.8365570951048356E-4</v>
      </c>
      <c r="N658">
        <f t="shared" si="566"/>
        <v>-1.5707963250000001</v>
      </c>
      <c r="O658">
        <f t="shared" si="544"/>
        <v>3995.5404892625179</v>
      </c>
      <c r="P658">
        <f t="shared" si="567"/>
        <v>1.5705460477617776</v>
      </c>
      <c r="Q658">
        <f t="shared" si="545"/>
        <v>3118.2837008460911</v>
      </c>
      <c r="R658">
        <f t="shared" si="568"/>
        <v>1.5704756375590618</v>
      </c>
      <c r="S658">
        <f t="shared" si="546"/>
        <v>2.2742755803161024E-2</v>
      </c>
      <c r="T658">
        <f t="shared" si="569"/>
        <v>-1.5480516099848538</v>
      </c>
      <c r="U658">
        <f t="shared" si="547"/>
        <v>1.4593986597878842E-2</v>
      </c>
      <c r="V658">
        <f t="shared" si="570"/>
        <v>-1.5562018220986713</v>
      </c>
      <c r="X658">
        <f t="shared" si="548"/>
        <v>-83.501537705899011</v>
      </c>
      <c r="Y658">
        <f t="shared" si="549"/>
        <v>-179.2766230145854</v>
      </c>
      <c r="Z658">
        <f t="shared" si="579"/>
        <v>0.72337698541460327</v>
      </c>
      <c r="AC658">
        <v>1</v>
      </c>
      <c r="AD658">
        <f t="shared" si="550"/>
        <v>3995.540364123</v>
      </c>
      <c r="AE658">
        <f t="shared" si="551"/>
        <v>-16.880414051702964</v>
      </c>
      <c r="AF658">
        <f t="shared" si="552"/>
        <v>0.24637877525772003</v>
      </c>
      <c r="AG658">
        <f t="shared" si="553"/>
        <v>3.394754734700518</v>
      </c>
      <c r="AH658">
        <f t="shared" si="554"/>
        <v>-236.64727395748699</v>
      </c>
      <c r="AJ658">
        <f t="shared" si="571"/>
        <v>22100</v>
      </c>
      <c r="AK658">
        <f t="shared" si="555"/>
        <v>971486.65834431129</v>
      </c>
      <c r="AL658">
        <v>33</v>
      </c>
      <c r="AM658">
        <f t="shared" si="556"/>
        <v>3118.2835405014721</v>
      </c>
      <c r="AN658">
        <f t="shared" si="557"/>
        <v>311.58543128885293</v>
      </c>
      <c r="AO658">
        <f t="shared" si="558"/>
        <v>-3.789803144574651</v>
      </c>
      <c r="AQ658">
        <f t="shared" si="559"/>
        <v>3.7180249713041904E-5</v>
      </c>
      <c r="AR658">
        <f t="shared" si="560"/>
        <v>-0.60975609529388719</v>
      </c>
      <c r="AT658">
        <f t="shared" si="561"/>
        <v>-144.2969915124313</v>
      </c>
      <c r="AU658">
        <f t="shared" si="562"/>
        <v>-2.0787709962510736</v>
      </c>
      <c r="AV658">
        <f t="shared" si="580"/>
        <v>-3.1271874523170062</v>
      </c>
      <c r="AW658">
        <f t="shared" si="581"/>
        <v>312.71914039613944</v>
      </c>
      <c r="AX658">
        <f t="shared" si="582"/>
        <v>-447.94782348631782</v>
      </c>
      <c r="AY658">
        <f t="shared" si="590"/>
        <v>-0.96133651528286623</v>
      </c>
      <c r="BA658">
        <f t="shared" si="572"/>
        <v>0.26415946302458382</v>
      </c>
      <c r="BB658">
        <f t="shared" si="583"/>
        <v>-11.562676538023059</v>
      </c>
      <c r="BC658">
        <f t="shared" si="584"/>
        <v>-2.1658509370341399</v>
      </c>
      <c r="BD658">
        <f t="shared" si="573"/>
        <v>-304.09411788830903</v>
      </c>
      <c r="BF658">
        <f t="shared" si="574"/>
        <v>-92.67446676930939</v>
      </c>
      <c r="BG658">
        <f t="shared" si="575"/>
        <v>-215.47740663586796</v>
      </c>
      <c r="BH658">
        <f t="shared" si="585"/>
        <v>-35.477406635867965</v>
      </c>
      <c r="BI658">
        <f t="shared" si="586"/>
        <v>-35.477406635867965</v>
      </c>
      <c r="BJ658">
        <f t="shared" si="576"/>
        <v>0</v>
      </c>
      <c r="BK658">
        <f t="shared" si="587"/>
        <v>0</v>
      </c>
      <c r="BM658">
        <f t="shared" si="588"/>
        <v>-81.111790231286335</v>
      </c>
      <c r="BN658">
        <f t="shared" si="577"/>
        <v>-91.383288747558936</v>
      </c>
      <c r="BQ658" s="47">
        <f t="shared" si="589"/>
        <v>5.3392842622620797</v>
      </c>
    </row>
    <row r="659" spans="1:69">
      <c r="A659">
        <f t="shared" si="563"/>
        <v>8300000</v>
      </c>
      <c r="B659">
        <f t="shared" si="578"/>
        <v>8300</v>
      </c>
      <c r="C659">
        <f t="shared" si="539"/>
        <v>41.732333230137691</v>
      </c>
      <c r="D659">
        <f t="shared" si="540"/>
        <v>1.5468317974851509</v>
      </c>
      <c r="F659">
        <f t="shared" si="541"/>
        <v>1.3886067173911686E-7</v>
      </c>
      <c r="G659">
        <f t="shared" si="542"/>
        <v>1.1235068474903217E-4</v>
      </c>
      <c r="H659">
        <f t="shared" si="564"/>
        <v>-3.1414802993152513</v>
      </c>
      <c r="J659">
        <f t="shared" si="565"/>
        <v>15</v>
      </c>
      <c r="M659">
        <f t="shared" si="543"/>
        <v>1.8144299011879099E-4</v>
      </c>
      <c r="N659">
        <f t="shared" si="566"/>
        <v>-1.5707963250000001</v>
      </c>
      <c r="O659">
        <f t="shared" si="544"/>
        <v>4044.2665897563124</v>
      </c>
      <c r="P659">
        <f t="shared" si="567"/>
        <v>1.5705490631716916</v>
      </c>
      <c r="Q659">
        <f t="shared" si="545"/>
        <v>3156.3115469691243</v>
      </c>
      <c r="R659">
        <f t="shared" si="568"/>
        <v>1.5704795012845347</v>
      </c>
      <c r="S659">
        <f t="shared" si="546"/>
        <v>2.2468885873891405E-2</v>
      </c>
      <c r="T659">
        <f t="shared" si="569"/>
        <v>-1.5483255499187476</v>
      </c>
      <c r="U659">
        <f t="shared" si="547"/>
        <v>1.441819220941591E-2</v>
      </c>
      <c r="V659">
        <f t="shared" si="570"/>
        <v>-1.5563776349861906</v>
      </c>
      <c r="X659">
        <f t="shared" si="548"/>
        <v>-83.71209258647383</v>
      </c>
      <c r="Y659">
        <f t="shared" si="549"/>
        <v>-179.28533812624821</v>
      </c>
      <c r="Z659">
        <f t="shared" si="579"/>
        <v>0.71466187375179402</v>
      </c>
      <c r="AC659">
        <v>1</v>
      </c>
      <c r="AD659">
        <f t="shared" si="550"/>
        <v>4044.2664661244999</v>
      </c>
      <c r="AE659">
        <f t="shared" si="551"/>
        <v>-17.294641939646301</v>
      </c>
      <c r="AF659">
        <f t="shared" si="552"/>
        <v>0.24938339446818</v>
      </c>
      <c r="AG659">
        <f t="shared" si="553"/>
        <v>3.3134630975878197</v>
      </c>
      <c r="AH659">
        <f t="shared" si="554"/>
        <v>-233.79727418239185</v>
      </c>
      <c r="AJ659">
        <f t="shared" si="571"/>
        <v>22100</v>
      </c>
      <c r="AK659">
        <f t="shared" si="555"/>
        <v>983334.05661680282</v>
      </c>
      <c r="AL659">
        <v>34</v>
      </c>
      <c r="AM659">
        <f t="shared" si="556"/>
        <v>3156.311388556368</v>
      </c>
      <c r="AN659">
        <f t="shared" si="557"/>
        <v>311.58459362638513</v>
      </c>
      <c r="AO659">
        <f t="shared" si="558"/>
        <v>-3.6454336724886853</v>
      </c>
      <c r="AQ659">
        <f t="shared" si="559"/>
        <v>3.6289737130607717E-5</v>
      </c>
      <c r="AR659">
        <f t="shared" si="560"/>
        <v>-0.60240963636808809</v>
      </c>
      <c r="AT659">
        <f t="shared" si="561"/>
        <v>-140.84161067936003</v>
      </c>
      <c r="AU659">
        <f t="shared" si="562"/>
        <v>-2.0045465413588888</v>
      </c>
      <c r="AV659">
        <f t="shared" si="580"/>
        <v>-3.1273609844405095</v>
      </c>
      <c r="AW659">
        <f t="shared" si="581"/>
        <v>312.75611111662835</v>
      </c>
      <c r="AX659">
        <f t="shared" si="582"/>
        <v>-442.45270348856286</v>
      </c>
      <c r="AY659">
        <f t="shared" si="590"/>
        <v>-0.95547514002504419</v>
      </c>
      <c r="BA659">
        <f t="shared" si="572"/>
        <v>0.25996276990992728</v>
      </c>
      <c r="BB659">
        <f t="shared" si="583"/>
        <v>-11.701776885231192</v>
      </c>
      <c r="BC659">
        <f t="shared" si="584"/>
        <v>-2.1718858444154652</v>
      </c>
      <c r="BD659">
        <f t="shared" si="573"/>
        <v>-304.43989261140644</v>
      </c>
      <c r="BF659">
        <f t="shared" si="574"/>
        <v>-92.918913136798537</v>
      </c>
      <c r="BG659">
        <f t="shared" si="575"/>
        <v>-215.80652167753249</v>
      </c>
      <c r="BH659">
        <f t="shared" si="585"/>
        <v>-35.806521677532487</v>
      </c>
      <c r="BI659">
        <f t="shared" si="586"/>
        <v>-35.806521677532487</v>
      </c>
      <c r="BJ659">
        <f t="shared" si="576"/>
        <v>0</v>
      </c>
      <c r="BK659">
        <f t="shared" si="587"/>
        <v>0</v>
      </c>
      <c r="BM659">
        <f t="shared" si="588"/>
        <v>-81.217136251567354</v>
      </c>
      <c r="BN659">
        <f t="shared" si="577"/>
        <v>-91.366629066126094</v>
      </c>
      <c r="BQ659" s="47">
        <f t="shared" si="589"/>
        <v>5.2001839150539446</v>
      </c>
    </row>
    <row r="660" spans="1:69">
      <c r="A660">
        <f t="shared" si="563"/>
        <v>8400000</v>
      </c>
      <c r="B660">
        <f t="shared" si="578"/>
        <v>8400</v>
      </c>
      <c r="C660">
        <f t="shared" si="539"/>
        <v>42.234845441535164</v>
      </c>
      <c r="D660">
        <f t="shared" si="540"/>
        <v>1.547116982226411</v>
      </c>
      <c r="F660">
        <f t="shared" si="541"/>
        <v>1.3557414463621752E-7</v>
      </c>
      <c r="G660">
        <f t="shared" si="542"/>
        <v>1.1101317623689796E-4</v>
      </c>
      <c r="H660">
        <f t="shared" si="564"/>
        <v>-3.1414816368237632</v>
      </c>
      <c r="J660">
        <f t="shared" si="565"/>
        <v>15</v>
      </c>
      <c r="M660">
        <f t="shared" si="543"/>
        <v>1.7928295452213872E-4</v>
      </c>
      <c r="N660">
        <f t="shared" si="566"/>
        <v>-1.5707963250000001</v>
      </c>
      <c r="O660">
        <f t="shared" si="544"/>
        <v>4092.9926902860057</v>
      </c>
      <c r="P660">
        <f t="shared" si="567"/>
        <v>1.5705520067861358</v>
      </c>
      <c r="Q660">
        <f t="shared" si="545"/>
        <v>3194.3393931381538</v>
      </c>
      <c r="R660">
        <f t="shared" si="568"/>
        <v>1.570483273016553</v>
      </c>
      <c r="S660">
        <f t="shared" si="546"/>
        <v>2.2201531777512301E-2</v>
      </c>
      <c r="T660">
        <f t="shared" si="569"/>
        <v>-1.5485929707272255</v>
      </c>
      <c r="U660">
        <f t="shared" si="547"/>
        <v>1.4246582111864336E-2</v>
      </c>
      <c r="V660">
        <f t="shared" si="570"/>
        <v>-1.5565492627125124</v>
      </c>
      <c r="X660">
        <f t="shared" si="548"/>
        <v>-83.920126137412382</v>
      </c>
      <c r="Y660">
        <f t="shared" si="549"/>
        <v>-179.29384574483015</v>
      </c>
      <c r="Z660">
        <f t="shared" si="579"/>
        <v>0.70615425516984942</v>
      </c>
      <c r="AC660">
        <v>1</v>
      </c>
      <c r="AD660">
        <f t="shared" si="550"/>
        <v>4092.9925681260002</v>
      </c>
      <c r="AE660">
        <f t="shared" si="551"/>
        <v>-17.713890771685922</v>
      </c>
      <c r="AF660">
        <f t="shared" si="552"/>
        <v>0.25238801367864006</v>
      </c>
      <c r="AG660">
        <f t="shared" si="553"/>
        <v>3.2350566311910627</v>
      </c>
      <c r="AH660">
        <f t="shared" si="554"/>
        <v>-231.01509043680539</v>
      </c>
      <c r="AJ660">
        <f t="shared" si="571"/>
        <v>22100</v>
      </c>
      <c r="AK660">
        <f t="shared" si="555"/>
        <v>995181.45488929434</v>
      </c>
      <c r="AL660">
        <v>35</v>
      </c>
      <c r="AM660">
        <f t="shared" si="556"/>
        <v>3194.3392366112644</v>
      </c>
      <c r="AN660">
        <f t="shared" si="557"/>
        <v>311.58372318996447</v>
      </c>
      <c r="AO660">
        <f t="shared" si="558"/>
        <v>-3.5045024523528916</v>
      </c>
      <c r="AQ660">
        <f t="shared" si="559"/>
        <v>3.5430838876733138E-5</v>
      </c>
      <c r="AR660">
        <f t="shared" si="560"/>
        <v>-0.59523809312911669</v>
      </c>
      <c r="AT660">
        <f t="shared" si="561"/>
        <v>-137.50886729488423</v>
      </c>
      <c r="AU660">
        <f t="shared" si="562"/>
        <v>-1.9338139987622327</v>
      </c>
      <c r="AV660">
        <f t="shared" si="580"/>
        <v>-3.127530385706716</v>
      </c>
      <c r="AW660">
        <f t="shared" si="581"/>
        <v>312.79093689259344</v>
      </c>
      <c r="AX660">
        <f t="shared" si="582"/>
        <v>-437.08836156028201</v>
      </c>
      <c r="AY660">
        <f t="shared" si="590"/>
        <v>-0.94966121638580403</v>
      </c>
      <c r="BA660">
        <f t="shared" si="572"/>
        <v>0.25586542084574881</v>
      </c>
      <c r="BB660">
        <f t="shared" si="583"/>
        <v>-11.839768065031862</v>
      </c>
      <c r="BC660">
        <f t="shared" si="584"/>
        <v>-2.1778691693209122</v>
      </c>
      <c r="BD660">
        <f t="shared" si="573"/>
        <v>-304.78271187633578</v>
      </c>
      <c r="BF660">
        <f t="shared" si="574"/>
        <v>-93.160987238162832</v>
      </c>
      <c r="BG660">
        <f t="shared" si="575"/>
        <v>-216.13307769398031</v>
      </c>
      <c r="BH660">
        <f t="shared" si="585"/>
        <v>-36.133077693980312</v>
      </c>
      <c r="BI660">
        <f t="shared" si="586"/>
        <v>-36.133077693980312</v>
      </c>
      <c r="BJ660">
        <f t="shared" si="576"/>
        <v>0</v>
      </c>
      <c r="BK660">
        <f t="shared" si="587"/>
        <v>0</v>
      </c>
      <c r="BM660">
        <f t="shared" si="588"/>
        <v>-81.32121917313097</v>
      </c>
      <c r="BN660">
        <f t="shared" si="577"/>
        <v>-91.350365817644558</v>
      </c>
      <c r="BQ660" s="47">
        <f t="shared" si="589"/>
        <v>5.0621927352532756</v>
      </c>
    </row>
    <row r="661" spans="1:69">
      <c r="A661">
        <f t="shared" si="563"/>
        <v>8500000</v>
      </c>
      <c r="B661">
        <f t="shared" si="578"/>
        <v>8500</v>
      </c>
      <c r="C661">
        <f t="shared" si="539"/>
        <v>42.737361007128797</v>
      </c>
      <c r="D661">
        <f t="shared" si="540"/>
        <v>1.5473954604563827</v>
      </c>
      <c r="F661">
        <f t="shared" si="541"/>
        <v>1.3240292894156479E-7</v>
      </c>
      <c r="G661">
        <f t="shared" si="542"/>
        <v>1.0970713852577946E-4</v>
      </c>
      <c r="H661">
        <f t="shared" si="564"/>
        <v>-3.1414829428614746</v>
      </c>
      <c r="J661">
        <f t="shared" si="565"/>
        <v>15</v>
      </c>
      <c r="M661">
        <f t="shared" si="543"/>
        <v>1.7717374329246645E-4</v>
      </c>
      <c r="N661">
        <f t="shared" si="566"/>
        <v>-1.5707963250000001</v>
      </c>
      <c r="O661">
        <f t="shared" si="544"/>
        <v>4141.7187908503292</v>
      </c>
      <c r="P661">
        <f t="shared" si="567"/>
        <v>1.5705548811390677</v>
      </c>
      <c r="Q661">
        <f t="shared" si="545"/>
        <v>3232.3672393515571</v>
      </c>
      <c r="R661">
        <f t="shared" si="568"/>
        <v>1.5704869560019441</v>
      </c>
      <c r="S661">
        <f t="shared" si="546"/>
        <v>2.194046376890536E-2</v>
      </c>
      <c r="T661">
        <f t="shared" si="569"/>
        <v>-1.5488541023467075</v>
      </c>
      <c r="U661">
        <f t="shared" si="547"/>
        <v>1.4079008683980061E-2</v>
      </c>
      <c r="V661">
        <f t="shared" si="570"/>
        <v>-1.5567168529494606</v>
      </c>
      <c r="X661">
        <f t="shared" si="548"/>
        <v>-84.125698025187461</v>
      </c>
      <c r="Y661">
        <f t="shared" si="549"/>
        <v>-179.30215319317247</v>
      </c>
      <c r="Z661">
        <f t="shared" si="579"/>
        <v>0.69784680682752764</v>
      </c>
      <c r="AC661">
        <v>1</v>
      </c>
      <c r="AD661">
        <f t="shared" si="550"/>
        <v>4141.7186701274995</v>
      </c>
      <c r="AE661">
        <f t="shared" si="551"/>
        <v>-18.138160547821823</v>
      </c>
      <c r="AF661">
        <f t="shared" si="552"/>
        <v>0.25539263288910002</v>
      </c>
      <c r="AG661">
        <f t="shared" si="553"/>
        <v>3.1594004097717003</v>
      </c>
      <c r="AH661">
        <f t="shared" si="554"/>
        <v>-228.29833111361293</v>
      </c>
      <c r="AJ661">
        <f t="shared" si="571"/>
        <v>22100</v>
      </c>
      <c r="AK661">
        <f t="shared" si="555"/>
        <v>1007028.853161786</v>
      </c>
      <c r="AL661">
        <v>36</v>
      </c>
      <c r="AM661">
        <f t="shared" si="556"/>
        <v>3232.3670846661598</v>
      </c>
      <c r="AN661">
        <f t="shared" si="557"/>
        <v>311.58282297585208</v>
      </c>
      <c r="AO661">
        <f t="shared" si="558"/>
        <v>-3.3668881311459478</v>
      </c>
      <c r="AQ661">
        <f t="shared" si="559"/>
        <v>3.4602076004837107E-5</v>
      </c>
      <c r="AR661">
        <f t="shared" si="560"/>
        <v>-0.5882352920822308</v>
      </c>
      <c r="AT661">
        <f t="shared" si="561"/>
        <v>-134.29302616268882</v>
      </c>
      <c r="AU661">
        <f t="shared" si="562"/>
        <v>-1.8663704190517465</v>
      </c>
      <c r="AV661">
        <f t="shared" si="580"/>
        <v>-3.1276958018708423</v>
      </c>
      <c r="AW661">
        <f t="shared" si="581"/>
        <v>312.82373756836603</v>
      </c>
      <c r="AX661">
        <f t="shared" si="582"/>
        <v>-431.85018564713772</v>
      </c>
      <c r="AY661">
        <f t="shared" si="590"/>
        <v>-0.94389449308511719</v>
      </c>
      <c r="BA661">
        <f t="shared" si="572"/>
        <v>0.25186410735571474</v>
      </c>
      <c r="BB661">
        <f t="shared" si="583"/>
        <v>-11.976674370403504</v>
      </c>
      <c r="BC661">
        <f t="shared" si="584"/>
        <v>-2.1838013087857249</v>
      </c>
      <c r="BD661">
        <f t="shared" si="573"/>
        <v>-305.12259843154089</v>
      </c>
      <c r="BF661">
        <f t="shared" si="574"/>
        <v>-93.400743313432386</v>
      </c>
      <c r="BG661">
        <f t="shared" si="575"/>
        <v>-216.45708345235241</v>
      </c>
      <c r="BH661">
        <f t="shared" si="585"/>
        <v>-36.457083452352407</v>
      </c>
      <c r="BI661">
        <f t="shared" si="586"/>
        <v>-36.457083452352407</v>
      </c>
      <c r="BJ661">
        <f t="shared" si="576"/>
        <v>0</v>
      </c>
      <c r="BK661">
        <f t="shared" si="587"/>
        <v>0</v>
      </c>
      <c r="BM661">
        <f t="shared" si="588"/>
        <v>-81.424068943028885</v>
      </c>
      <c r="BN661">
        <f t="shared" si="577"/>
        <v>-91.334485020811513</v>
      </c>
      <c r="BQ661" s="47">
        <f t="shared" si="589"/>
        <v>4.9252864298816323</v>
      </c>
    </row>
    <row r="662" spans="1:69">
      <c r="A662">
        <f t="shared" si="563"/>
        <v>8600000</v>
      </c>
      <c r="B662">
        <f t="shared" si="578"/>
        <v>8600</v>
      </c>
      <c r="C662">
        <f t="shared" si="539"/>
        <v>43.239879809975463</v>
      </c>
      <c r="D662">
        <f t="shared" si="540"/>
        <v>1.5476674659533078</v>
      </c>
      <c r="F662">
        <f t="shared" si="541"/>
        <v>1.2934169263855867E-7</v>
      </c>
      <c r="G662">
        <f t="shared" si="542"/>
        <v>1.0843147379646549E-4</v>
      </c>
      <c r="H662">
        <f t="shared" si="564"/>
        <v>-3.141484218526204</v>
      </c>
      <c r="J662">
        <f t="shared" si="565"/>
        <v>15</v>
      </c>
      <c r="M662">
        <f t="shared" si="543"/>
        <v>1.7511358348674011E-4</v>
      </c>
      <c r="N662">
        <f t="shared" si="566"/>
        <v>-1.5707963250000001</v>
      </c>
      <c r="O662">
        <f t="shared" si="544"/>
        <v>4190.4448914480754</v>
      </c>
      <c r="P662">
        <f t="shared" si="567"/>
        <v>1.5705576886465864</v>
      </c>
      <c r="Q662">
        <f t="shared" si="545"/>
        <v>3270.3950856077854</v>
      </c>
      <c r="R662">
        <f t="shared" si="568"/>
        <v>1.5704905533365203</v>
      </c>
      <c r="S662">
        <f t="shared" si="546"/>
        <v>2.1685462775901325E-2</v>
      </c>
      <c r="T662">
        <f t="shared" si="569"/>
        <v>-1.5491091640274819</v>
      </c>
      <c r="U662">
        <f t="shared" si="547"/>
        <v>1.3915331167218941E-2</v>
      </c>
      <c r="V662">
        <f t="shared" si="570"/>
        <v>-1.5568805465026732</v>
      </c>
      <c r="X662">
        <f t="shared" si="548"/>
        <v>-84.328865823169735</v>
      </c>
      <c r="Y662">
        <f t="shared" si="549"/>
        <v>-179.31026745354461</v>
      </c>
      <c r="Z662">
        <f t="shared" si="579"/>
        <v>0.68973254645538873</v>
      </c>
      <c r="AC662">
        <v>1</v>
      </c>
      <c r="AD662">
        <f t="shared" si="550"/>
        <v>4190.4447721290007</v>
      </c>
      <c r="AE662">
        <f t="shared" si="551"/>
        <v>-18.567451268054008</v>
      </c>
      <c r="AF662">
        <f t="shared" si="552"/>
        <v>0.25839725209956005</v>
      </c>
      <c r="AG662">
        <f t="shared" si="553"/>
        <v>3.0863673031550207</v>
      </c>
      <c r="AH662">
        <f t="shared" si="554"/>
        <v>-225.6447157347514</v>
      </c>
      <c r="AJ662">
        <f t="shared" si="571"/>
        <v>22100</v>
      </c>
      <c r="AK662">
        <f t="shared" si="555"/>
        <v>1018876.2514342775</v>
      </c>
      <c r="AL662">
        <v>37</v>
      </c>
      <c r="AM662">
        <f t="shared" si="556"/>
        <v>3270.3949327210562</v>
      </c>
      <c r="AN662">
        <f t="shared" si="557"/>
        <v>311.58189575636675</v>
      </c>
      <c r="AO662">
        <f t="shared" si="558"/>
        <v>-3.232474999041993</v>
      </c>
      <c r="AQ662">
        <f t="shared" si="559"/>
        <v>3.3802055050696138E-5</v>
      </c>
      <c r="AR662">
        <f t="shared" si="560"/>
        <v>-0.58139534687197358</v>
      </c>
      <c r="AT662">
        <f t="shared" si="561"/>
        <v>-131.18868344887619</v>
      </c>
      <c r="AU662">
        <f t="shared" si="562"/>
        <v>-1.8020268438952955</v>
      </c>
      <c r="AV662">
        <f t="shared" si="580"/>
        <v>-3.1278573719110616</v>
      </c>
      <c r="AW662">
        <f t="shared" si="581"/>
        <v>312.85462538411474</v>
      </c>
      <c r="AX662">
        <f t="shared" si="582"/>
        <v>-426.73377796813895</v>
      </c>
      <c r="AY662">
        <f t="shared" si="590"/>
        <v>-0.93817471441328171</v>
      </c>
      <c r="BA662">
        <f t="shared" si="572"/>
        <v>0.24795566976691105</v>
      </c>
      <c r="BB662">
        <f t="shared" si="583"/>
        <v>-12.112519133193997</v>
      </c>
      <c r="BC662">
        <f t="shared" si="584"/>
        <v>-2.1896826574977801</v>
      </c>
      <c r="BD662">
        <f t="shared" si="573"/>
        <v>-305.45957489097145</v>
      </c>
      <c r="BF662">
        <f t="shared" si="574"/>
        <v>-93.638233588380359</v>
      </c>
      <c r="BG662">
        <f t="shared" si="575"/>
        <v>-216.77854823499209</v>
      </c>
      <c r="BH662">
        <f t="shared" si="585"/>
        <v>-36.778548234992087</v>
      </c>
      <c r="BI662">
        <f t="shared" si="586"/>
        <v>-36.778548234992087</v>
      </c>
      <c r="BJ662">
        <f t="shared" si="576"/>
        <v>0</v>
      </c>
      <c r="BK662">
        <f t="shared" si="587"/>
        <v>0</v>
      </c>
      <c r="BM662">
        <f t="shared" si="588"/>
        <v>-81.525714455186375</v>
      </c>
      <c r="BN662">
        <f t="shared" si="577"/>
        <v>-91.318973344020677</v>
      </c>
      <c r="BQ662" s="47">
        <f t="shared" si="589"/>
        <v>4.7894416670911388</v>
      </c>
    </row>
    <row r="663" spans="1:69">
      <c r="A663">
        <f t="shared" si="563"/>
        <v>8700000</v>
      </c>
      <c r="B663">
        <f t="shared" si="578"/>
        <v>8700</v>
      </c>
      <c r="C663">
        <f t="shared" si="539"/>
        <v>43.742401738505109</v>
      </c>
      <c r="D663">
        <f t="shared" si="540"/>
        <v>1.54793322175659</v>
      </c>
      <c r="F663">
        <f t="shared" si="541"/>
        <v>1.263854083768525E-7</v>
      </c>
      <c r="G663">
        <f t="shared" si="542"/>
        <v>1.0718513470422367E-4</v>
      </c>
      <c r="H663">
        <f t="shared" si="564"/>
        <v>-3.1414854648652959</v>
      </c>
      <c r="J663">
        <f t="shared" si="565"/>
        <v>15</v>
      </c>
      <c r="M663">
        <f t="shared" si="543"/>
        <v>1.7310078367654771E-4</v>
      </c>
      <c r="N663">
        <f t="shared" si="566"/>
        <v>-1.5707963250000001</v>
      </c>
      <c r="O663">
        <f t="shared" si="544"/>
        <v>4239.1709920780913</v>
      </c>
      <c r="P663">
        <f t="shared" si="567"/>
        <v>1.5705604316137061</v>
      </c>
      <c r="Q663">
        <f t="shared" si="545"/>
        <v>3308.4229319053634</v>
      </c>
      <c r="R663">
        <f t="shared" si="568"/>
        <v>1.5704940679737578</v>
      </c>
      <c r="S663">
        <f t="shared" si="546"/>
        <v>2.143631978676375E-2</v>
      </c>
      <c r="T663">
        <f t="shared" si="569"/>
        <v>-1.5493583649472673</v>
      </c>
      <c r="U663">
        <f t="shared" si="547"/>
        <v>1.3755415271559388E-2</v>
      </c>
      <c r="V663">
        <f t="shared" si="570"/>
        <v>-1.5570404777060556</v>
      </c>
      <c r="X663">
        <f t="shared" si="548"/>
        <v>-84.529685108392755</v>
      </c>
      <c r="Y663">
        <f t="shared" si="549"/>
        <v>-179.31819518721554</v>
      </c>
      <c r="Z663">
        <f t="shared" si="579"/>
        <v>0.68180481278446337</v>
      </c>
      <c r="AC663">
        <v>1</v>
      </c>
      <c r="AD663">
        <f t="shared" si="550"/>
        <v>4239.170874130501</v>
      </c>
      <c r="AE663">
        <f t="shared" si="551"/>
        <v>-19.001762932382476</v>
      </c>
      <c r="AF663">
        <f t="shared" si="552"/>
        <v>0.26140187131002002</v>
      </c>
      <c r="AG663">
        <f t="shared" si="553"/>
        <v>3.0158374424610646</v>
      </c>
      <c r="AH663">
        <f t="shared" si="554"/>
        <v>-223.05206857183214</v>
      </c>
      <c r="AJ663">
        <f t="shared" si="571"/>
        <v>22100</v>
      </c>
      <c r="AK663">
        <f t="shared" si="555"/>
        <v>1030723.6497067693</v>
      </c>
      <c r="AL663">
        <v>38</v>
      </c>
      <c r="AM663">
        <f t="shared" si="556"/>
        <v>3308.4227807759521</v>
      </c>
      <c r="AN663">
        <f t="shared" si="557"/>
        <v>311.58094409756052</v>
      </c>
      <c r="AO663">
        <f t="shared" si="558"/>
        <v>-3.1011526652244714</v>
      </c>
      <c r="AQ663">
        <f t="shared" si="559"/>
        <v>3.3029462171259541E-5</v>
      </c>
      <c r="AR663">
        <f t="shared" si="560"/>
        <v>-0.57471264177991599</v>
      </c>
      <c r="AT663">
        <f t="shared" si="561"/>
        <v>-128.19074397190391</v>
      </c>
      <c r="AU663">
        <f t="shared" si="562"/>
        <v>-1.7406071935966985</v>
      </c>
      <c r="AV663">
        <f t="shared" si="580"/>
        <v>-3.1280152284178384</v>
      </c>
      <c r="AW663">
        <f t="shared" si="581"/>
        <v>312.88370552821203</v>
      </c>
      <c r="AX663">
        <f t="shared" si="582"/>
        <v>-421.73494271888092</v>
      </c>
      <c r="AY663">
        <f t="shared" si="590"/>
        <v>-0.93250162033677741</v>
      </c>
      <c r="BA663">
        <f t="shared" si="572"/>
        <v>0.24413708868777809</v>
      </c>
      <c r="BB663">
        <f t="shared" si="583"/>
        <v>-12.247324773075118</v>
      </c>
      <c r="BC663">
        <f t="shared" si="584"/>
        <v>-2.1955136080810611</v>
      </c>
      <c r="BD663">
        <f t="shared" si="573"/>
        <v>-305.79366375032453</v>
      </c>
      <c r="BF663">
        <f t="shared" si="574"/>
        <v>-93.873508372310383</v>
      </c>
      <c r="BG663">
        <f t="shared" si="575"/>
        <v>-217.0974818183885</v>
      </c>
      <c r="BH663">
        <f t="shared" si="585"/>
        <v>-37.097481818388502</v>
      </c>
      <c r="BI663">
        <f t="shared" si="586"/>
        <v>-37.097481818388502</v>
      </c>
      <c r="BJ663">
        <f t="shared" si="576"/>
        <v>0</v>
      </c>
      <c r="BK663">
        <f t="shared" si="587"/>
        <v>0</v>
      </c>
      <c r="BM663">
        <f t="shared" si="588"/>
        <v>-81.626183599235262</v>
      </c>
      <c r="BN663">
        <f t="shared" si="577"/>
        <v>-91.30381806806399</v>
      </c>
      <c r="BQ663" s="47">
        <f t="shared" si="589"/>
        <v>4.6546360272100191</v>
      </c>
    </row>
    <row r="664" spans="1:69">
      <c r="A664">
        <f t="shared" si="563"/>
        <v>8800000</v>
      </c>
      <c r="B664">
        <f t="shared" si="578"/>
        <v>8800</v>
      </c>
      <c r="C664">
        <f t="shared" si="539"/>
        <v>44.244926686215763</v>
      </c>
      <c r="D664">
        <f t="shared" si="540"/>
        <v>1.5481929407763126</v>
      </c>
      <c r="F664">
        <f t="shared" si="541"/>
        <v>1.2352933281860055E-7</v>
      </c>
      <c r="G664">
        <f t="shared" si="542"/>
        <v>1.0596712151093014E-4</v>
      </c>
      <c r="H664">
        <f t="shared" si="564"/>
        <v>-3.1414866828784893</v>
      </c>
      <c r="J664">
        <f t="shared" si="565"/>
        <v>15</v>
      </c>
      <c r="M664">
        <f t="shared" si="543"/>
        <v>1.7113372931658693E-4</v>
      </c>
      <c r="N664">
        <f t="shared" si="566"/>
        <v>-1.5707963250000001</v>
      </c>
      <c r="O664">
        <f t="shared" si="544"/>
        <v>4287.8970927392775</v>
      </c>
      <c r="P664">
        <f t="shared" si="567"/>
        <v>1.5705631122406671</v>
      </c>
      <c r="Q664">
        <f t="shared" si="545"/>
        <v>3346.4507782428796</v>
      </c>
      <c r="R664">
        <f t="shared" si="568"/>
        <v>1.5704975027328831</v>
      </c>
      <c r="S664">
        <f t="shared" si="546"/>
        <v>2.1192835279367134E-2</v>
      </c>
      <c r="T664">
        <f t="shared" si="569"/>
        <v>-1.5496019047829905</v>
      </c>
      <c r="U664">
        <f t="shared" si="547"/>
        <v>1.3599132808182694E-2</v>
      </c>
      <c r="V664">
        <f t="shared" si="570"/>
        <v>-1.5571967747893529</v>
      </c>
      <c r="X664">
        <f t="shared" si="548"/>
        <v>-84.728209552789977</v>
      </c>
      <c r="Y664">
        <f t="shared" si="549"/>
        <v>-179.32594275269091</v>
      </c>
      <c r="Z664">
        <f t="shared" si="579"/>
        <v>0.67405724730909355</v>
      </c>
      <c r="AC664">
        <v>1</v>
      </c>
      <c r="AD664">
        <f t="shared" si="550"/>
        <v>4287.8969761320004</v>
      </c>
      <c r="AE664">
        <f t="shared" si="551"/>
        <v>-19.441095540807222</v>
      </c>
      <c r="AF664">
        <f t="shared" si="552"/>
        <v>0.26440649052048004</v>
      </c>
      <c r="AG664">
        <f t="shared" si="553"/>
        <v>2.9476977280689147</v>
      </c>
      <c r="AH664">
        <f t="shared" si="554"/>
        <v>-220.51831270114724</v>
      </c>
      <c r="AJ664">
        <f t="shared" si="571"/>
        <v>22100</v>
      </c>
      <c r="AK664">
        <f t="shared" si="555"/>
        <v>1042571.0479792608</v>
      </c>
      <c r="AL664">
        <v>39</v>
      </c>
      <c r="AM664">
        <f t="shared" si="556"/>
        <v>3346.450628830848</v>
      </c>
      <c r="AN664">
        <f t="shared" si="557"/>
        <v>311.57997037536478</v>
      </c>
      <c r="AO664">
        <f t="shared" si="558"/>
        <v>-2.9728157557897226</v>
      </c>
      <c r="AQ664">
        <f t="shared" si="559"/>
        <v>3.2283057747020086E-5</v>
      </c>
      <c r="AR664">
        <f t="shared" si="560"/>
        <v>-0.56818181634755349</v>
      </c>
      <c r="AT664">
        <f t="shared" si="561"/>
        <v>-125.29440028773963</v>
      </c>
      <c r="AU664">
        <f t="shared" si="562"/>
        <v>-1.6819472546009595</v>
      </c>
      <c r="AV664">
        <f t="shared" si="580"/>
        <v>-3.1281694979567218</v>
      </c>
      <c r="AW664">
        <f t="shared" si="581"/>
        <v>312.91107664416427</v>
      </c>
      <c r="AX664">
        <f t="shared" si="582"/>
        <v>-416.84967461172653</v>
      </c>
      <c r="AY664">
        <f t="shared" si="590"/>
        <v>-0.92687494661586056</v>
      </c>
      <c r="BA664">
        <f t="shared" si="572"/>
        <v>0.24040547707190493</v>
      </c>
      <c r="BB664">
        <f t="shared" si="583"/>
        <v>-12.381112843618158</v>
      </c>
      <c r="BC664">
        <f t="shared" si="584"/>
        <v>-2.2012945513408613</v>
      </c>
      <c r="BD664">
        <f t="shared" si="573"/>
        <v>-306.12488740109416</v>
      </c>
      <c r="BF664">
        <f t="shared" si="574"/>
        <v>-94.106616150165721</v>
      </c>
      <c r="BG664">
        <f t="shared" si="575"/>
        <v>-217.41389445246722</v>
      </c>
      <c r="BH664">
        <f t="shared" si="585"/>
        <v>-37.413894452467218</v>
      </c>
      <c r="BI664">
        <f t="shared" si="586"/>
        <v>-37.413894452467218</v>
      </c>
      <c r="BJ664">
        <f t="shared" si="576"/>
        <v>0</v>
      </c>
      <c r="BK664">
        <f t="shared" si="587"/>
        <v>0</v>
      </c>
      <c r="BM664">
        <f t="shared" si="588"/>
        <v>-81.725503306547566</v>
      </c>
      <c r="BN664">
        <f t="shared" si="577"/>
        <v>-91.289007051373048</v>
      </c>
      <c r="BQ664" s="47">
        <f t="shared" si="589"/>
        <v>4.5208479566669784</v>
      </c>
    </row>
    <row r="665" spans="1:69">
      <c r="A665">
        <f t="shared" si="563"/>
        <v>8900000</v>
      </c>
      <c r="B665">
        <f t="shared" si="578"/>
        <v>8900</v>
      </c>
      <c r="C665">
        <f t="shared" si="539"/>
        <v>44.747454551388962</v>
      </c>
      <c r="D665">
        <f t="shared" si="540"/>
        <v>1.5484468263617177</v>
      </c>
      <c r="F665">
        <f t="shared" si="541"/>
        <v>1.2076898759994337E-7</v>
      </c>
      <c r="G665">
        <f t="shared" si="542"/>
        <v>1.0477647941053887E-4</v>
      </c>
      <c r="H665">
        <f t="shared" si="564"/>
        <v>-3.1414878735205898</v>
      </c>
      <c r="J665">
        <f t="shared" si="565"/>
        <v>15</v>
      </c>
      <c r="M665">
        <f t="shared" si="543"/>
        <v>1.6921087842538933E-4</v>
      </c>
      <c r="N665">
        <f t="shared" si="566"/>
        <v>-1.5707963250000001</v>
      </c>
      <c r="O665">
        <f t="shared" si="544"/>
        <v>4336.6231934305843</v>
      </c>
      <c r="P665">
        <f t="shared" si="567"/>
        <v>1.5705657326288236</v>
      </c>
      <c r="Q665">
        <f t="shared" si="545"/>
        <v>3384.4786246189888</v>
      </c>
      <c r="R665">
        <f t="shared" si="568"/>
        <v>1.5705008603064172</v>
      </c>
      <c r="S665">
        <f t="shared" si="546"/>
        <v>2.0954818688796086E-2</v>
      </c>
      <c r="T665">
        <f t="shared" si="569"/>
        <v>-1.549839974244055</v>
      </c>
      <c r="U665">
        <f t="shared" si="547"/>
        <v>1.3446361346900243E-2</v>
      </c>
      <c r="V665">
        <f t="shared" si="570"/>
        <v>-1.5573495602209528</v>
      </c>
      <c r="X665">
        <f t="shared" si="548"/>
        <v>-84.924491009278839</v>
      </c>
      <c r="Y665">
        <f t="shared" si="549"/>
        <v>-179.33351622272065</v>
      </c>
      <c r="Z665">
        <f t="shared" si="579"/>
        <v>0.66648377727935326</v>
      </c>
      <c r="AC665">
        <v>1</v>
      </c>
      <c r="AD665">
        <f t="shared" si="550"/>
        <v>4336.6230781335007</v>
      </c>
      <c r="AE665">
        <f t="shared" si="551"/>
        <v>-19.885449093328255</v>
      </c>
      <c r="AF665">
        <f t="shared" si="552"/>
        <v>0.26741110973094001</v>
      </c>
      <c r="AG665">
        <f t="shared" si="553"/>
        <v>2.8818413760417578</v>
      </c>
      <c r="AH665">
        <f t="shared" si="554"/>
        <v>-218.04146445894364</v>
      </c>
      <c r="AJ665">
        <f t="shared" si="571"/>
        <v>22100</v>
      </c>
      <c r="AK665">
        <f t="shared" si="555"/>
        <v>1054418.4462517526</v>
      </c>
      <c r="AL665">
        <v>40</v>
      </c>
      <c r="AM665">
        <f t="shared" si="556"/>
        <v>3384.4784768857439</v>
      </c>
      <c r="AN665">
        <f t="shared" si="557"/>
        <v>311.57897679035307</v>
      </c>
      <c r="AO665">
        <f t="shared" si="558"/>
        <v>-2.8473636320043303</v>
      </c>
      <c r="AQ665">
        <f t="shared" si="559"/>
        <v>3.1561671406509055E-5</v>
      </c>
      <c r="AR665">
        <f t="shared" si="560"/>
        <v>-0.56179775103586116</v>
      </c>
      <c r="AT665">
        <f t="shared" si="561"/>
        <v>-122.49511340986963</v>
      </c>
      <c r="AU665">
        <f t="shared" si="562"/>
        <v>-1.6258937569565981</v>
      </c>
      <c r="AV665">
        <f t="shared" si="580"/>
        <v>-3.1283203014067009</v>
      </c>
      <c r="AW665">
        <f t="shared" si="581"/>
        <v>312.93683129628459</v>
      </c>
      <c r="AX665">
        <f t="shared" si="582"/>
        <v>-412.07414818723606</v>
      </c>
      <c r="AY665">
        <f t="shared" si="590"/>
        <v>-0.9212944249322621</v>
      </c>
      <c r="BA665">
        <f t="shared" si="572"/>
        <v>0.23675807282127501</v>
      </c>
      <c r="BB665">
        <f t="shared" si="583"/>
        <v>-12.513904075684055</v>
      </c>
      <c r="BC665">
        <f t="shared" si="584"/>
        <v>-2.2070258764744386</v>
      </c>
      <c r="BD665">
        <f t="shared" si="573"/>
        <v>-306.45326814264064</v>
      </c>
      <c r="BF665">
        <f t="shared" si="574"/>
        <v>-94.337603669344062</v>
      </c>
      <c r="BG665">
        <f t="shared" si="575"/>
        <v>-217.72779684024147</v>
      </c>
      <c r="BH665">
        <f t="shared" si="585"/>
        <v>-37.727796840241467</v>
      </c>
      <c r="BI665">
        <f t="shared" si="586"/>
        <v>-37.727796840241467</v>
      </c>
      <c r="BJ665">
        <f t="shared" si="576"/>
        <v>0</v>
      </c>
      <c r="BK665">
        <f t="shared" si="587"/>
        <v>0</v>
      </c>
      <c r="BM665">
        <f t="shared" si="588"/>
        <v>-81.823699593659995</v>
      </c>
      <c r="BN665">
        <f t="shared" si="577"/>
        <v>-91.274528697600871</v>
      </c>
      <c r="BQ665" s="47">
        <f t="shared" si="589"/>
        <v>4.388056724601082</v>
      </c>
    </row>
    <row r="666" spans="1:69">
      <c r="A666">
        <f t="shared" si="563"/>
        <v>9000000</v>
      </c>
      <c r="B666">
        <f t="shared" si="578"/>
        <v>9000</v>
      </c>
      <c r="C666">
        <f t="shared" si="539"/>
        <v>45.24998523682428</v>
      </c>
      <c r="D666">
        <f t="shared" si="540"/>
        <v>1.5486950728318292</v>
      </c>
      <c r="F666">
        <f t="shared" si="541"/>
        <v>1.1810014176496136E-7</v>
      </c>
      <c r="G666">
        <f t="shared" si="542"/>
        <v>1.0361229603285346E-4</v>
      </c>
      <c r="H666">
        <f t="shared" si="564"/>
        <v>-3.1414890377039675</v>
      </c>
      <c r="J666">
        <f t="shared" si="565"/>
        <v>15</v>
      </c>
      <c r="M666">
        <f t="shared" si="543"/>
        <v>1.6733075755399614E-4</v>
      </c>
      <c r="N666">
        <f t="shared" si="566"/>
        <v>-1.5707963250000001</v>
      </c>
      <c r="O666">
        <f t="shared" si="544"/>
        <v>4385.3492941510058</v>
      </c>
      <c r="P666">
        <f t="shared" si="567"/>
        <v>1.570568294786135</v>
      </c>
      <c r="Q666">
        <f t="shared" si="545"/>
        <v>3422.5064710324045</v>
      </c>
      <c r="R666">
        <f t="shared" si="568"/>
        <v>1.5705041432672124</v>
      </c>
      <c r="S666">
        <f t="shared" si="546"/>
        <v>2.0722087910382603E-2</v>
      </c>
      <c r="T666">
        <f t="shared" si="569"/>
        <v>-1.5500727555700964</v>
      </c>
      <c r="U666">
        <f t="shared" si="547"/>
        <v>1.3296983896404282E-2</v>
      </c>
      <c r="V666">
        <f t="shared" si="570"/>
        <v>-1.5574989510278447</v>
      </c>
      <c r="X666">
        <f t="shared" si="548"/>
        <v>-85.118579593037182</v>
      </c>
      <c r="Y666">
        <f t="shared" si="549"/>
        <v>-179.34092140017316</v>
      </c>
      <c r="Z666">
        <f t="shared" si="579"/>
        <v>0.65907859982684158</v>
      </c>
      <c r="AC666">
        <v>1</v>
      </c>
      <c r="AD666">
        <f t="shared" si="550"/>
        <v>4385.349180135001</v>
      </c>
      <c r="AE666">
        <f t="shared" si="551"/>
        <v>-20.334823589945572</v>
      </c>
      <c r="AF666">
        <f t="shared" si="552"/>
        <v>0.27041572894140004</v>
      </c>
      <c r="AG666">
        <f t="shared" si="553"/>
        <v>2.8181674996151296</v>
      </c>
      <c r="AH666">
        <f t="shared" si="554"/>
        <v>-215.61962826588012</v>
      </c>
      <c r="AJ666">
        <f t="shared" si="571"/>
        <v>22100</v>
      </c>
      <c r="AK666">
        <f t="shared" si="555"/>
        <v>1066265.8445242438</v>
      </c>
      <c r="AL666">
        <v>41</v>
      </c>
      <c r="AM666">
        <f t="shared" si="556"/>
        <v>3422.5063249406403</v>
      </c>
      <c r="AN666">
        <f t="shared" si="557"/>
        <v>311.57796538125018</v>
      </c>
      <c r="AO666">
        <f t="shared" si="558"/>
        <v>-2.7247001273344553</v>
      </c>
      <c r="AQ666">
        <f t="shared" si="559"/>
        <v>3.0864197435604332E-5</v>
      </c>
      <c r="AR666">
        <f t="shared" si="560"/>
        <v>-0.55555555384087796</v>
      </c>
      <c r="AT666">
        <f t="shared" si="561"/>
        <v>-119.78859501973714</v>
      </c>
      <c r="AU666">
        <f t="shared" si="562"/>
        <v>-1.5723035328428354</v>
      </c>
      <c r="AV666">
        <f t="shared" si="580"/>
        <v>-3.1284677542760044</v>
      </c>
      <c r="AW666">
        <f t="shared" si="581"/>
        <v>312.96105639786043</v>
      </c>
      <c r="AX666">
        <f t="shared" si="582"/>
        <v>-407.40470783698299</v>
      </c>
      <c r="AY666">
        <f t="shared" si="590"/>
        <v>-0.91575978302551964</v>
      </c>
      <c r="BA666">
        <f t="shared" si="572"/>
        <v>0.23319223188669594</v>
      </c>
      <c r="BB666">
        <f t="shared" si="583"/>
        <v>-12.645718418306245</v>
      </c>
      <c r="BC666">
        <f t="shared" si="584"/>
        <v>-2.2127079712504849</v>
      </c>
      <c r="BD666">
        <f t="shared" si="573"/>
        <v>-306.77882819247338</v>
      </c>
      <c r="BF666">
        <f t="shared" si="574"/>
        <v>-94.566516021571488</v>
      </c>
      <c r="BG666">
        <f t="shared" si="575"/>
        <v>-218.0392001178358</v>
      </c>
      <c r="BH666">
        <f t="shared" si="585"/>
        <v>-38.039200117835804</v>
      </c>
      <c r="BI666">
        <f t="shared" si="586"/>
        <v>-38.039200117835804</v>
      </c>
      <c r="BJ666">
        <f t="shared" si="576"/>
        <v>0</v>
      </c>
      <c r="BK666">
        <f t="shared" si="587"/>
        <v>0</v>
      </c>
      <c r="BM666">
        <f t="shared" si="588"/>
        <v>-81.920797603265228</v>
      </c>
      <c r="BN666">
        <f t="shared" si="577"/>
        <v>-91.260371925362406</v>
      </c>
      <c r="BQ666" s="47">
        <f t="shared" si="589"/>
        <v>4.2562423819788924</v>
      </c>
    </row>
    <row r="667" spans="1:69">
      <c r="A667">
        <f t="shared" si="563"/>
        <v>9100000</v>
      </c>
      <c r="B667">
        <f t="shared" si="578"/>
        <v>9100</v>
      </c>
      <c r="C667">
        <f t="shared" si="539"/>
        <v>45.752518649591195</v>
      </c>
      <c r="D667">
        <f t="shared" si="540"/>
        <v>1.5489378659711308</v>
      </c>
      <c r="F667">
        <f t="shared" si="541"/>
        <v>1.1551879554336768E-7</v>
      </c>
      <c r="G667">
        <f t="shared" si="542"/>
        <v>1.0247369911188539E-4</v>
      </c>
      <c r="H667">
        <f t="shared" si="564"/>
        <v>-3.1414901763008882</v>
      </c>
      <c r="J667">
        <f t="shared" si="565"/>
        <v>15</v>
      </c>
      <c r="M667">
        <f t="shared" si="543"/>
        <v>1.6549195802043572E-4</v>
      </c>
      <c r="N667">
        <f t="shared" si="566"/>
        <v>-1.5707963250000001</v>
      </c>
      <c r="O667">
        <f t="shared" si="544"/>
        <v>4434.0753948995825</v>
      </c>
      <c r="P667">
        <f t="shared" si="567"/>
        <v>1.5705708006322998</v>
      </c>
      <c r="Q667">
        <f t="shared" si="545"/>
        <v>3460.5343174818963</v>
      </c>
      <c r="R667">
        <f t="shared" si="568"/>
        <v>1.5705073540750292</v>
      </c>
      <c r="S667">
        <f t="shared" si="546"/>
        <v>2.0494468835460255E-2</v>
      </c>
      <c r="T667">
        <f t="shared" si="569"/>
        <v>-1.5503004229959525</v>
      </c>
      <c r="U667">
        <f t="shared" si="547"/>
        <v>1.3150888605587855E-2</v>
      </c>
      <c r="V667">
        <f t="shared" si="570"/>
        <v>-1.5576450590944904</v>
      </c>
      <c r="X667">
        <f t="shared" si="548"/>
        <v>-85.310523758290572</v>
      </c>
      <c r="Y667">
        <f t="shared" si="549"/>
        <v>-179.34816383286255</v>
      </c>
      <c r="Z667">
        <f t="shared" si="579"/>
        <v>0.65183616713744641</v>
      </c>
      <c r="AC667">
        <v>1</v>
      </c>
      <c r="AD667">
        <f t="shared" si="550"/>
        <v>4434.0752821365004</v>
      </c>
      <c r="AE667">
        <f t="shared" si="551"/>
        <v>-20.789219030659169</v>
      </c>
      <c r="AF667">
        <f t="shared" si="552"/>
        <v>0.27342034815186006</v>
      </c>
      <c r="AG667">
        <f t="shared" si="553"/>
        <v>2.756580722684574</v>
      </c>
      <c r="AH667">
        <f t="shared" si="554"/>
        <v>-213.25099179230818</v>
      </c>
      <c r="AJ667">
        <f t="shared" si="571"/>
        <v>22100</v>
      </c>
      <c r="AK667">
        <f t="shared" si="555"/>
        <v>1078113.2427967356</v>
      </c>
      <c r="AL667">
        <v>42</v>
      </c>
      <c r="AM667">
        <f t="shared" si="556"/>
        <v>3460.5341729955362</v>
      </c>
      <c r="AN667">
        <f t="shared" si="557"/>
        <v>311.57693803730638</v>
      </c>
      <c r="AO667">
        <f t="shared" si="558"/>
        <v>-2.6047333018042593</v>
      </c>
      <c r="AQ667">
        <f t="shared" si="559"/>
        <v>3.018959053800993E-5</v>
      </c>
      <c r="AR667">
        <f t="shared" si="560"/>
        <v>-0.54945054779178071</v>
      </c>
      <c r="AT667">
        <f t="shared" si="561"/>
        <v>-117.17079103738095</v>
      </c>
      <c r="AU667">
        <f t="shared" si="562"/>
        <v>-1.5210427482353361</v>
      </c>
      <c r="AV667">
        <f t="shared" si="580"/>
        <v>-3.1286119669970942</v>
      </c>
      <c r="AW667">
        <f t="shared" si="581"/>
        <v>312.9838336051946</v>
      </c>
      <c r="AX667">
        <f t="shared" si="582"/>
        <v>-402.8378584831396</v>
      </c>
      <c r="AY667">
        <f t="shared" si="590"/>
        <v>-0.9102707448365962</v>
      </c>
      <c r="BA667">
        <f t="shared" si="572"/>
        <v>0.2297054218268734</v>
      </c>
      <c r="BB667">
        <f t="shared" si="583"/>
        <v>-12.776575077231074</v>
      </c>
      <c r="BC667">
        <f t="shared" si="584"/>
        <v>-2.2183412221604981</v>
      </c>
      <c r="BD667">
        <f t="shared" si="573"/>
        <v>-307.1015896949242</v>
      </c>
      <c r="BF667">
        <f t="shared" si="574"/>
        <v>-94.793396720162576</v>
      </c>
      <c r="BG667">
        <f t="shared" si="575"/>
        <v>-218.34811583489218</v>
      </c>
      <c r="BH667">
        <f t="shared" si="585"/>
        <v>-38.348115834892184</v>
      </c>
      <c r="BI667">
        <f t="shared" si="586"/>
        <v>-38.348115834892184</v>
      </c>
      <c r="BJ667">
        <f t="shared" si="576"/>
        <v>0</v>
      </c>
      <c r="BK667">
        <f t="shared" si="587"/>
        <v>0</v>
      </c>
      <c r="BM667">
        <f t="shared" si="588"/>
        <v>-82.01682164293149</v>
      </c>
      <c r="BN667">
        <f t="shared" si="577"/>
        <v>-91.246526139967997</v>
      </c>
      <c r="BQ667" s="47">
        <f t="shared" si="589"/>
        <v>4.1253857230540634</v>
      </c>
    </row>
    <row r="668" spans="1:69">
      <c r="A668">
        <f t="shared" si="563"/>
        <v>9200000</v>
      </c>
      <c r="B668">
        <f t="shared" si="578"/>
        <v>9200</v>
      </c>
      <c r="C668">
        <f t="shared" si="539"/>
        <v>46.255054700797253</v>
      </c>
      <c r="D668">
        <f t="shared" si="540"/>
        <v>1.5491753834929547</v>
      </c>
      <c r="F668">
        <f t="shared" si="541"/>
        <v>1.1302116535573652E-7</v>
      </c>
      <c r="G668">
        <f t="shared" si="542"/>
        <v>1.0135985430627599E-4</v>
      </c>
      <c r="H668">
        <f t="shared" si="564"/>
        <v>-3.1414912901456939</v>
      </c>
      <c r="J668">
        <f t="shared" si="565"/>
        <v>15</v>
      </c>
      <c r="M668">
        <f t="shared" si="543"/>
        <v>1.6369313238977882E-4</v>
      </c>
      <c r="N668">
        <f t="shared" si="566"/>
        <v>-1.5707963250000001</v>
      </c>
      <c r="O668">
        <f t="shared" si="544"/>
        <v>4482.8014956753968</v>
      </c>
      <c r="P668">
        <f t="shared" si="567"/>
        <v>1.5705732520035505</v>
      </c>
      <c r="Q668">
        <f t="shared" si="545"/>
        <v>3498.5621639662886</v>
      </c>
      <c r="R668">
        <f t="shared" si="568"/>
        <v>1.5705104950826818</v>
      </c>
      <c r="S668">
        <f t="shared" si="546"/>
        <v>2.0271794917350157E-2</v>
      </c>
      <c r="T668">
        <f t="shared" si="569"/>
        <v>-1.5505231431863387</v>
      </c>
      <c r="U668">
        <f t="shared" si="547"/>
        <v>1.3007968484331913E-2</v>
      </c>
      <c r="V668">
        <f t="shared" si="570"/>
        <v>-1.557787991442213</v>
      </c>
      <c r="X668">
        <f t="shared" si="548"/>
        <v>-85.500370370904733</v>
      </c>
      <c r="Y668">
        <f t="shared" si="549"/>
        <v>-179.35524882740941</v>
      </c>
      <c r="Z668">
        <f t="shared" si="579"/>
        <v>0.64475117259058834</v>
      </c>
      <c r="AC668">
        <v>1</v>
      </c>
      <c r="AD668">
        <f t="shared" si="550"/>
        <v>4482.8013841380007</v>
      </c>
      <c r="AE668">
        <f t="shared" si="551"/>
        <v>-21.248635415469053</v>
      </c>
      <c r="AF668">
        <f t="shared" si="552"/>
        <v>0.27642496736232003</v>
      </c>
      <c r="AG668">
        <f t="shared" si="553"/>
        <v>2.6969908225269528</v>
      </c>
      <c r="AH668">
        <f t="shared" si="554"/>
        <v>-210.93382143847981</v>
      </c>
      <c r="AJ668">
        <f t="shared" si="571"/>
        <v>22100</v>
      </c>
      <c r="AK668">
        <f t="shared" si="555"/>
        <v>1089960.6410692271</v>
      </c>
      <c r="AL668">
        <v>43</v>
      </c>
      <c r="AM668">
        <f t="shared" si="556"/>
        <v>3498.5620210504321</v>
      </c>
      <c r="AN668">
        <f t="shared" si="557"/>
        <v>311.5758965096378</v>
      </c>
      <c r="AO668">
        <f t="shared" si="558"/>
        <v>-2.4873752123658948</v>
      </c>
      <c r="AQ668">
        <f t="shared" si="559"/>
        <v>2.9536861916538098E-5</v>
      </c>
      <c r="AR668">
        <f t="shared" si="560"/>
        <v>-0.54347825926430093</v>
      </c>
      <c r="AT668">
        <f t="shared" si="561"/>
        <v>-114.63786643470638</v>
      </c>
      <c r="AU668">
        <f t="shared" si="562"/>
        <v>-1.4719862006360995</v>
      </c>
      <c r="AV668">
        <f t="shared" si="580"/>
        <v>-3.1287530452024224</v>
      </c>
      <c r="AW668">
        <f t="shared" si="581"/>
        <v>313.00523968055694</v>
      </c>
      <c r="AX668">
        <f t="shared" si="582"/>
        <v>-398.3702568649548</v>
      </c>
      <c r="AY668">
        <f t="shared" si="590"/>
        <v>-0.90482703065756942</v>
      </c>
      <c r="BA668">
        <f t="shared" si="572"/>
        <v>0.22629521579095024</v>
      </c>
      <c r="BB668">
        <f t="shared" si="583"/>
        <v>-12.906492551268116</v>
      </c>
      <c r="BC668">
        <f t="shared" si="584"/>
        <v>-2.2239260145448529</v>
      </c>
      <c r="BD668">
        <f t="shared" si="573"/>
        <v>-307.42157472837016</v>
      </c>
      <c r="BF668">
        <f t="shared" si="574"/>
        <v>-95.018287772968307</v>
      </c>
      <c r="BG668">
        <f t="shared" si="575"/>
        <v>-218.65455593536817</v>
      </c>
      <c r="BH668">
        <f t="shared" si="585"/>
        <v>-38.654555935368165</v>
      </c>
      <c r="BI668">
        <f t="shared" si="586"/>
        <v>-38.654555935368165</v>
      </c>
      <c r="BJ668">
        <f t="shared" si="576"/>
        <v>0</v>
      </c>
      <c r="BK668">
        <f t="shared" si="587"/>
        <v>0</v>
      </c>
      <c r="BM668">
        <f t="shared" si="588"/>
        <v>-82.111795221700191</v>
      </c>
      <c r="BN668">
        <f t="shared" si="577"/>
        <v>-91.232981206997991</v>
      </c>
      <c r="BQ668" s="47">
        <f t="shared" si="589"/>
        <v>3.9954682490170201</v>
      </c>
    </row>
    <row r="669" spans="1:69">
      <c r="A669">
        <f t="shared" si="563"/>
        <v>9300000</v>
      </c>
      <c r="B669">
        <f t="shared" si="578"/>
        <v>9300</v>
      </c>
      <c r="C669">
        <f t="shared" si="539"/>
        <v>46.757593305371095</v>
      </c>
      <c r="D669">
        <f t="shared" si="540"/>
        <v>1.5494077954730054</v>
      </c>
      <c r="F669">
        <f t="shared" si="541"/>
        <v>1.1060366994124562E-7</v>
      </c>
      <c r="G669">
        <f t="shared" si="542"/>
        <v>1.0026996316033637E-4</v>
      </c>
      <c r="H669">
        <f t="shared" si="564"/>
        <v>-3.1414923800368397</v>
      </c>
      <c r="J669">
        <f t="shared" si="565"/>
        <v>15</v>
      </c>
      <c r="M669">
        <f t="shared" si="543"/>
        <v>1.6193299118128656E-4</v>
      </c>
      <c r="N669">
        <f t="shared" si="566"/>
        <v>-1.5707963250000001</v>
      </c>
      <c r="O669">
        <f t="shared" si="544"/>
        <v>4531.5275964775701</v>
      </c>
      <c r="P669">
        <f t="shared" si="567"/>
        <v>1.5705756506571427</v>
      </c>
      <c r="Q669">
        <f t="shared" si="545"/>
        <v>3536.5900104844554</v>
      </c>
      <c r="R669">
        <f t="shared" si="568"/>
        <v>1.5705135685417881</v>
      </c>
      <c r="S669">
        <f t="shared" si="546"/>
        <v>2.0053906765307043E-2</v>
      </c>
      <c r="T669">
        <f t="shared" si="569"/>
        <v>-1.5507410756425075</v>
      </c>
      <c r="U669">
        <f t="shared" si="547"/>
        <v>1.2868121142295377E-2</v>
      </c>
      <c r="V669">
        <f t="shared" si="570"/>
        <v>-1.5579278504905667</v>
      </c>
      <c r="X669">
        <f t="shared" si="548"/>
        <v>-85.688164777055221</v>
      </c>
      <c r="Y669">
        <f t="shared" si="549"/>
        <v>-179.36218146220705</v>
      </c>
      <c r="Z669">
        <f t="shared" si="579"/>
        <v>0.63781853779295261</v>
      </c>
      <c r="AC669">
        <v>1</v>
      </c>
      <c r="AD669">
        <f t="shared" si="550"/>
        <v>4531.5274861395001</v>
      </c>
      <c r="AE669">
        <f t="shared" si="551"/>
        <v>-21.713072744375218</v>
      </c>
      <c r="AF669">
        <f t="shared" si="552"/>
        <v>0.27942958657278</v>
      </c>
      <c r="AG669">
        <f t="shared" si="553"/>
        <v>2.6393123992556289</v>
      </c>
      <c r="AH669">
        <f t="shared" si="554"/>
        <v>-208.66645810601094</v>
      </c>
      <c r="AJ669">
        <f t="shared" si="571"/>
        <v>22100</v>
      </c>
      <c r="AK669">
        <f t="shared" si="555"/>
        <v>1101808.0393417189</v>
      </c>
      <c r="AL669">
        <v>44</v>
      </c>
      <c r="AM669">
        <f t="shared" si="556"/>
        <v>3536.5898691053285</v>
      </c>
      <c r="AN669">
        <f t="shared" si="557"/>
        <v>311.57484242163241</v>
      </c>
      <c r="AO669">
        <f t="shared" si="558"/>
        <v>-2.3725416980767458</v>
      </c>
      <c r="AQ669">
        <f t="shared" si="559"/>
        <v>2.8905075647748077E-5</v>
      </c>
      <c r="AR669">
        <f t="shared" si="560"/>
        <v>-0.53763440704811416</v>
      </c>
      <c r="AT669">
        <f t="shared" si="561"/>
        <v>-112.18619118513078</v>
      </c>
      <c r="AU669">
        <f t="shared" si="562"/>
        <v>-1.4250166765452374</v>
      </c>
      <c r="AV669">
        <f t="shared" si="580"/>
        <v>-3.1288910899824085</v>
      </c>
      <c r="AW669">
        <f t="shared" si="581"/>
        <v>313.02534682679135</v>
      </c>
      <c r="AX669">
        <f t="shared" si="582"/>
        <v>-393.99870338653102</v>
      </c>
      <c r="AY669">
        <f t="shared" si="590"/>
        <v>-0.89942835728628634</v>
      </c>
      <c r="BA669">
        <f t="shared" si="572"/>
        <v>0.22295928689236907</v>
      </c>
      <c r="BB669">
        <f t="shared" si="583"/>
        <v>-13.035488666591526</v>
      </c>
      <c r="BC669">
        <f t="shared" si="584"/>
        <v>-2.2294627326961223</v>
      </c>
      <c r="BD669">
        <f t="shared" si="573"/>
        <v>-307.7388053111539</v>
      </c>
      <c r="BF669">
        <f t="shared" si="574"/>
        <v>-95.24122975129103</v>
      </c>
      <c r="BG669">
        <f t="shared" si="575"/>
        <v>-218.95853273873433</v>
      </c>
      <c r="BH669">
        <f t="shared" si="585"/>
        <v>-38.958532738734334</v>
      </c>
      <c r="BI669">
        <f t="shared" si="586"/>
        <v>-38.958532738734334</v>
      </c>
      <c r="BJ669">
        <f t="shared" si="576"/>
        <v>0</v>
      </c>
      <c r="BK669">
        <f t="shared" si="587"/>
        <v>0</v>
      </c>
      <c r="BM669">
        <f t="shared" si="588"/>
        <v>-82.205741084699497</v>
      </c>
      <c r="BN669">
        <f t="shared" si="577"/>
        <v>-91.219727427580438</v>
      </c>
      <c r="BQ669" s="47">
        <f t="shared" si="589"/>
        <v>3.8664721336936103</v>
      </c>
    </row>
    <row r="670" spans="1:69">
      <c r="A670">
        <f t="shared" si="563"/>
        <v>9400000</v>
      </c>
      <c r="B670">
        <f t="shared" si="578"/>
        <v>9400</v>
      </c>
      <c r="C670">
        <f t="shared" si="539"/>
        <v>47.260134381859324</v>
      </c>
      <c r="D670">
        <f t="shared" si="540"/>
        <v>1.5496352647552432</v>
      </c>
      <c r="F670">
        <f t="shared" si="541"/>
        <v>1.0826291751291434E-7</v>
      </c>
      <c r="G670">
        <f t="shared" si="542"/>
        <v>9.9203261195234121E-5</v>
      </c>
      <c r="H670">
        <f t="shared" si="564"/>
        <v>-3.1414934467388052</v>
      </c>
      <c r="J670">
        <f t="shared" si="565"/>
        <v>15</v>
      </c>
      <c r="M670">
        <f t="shared" si="543"/>
        <v>1.6021029978574095E-4</v>
      </c>
      <c r="N670">
        <f t="shared" si="566"/>
        <v>-1.5707963250000001</v>
      </c>
      <c r="O670">
        <f t="shared" si="544"/>
        <v>4580.2536973052602</v>
      </c>
      <c r="P670">
        <f t="shared" si="567"/>
        <v>1.5705779982755543</v>
      </c>
      <c r="Q670">
        <f t="shared" si="545"/>
        <v>3574.6178570353177</v>
      </c>
      <c r="R670">
        <f t="shared" si="568"/>
        <v>1.5705165766081528</v>
      </c>
      <c r="S670">
        <f t="shared" si="546"/>
        <v>1.9840651764346767E-2</v>
      </c>
      <c r="T670">
        <f t="shared" si="569"/>
        <v>-1.5509543730829751</v>
      </c>
      <c r="U670">
        <f t="shared" si="547"/>
        <v>1.2731248544368407E-2</v>
      </c>
      <c r="V670">
        <f t="shared" si="570"/>
        <v>-1.5580647343020295</v>
      </c>
      <c r="X670">
        <f t="shared" si="548"/>
        <v>-85.873950868226089</v>
      </c>
      <c r="Y670">
        <f t="shared" si="549"/>
        <v>-179.36896659956048</v>
      </c>
      <c r="Z670">
        <f t="shared" si="579"/>
        <v>0.63103340043952016</v>
      </c>
      <c r="AC670">
        <v>1</v>
      </c>
      <c r="AD670">
        <f t="shared" si="550"/>
        <v>4580.2535881410004</v>
      </c>
      <c r="AE670">
        <f t="shared" si="551"/>
        <v>-22.182531017377659</v>
      </c>
      <c r="AF670">
        <f t="shared" si="552"/>
        <v>0.28243420578324002</v>
      </c>
      <c r="AG670">
        <f t="shared" si="553"/>
        <v>2.5834645697476679</v>
      </c>
      <c r="AH670">
        <f t="shared" si="554"/>
        <v>-206.4473132389403</v>
      </c>
      <c r="AJ670">
        <f t="shared" si="571"/>
        <v>22100</v>
      </c>
      <c r="AK670">
        <f t="shared" si="555"/>
        <v>1113655.4376142104</v>
      </c>
      <c r="AL670">
        <v>45</v>
      </c>
      <c r="AM670">
        <f t="shared" si="556"/>
        <v>3574.6177171602239</v>
      </c>
      <c r="AN670">
        <f t="shared" si="557"/>
        <v>311.57377727850138</v>
      </c>
      <c r="AO670">
        <f t="shared" si="558"/>
        <v>-2.2601521789820262</v>
      </c>
      <c r="AQ670">
        <f t="shared" si="559"/>
        <v>2.8293345325109367E-5</v>
      </c>
      <c r="AR670">
        <f t="shared" si="560"/>
        <v>-0.53191489211205611</v>
      </c>
      <c r="AT670">
        <f t="shared" si="561"/>
        <v>-109.81232725345957</v>
      </c>
      <c r="AU670">
        <f t="shared" si="562"/>
        <v>-1.3800243630175606</v>
      </c>
      <c r="AV670">
        <f t="shared" si="580"/>
        <v>-3.1290261981269567</v>
      </c>
      <c r="AW670">
        <f t="shared" si="581"/>
        <v>313.04422299604835</v>
      </c>
      <c r="AX670">
        <f t="shared" si="582"/>
        <v>-389.72013448417573</v>
      </c>
      <c r="AY670">
        <f t="shared" si="590"/>
        <v>-0.89407443818498478</v>
      </c>
      <c r="BA670">
        <f t="shared" si="572"/>
        <v>0.219695402944667</v>
      </c>
      <c r="BB670">
        <f t="shared" si="583"/>
        <v>-13.163580609122956</v>
      </c>
      <c r="BC670">
        <f t="shared" si="584"/>
        <v>-2.2349517599419721</v>
      </c>
      <c r="BD670">
        <f t="shared" si="573"/>
        <v>-308.05330340633276</v>
      </c>
      <c r="BF670">
        <f t="shared" si="574"/>
        <v>-95.462261855024877</v>
      </c>
      <c r="BG670">
        <f t="shared" si="575"/>
        <v>-219.26005892157789</v>
      </c>
      <c r="BH670">
        <f t="shared" si="585"/>
        <v>-39.260058921577894</v>
      </c>
      <c r="BI670">
        <f t="shared" si="586"/>
        <v>-39.260058921577894</v>
      </c>
      <c r="BJ670">
        <f t="shared" si="576"/>
        <v>0</v>
      </c>
      <c r="BK670">
        <f t="shared" si="587"/>
        <v>0</v>
      </c>
      <c r="BM670">
        <f t="shared" si="588"/>
        <v>-82.298681245901903</v>
      </c>
      <c r="BN670">
        <f t="shared" si="577"/>
        <v>-91.206755515245149</v>
      </c>
      <c r="BQ670" s="47">
        <f t="shared" si="589"/>
        <v>3.7383801911621806</v>
      </c>
    </row>
    <row r="671" spans="1:69">
      <c r="A671">
        <f t="shared" si="563"/>
        <v>9500000</v>
      </c>
      <c r="B671">
        <f t="shared" si="578"/>
        <v>9500</v>
      </c>
      <c r="C671">
        <f t="shared" si="539"/>
        <v>47.762677852236273</v>
      </c>
      <c r="D671">
        <f t="shared" si="540"/>
        <v>1.5498579473321583</v>
      </c>
      <c r="F671">
        <f t="shared" si="541"/>
        <v>1.0599569385427105E-7</v>
      </c>
      <c r="G671">
        <f t="shared" si="542"/>
        <v>9.8159016120736453E-5</v>
      </c>
      <c r="H671">
        <f t="shared" si="564"/>
        <v>-3.1414944909838796</v>
      </c>
      <c r="J671">
        <f t="shared" si="565"/>
        <v>15</v>
      </c>
      <c r="M671">
        <f t="shared" si="543"/>
        <v>1.5852387557747E-4</v>
      </c>
      <c r="N671">
        <f t="shared" si="566"/>
        <v>-1.5707963250000001</v>
      </c>
      <c r="O671">
        <f t="shared" si="544"/>
        <v>4628.979798157663</v>
      </c>
      <c r="P671">
        <f t="shared" si="567"/>
        <v>1.570580296470423</v>
      </c>
      <c r="Q671">
        <f t="shared" si="545"/>
        <v>3612.6457036178444</v>
      </c>
      <c r="R671">
        <f t="shared" si="568"/>
        <v>1.5705195213468095</v>
      </c>
      <c r="S671">
        <f t="shared" si="546"/>
        <v>1.9631883719051172E-2</v>
      </c>
      <c r="T671">
        <f t="shared" si="569"/>
        <v>-1.5511631818002247</v>
      </c>
      <c r="U671">
        <f t="shared" si="547"/>
        <v>1.259725678156183E-2</v>
      </c>
      <c r="V671">
        <f t="shared" si="570"/>
        <v>-1.5581987368112493</v>
      </c>
      <c r="X671">
        <f t="shared" si="548"/>
        <v>-86.057771142770122</v>
      </c>
      <c r="Y671">
        <f t="shared" si="549"/>
        <v>-179.37560889705838</v>
      </c>
      <c r="Z671">
        <f t="shared" si="579"/>
        <v>0.62439110294161537</v>
      </c>
      <c r="AC671">
        <v>1</v>
      </c>
      <c r="AD671">
        <f t="shared" si="550"/>
        <v>4628.9796901425007</v>
      </c>
      <c r="AE671">
        <f t="shared" si="551"/>
        <v>-22.657010234476392</v>
      </c>
      <c r="AF671">
        <f t="shared" si="552"/>
        <v>0.28543882499370005</v>
      </c>
      <c r="AG671">
        <f t="shared" si="553"/>
        <v>2.5293706839942276</v>
      </c>
      <c r="AH671">
        <f t="shared" si="554"/>
        <v>-204.27486511454313</v>
      </c>
      <c r="AJ671">
        <f t="shared" si="571"/>
        <v>22100</v>
      </c>
      <c r="AK671">
        <f t="shared" si="555"/>
        <v>1125502.8358867019</v>
      </c>
      <c r="AL671">
        <v>46</v>
      </c>
      <c r="AM671">
        <f t="shared" si="556"/>
        <v>3612.6455652151199</v>
      </c>
      <c r="AN671">
        <f t="shared" si="557"/>
        <v>311.57270247605658</v>
      </c>
      <c r="AO671">
        <f t="shared" si="558"/>
        <v>-2.1501294676935352</v>
      </c>
      <c r="AQ671">
        <f t="shared" si="559"/>
        <v>2.7700830948197144E-5</v>
      </c>
      <c r="AR671">
        <f t="shared" si="560"/>
        <v>-0.52631578801574574</v>
      </c>
      <c r="AT671">
        <f t="shared" si="561"/>
        <v>-107.51301653890123</v>
      </c>
      <c r="AU671">
        <f t="shared" si="562"/>
        <v>-1.3369063082358514</v>
      </c>
      <c r="AV671">
        <f t="shared" si="580"/>
        <v>-3.1291584623517208</v>
      </c>
      <c r="AW671">
        <f t="shared" si="581"/>
        <v>313.06193217488271</v>
      </c>
      <c r="AX671">
        <f t="shared" si="582"/>
        <v>-385.53161547511024</v>
      </c>
      <c r="AY671">
        <f t="shared" si="590"/>
        <v>-0.88876498364197098</v>
      </c>
      <c r="BA671">
        <f t="shared" si="572"/>
        <v>0.21650142153228993</v>
      </c>
      <c r="BB671">
        <f t="shared" si="583"/>
        <v>-13.29078495511739</v>
      </c>
      <c r="BC671">
        <f t="shared" si="584"/>
        <v>-2.2403934787097497</v>
      </c>
      <c r="BD671">
        <f t="shared" si="573"/>
        <v>-308.36509092537983</v>
      </c>
      <c r="BF671">
        <f t="shared" si="574"/>
        <v>-95.681421974260871</v>
      </c>
      <c r="BG671">
        <f t="shared" si="575"/>
        <v>-219.55914749961764</v>
      </c>
      <c r="BH671">
        <f t="shared" si="585"/>
        <v>-39.559147499617637</v>
      </c>
      <c r="BI671">
        <f t="shared" si="586"/>
        <v>-39.559147499617637</v>
      </c>
      <c r="BJ671">
        <f t="shared" si="576"/>
        <v>0</v>
      </c>
      <c r="BK671">
        <f t="shared" si="587"/>
        <v>0</v>
      </c>
      <c r="BM671">
        <f t="shared" si="588"/>
        <v>-82.390637019143497</v>
      </c>
      <c r="BN671">
        <f t="shared" si="577"/>
        <v>-91.194056574237848</v>
      </c>
      <c r="BQ671" s="47">
        <f t="shared" si="589"/>
        <v>3.6111758451677476</v>
      </c>
    </row>
    <row r="672" spans="1:69">
      <c r="A672">
        <f t="shared" si="563"/>
        <v>9600000</v>
      </c>
      <c r="B672">
        <f t="shared" si="578"/>
        <v>9600</v>
      </c>
      <c r="C672">
        <f t="shared" si="539"/>
        <v>48.265223641725527</v>
      </c>
      <c r="D672">
        <f t="shared" si="540"/>
        <v>1.5500759927013057</v>
      </c>
      <c r="F672">
        <f t="shared" si="541"/>
        <v>1.037989512794112E-7</v>
      </c>
      <c r="G672">
        <f t="shared" si="542"/>
        <v>9.7136526158719567E-5</v>
      </c>
      <c r="H672">
        <f t="shared" si="564"/>
        <v>-3.1414955134738416</v>
      </c>
      <c r="J672">
        <f t="shared" si="565"/>
        <v>15</v>
      </c>
      <c r="M672">
        <f t="shared" si="543"/>
        <v>1.5687258520687136E-4</v>
      </c>
      <c r="N672">
        <f t="shared" si="566"/>
        <v>-1.5707963250000001</v>
      </c>
      <c r="O672">
        <f t="shared" si="544"/>
        <v>4677.7058990340056</v>
      </c>
      <c r="P672">
        <f t="shared" si="567"/>
        <v>1.570582546786234</v>
      </c>
      <c r="Q672">
        <f t="shared" si="545"/>
        <v>3650.6735502310453</v>
      </c>
      <c r="R672">
        <f t="shared" si="568"/>
        <v>1.5705224047367488</v>
      </c>
      <c r="S672">
        <f t="shared" si="546"/>
        <v>1.9427462519604775E-2</v>
      </c>
      <c r="T672">
        <f t="shared" si="569"/>
        <v>-1.5513676419951368</v>
      </c>
      <c r="U672">
        <f t="shared" si="547"/>
        <v>1.2466055856207959E-2</v>
      </c>
      <c r="V672">
        <f t="shared" si="570"/>
        <v>-1.5583299480399657</v>
      </c>
      <c r="X672">
        <f t="shared" si="548"/>
        <v>-86.239666764247161</v>
      </c>
      <c r="Y672">
        <f t="shared" si="549"/>
        <v>-179.38211281823504</v>
      </c>
      <c r="Z672">
        <f t="shared" si="579"/>
        <v>0.61788718176495649</v>
      </c>
      <c r="AC672">
        <v>1</v>
      </c>
      <c r="AD672">
        <f t="shared" si="550"/>
        <v>4677.705792144</v>
      </c>
      <c r="AE672">
        <f t="shared" si="551"/>
        <v>-23.136510395671404</v>
      </c>
      <c r="AF672">
        <f t="shared" si="552"/>
        <v>0.28844344420416002</v>
      </c>
      <c r="AG672">
        <f t="shared" si="553"/>
        <v>2.4769580620162945</v>
      </c>
      <c r="AH672">
        <f t="shared" si="554"/>
        <v>-202.147655365714</v>
      </c>
      <c r="AJ672">
        <f t="shared" si="571"/>
        <v>22100</v>
      </c>
      <c r="AK672">
        <f t="shared" si="555"/>
        <v>1137350.2341591935</v>
      </c>
      <c r="AL672">
        <v>47</v>
      </c>
      <c r="AM672">
        <f t="shared" si="556"/>
        <v>3650.6734132700158</v>
      </c>
      <c r="AN672">
        <f t="shared" si="557"/>
        <v>311.57161930878067</v>
      </c>
      <c r="AO672">
        <f t="shared" si="558"/>
        <v>-2.0423995927394207</v>
      </c>
      <c r="AQ672">
        <f t="shared" si="559"/>
        <v>2.7126736037525129E-5</v>
      </c>
      <c r="AR672">
        <f t="shared" si="560"/>
        <v>-0.52083333192048253</v>
      </c>
      <c r="AT672">
        <f t="shared" si="561"/>
        <v>-105.2851696922507</v>
      </c>
      <c r="AU672">
        <f t="shared" si="562"/>
        <v>-1.2955659265549582</v>
      </c>
      <c r="AV672">
        <f t="shared" si="580"/>
        <v>-3.1292879715102386</v>
      </c>
      <c r="AW672">
        <f t="shared" si="581"/>
        <v>313.07853464773495</v>
      </c>
      <c r="AX672">
        <f t="shared" si="582"/>
        <v>-381.43033385249998</v>
      </c>
      <c r="AY672">
        <f t="shared" si="590"/>
        <v>-0.88349970093553976</v>
      </c>
      <c r="BA672">
        <f t="shared" si="572"/>
        <v>0.21337528539177242</v>
      </c>
      <c r="BB672">
        <f t="shared" si="583"/>
        <v>-13.417117700064265</v>
      </c>
      <c r="BC672">
        <f t="shared" si="584"/>
        <v>-2.2457882705746988</v>
      </c>
      <c r="BD672">
        <f t="shared" si="573"/>
        <v>-308.67418973094607</v>
      </c>
      <c r="BF672">
        <f t="shared" si="574"/>
        <v>-95.898746747579352</v>
      </c>
      <c r="BG672">
        <f t="shared" si="575"/>
        <v>-219.85581181013464</v>
      </c>
      <c r="BH672">
        <f t="shared" si="585"/>
        <v>-39.855811810134639</v>
      </c>
      <c r="BI672">
        <f t="shared" si="586"/>
        <v>-39.855811810134639</v>
      </c>
      <c r="BJ672">
        <f t="shared" si="576"/>
        <v>0</v>
      </c>
      <c r="BK672">
        <f t="shared" si="587"/>
        <v>0</v>
      </c>
      <c r="BM672">
        <f t="shared" si="588"/>
        <v>-82.481629047515085</v>
      </c>
      <c r="BN672">
        <f t="shared" si="577"/>
        <v>-91.181622079188543</v>
      </c>
      <c r="BQ672" s="47">
        <f t="shared" si="589"/>
        <v>3.4848431002208713</v>
      </c>
    </row>
    <row r="673" spans="1:69">
      <c r="A673">
        <f t="shared" si="563"/>
        <v>9700000</v>
      </c>
      <c r="B673">
        <f t="shared" si="578"/>
        <v>9700</v>
      </c>
      <c r="C673">
        <f t="shared" si="539"/>
        <v>48.76777167863262</v>
      </c>
      <c r="D673">
        <f t="shared" si="540"/>
        <v>1.5502895441998037</v>
      </c>
      <c r="F673">
        <f t="shared" si="541"/>
        <v>1.0166979838560879E-7</v>
      </c>
      <c r="G673">
        <f t="shared" si="542"/>
        <v>9.6135118470378554E-5</v>
      </c>
      <c r="H673">
        <f t="shared" si="564"/>
        <v>-3.1414965148815299</v>
      </c>
      <c r="J673">
        <f t="shared" si="565"/>
        <v>15</v>
      </c>
      <c r="M673">
        <f t="shared" si="543"/>
        <v>1.5525534206040878E-4</v>
      </c>
      <c r="N673">
        <f t="shared" si="566"/>
        <v>-1.5707963250000001</v>
      </c>
      <c r="O673">
        <f t="shared" si="544"/>
        <v>4726.4319999335466</v>
      </c>
      <c r="P673">
        <f t="shared" si="567"/>
        <v>1.5705847507037829</v>
      </c>
      <c r="Q673">
        <f t="shared" si="545"/>
        <v>3688.701396873972</v>
      </c>
      <c r="R673">
        <f t="shared" si="568"/>
        <v>1.5705252286753535</v>
      </c>
      <c r="S673">
        <f t="shared" si="546"/>
        <v>1.9227253828461334E-2</v>
      </c>
      <c r="T673">
        <f t="shared" si="569"/>
        <v>-1.55156788809075</v>
      </c>
      <c r="U673">
        <f t="shared" si="547"/>
        <v>1.2337559480440642E-2</v>
      </c>
      <c r="V673">
        <f t="shared" si="570"/>
        <v>-1.5584584542986433</v>
      </c>
      <c r="X673">
        <f t="shared" si="548"/>
        <v>-86.419677616740273</v>
      </c>
      <c r="Y673">
        <f t="shared" si="549"/>
        <v>-179.38848264257203</v>
      </c>
      <c r="Z673">
        <f t="shared" si="579"/>
        <v>0.61151735742797086</v>
      </c>
      <c r="AC673">
        <v>1</v>
      </c>
      <c r="AD673">
        <f t="shared" si="550"/>
        <v>4726.4318941455003</v>
      </c>
      <c r="AE673">
        <f t="shared" si="551"/>
        <v>-23.621031500962701</v>
      </c>
      <c r="AF673">
        <f t="shared" si="552"/>
        <v>0.29144806341462004</v>
      </c>
      <c r="AG673">
        <f t="shared" si="553"/>
        <v>2.4261577496592639</v>
      </c>
      <c r="AH673">
        <f t="shared" si="554"/>
        <v>-200.06428571822619</v>
      </c>
      <c r="AJ673">
        <f t="shared" si="571"/>
        <v>22100</v>
      </c>
      <c r="AK673">
        <f t="shared" si="555"/>
        <v>1149197.6324316852</v>
      </c>
      <c r="AL673">
        <v>48</v>
      </c>
      <c r="AM673">
        <f t="shared" si="556"/>
        <v>3688.7012613249117</v>
      </c>
      <c r="AN673">
        <f t="shared" si="557"/>
        <v>311.57052897725248</v>
      </c>
      <c r="AO673">
        <f t="shared" si="558"/>
        <v>-1.9368916328360148</v>
      </c>
      <c r="AQ673">
        <f t="shared" si="559"/>
        <v>2.65703049565036E-5</v>
      </c>
      <c r="AR673">
        <f t="shared" si="560"/>
        <v>-0.51546391615616982</v>
      </c>
      <c r="AT673">
        <f t="shared" si="561"/>
        <v>-103.12585573555246</v>
      </c>
      <c r="AU673">
        <f t="shared" si="562"/>
        <v>-1.2559125439344427</v>
      </c>
      <c r="AV673">
        <f t="shared" si="580"/>
        <v>-3.1294148107929467</v>
      </c>
      <c r="AW673">
        <f t="shared" si="581"/>
        <v>313.09408724062928</v>
      </c>
      <c r="AX673">
        <f t="shared" si="582"/>
        <v>-377.41359299464779</v>
      </c>
      <c r="AY673">
        <f t="shared" si="590"/>
        <v>-0.87827829449939032</v>
      </c>
      <c r="BA673">
        <f t="shared" si="572"/>
        <v>0.21031501808067049</v>
      </c>
      <c r="BB673">
        <f t="shared" si="583"/>
        <v>-13.542594286008359</v>
      </c>
      <c r="BC673">
        <f t="shared" si="584"/>
        <v>-2.2511365162935562</v>
      </c>
      <c r="BD673">
        <f t="shared" si="573"/>
        <v>-308.98062163878569</v>
      </c>
      <c r="BF673">
        <f t="shared" si="574"/>
        <v>-96.114271617234635</v>
      </c>
      <c r="BG673">
        <f t="shared" si="575"/>
        <v>-220.15006549482177</v>
      </c>
      <c r="BH673">
        <f t="shared" si="585"/>
        <v>-40.150065494821774</v>
      </c>
      <c r="BI673">
        <f t="shared" si="586"/>
        <v>-40.150065494821774</v>
      </c>
      <c r="BJ673">
        <f t="shared" si="576"/>
        <v>0</v>
      </c>
      <c r="BK673">
        <f t="shared" si="587"/>
        <v>0</v>
      </c>
      <c r="BM673">
        <f t="shared" si="588"/>
        <v>-82.571677331226283</v>
      </c>
      <c r="BN673">
        <f t="shared" si="577"/>
        <v>-91.169443856036111</v>
      </c>
      <c r="BQ673" s="47">
        <f t="shared" si="589"/>
        <v>3.3593665142767772</v>
      </c>
    </row>
    <row r="674" spans="1:69">
      <c r="A674">
        <f t="shared" si="563"/>
        <v>9800000</v>
      </c>
      <c r="B674">
        <f t="shared" si="578"/>
        <v>9800</v>
      </c>
      <c r="C674">
        <f t="shared" si="539"/>
        <v>49.270321894187816</v>
      </c>
      <c r="D674">
        <f t="shared" si="540"/>
        <v>1.5504987393183784</v>
      </c>
      <c r="F674">
        <f t="shared" si="541"/>
        <v>9.9605490534117167E-8</v>
      </c>
      <c r="G674">
        <f t="shared" si="542"/>
        <v>9.5154147679730739E-5</v>
      </c>
      <c r="H674">
        <f t="shared" si="564"/>
        <v>-3.1414974958523203</v>
      </c>
      <c r="J674">
        <f t="shared" si="565"/>
        <v>15</v>
      </c>
      <c r="M674">
        <f t="shared" si="543"/>
        <v>1.5367110387611889E-4</v>
      </c>
      <c r="N674">
        <f t="shared" si="566"/>
        <v>-1.5707963250000001</v>
      </c>
      <c r="O674">
        <f t="shared" si="544"/>
        <v>4775.1581008555768</v>
      </c>
      <c r="P674">
        <f t="shared" si="567"/>
        <v>1.5705869096434246</v>
      </c>
      <c r="Q674">
        <f t="shared" si="545"/>
        <v>3726.7292435457148</v>
      </c>
      <c r="R674">
        <f t="shared" si="568"/>
        <v>1.5705279949825621</v>
      </c>
      <c r="S674">
        <f t="shared" si="546"/>
        <v>1.9031128786168978E-2</v>
      </c>
      <c r="T674">
        <f t="shared" si="569"/>
        <v>-1.5517640490268305</v>
      </c>
      <c r="U674">
        <f t="shared" si="547"/>
        <v>1.2211684887006609E-2</v>
      </c>
      <c r="V674">
        <f t="shared" si="570"/>
        <v>-1.5585843383757649</v>
      </c>
      <c r="X674">
        <f t="shared" si="548"/>
        <v>-86.597842357336106</v>
      </c>
      <c r="Y674">
        <f t="shared" si="549"/>
        <v>-179.39472247488837</v>
      </c>
      <c r="Z674">
        <f t="shared" si="579"/>
        <v>0.60527752511163158</v>
      </c>
      <c r="AC674">
        <v>1</v>
      </c>
      <c r="AD674">
        <f t="shared" si="550"/>
        <v>4775.1579961470006</v>
      </c>
      <c r="AE674">
        <f t="shared" si="551"/>
        <v>-24.110573550350278</v>
      </c>
      <c r="AF674">
        <f t="shared" si="552"/>
        <v>0.29445268262508006</v>
      </c>
      <c r="AG674">
        <f t="shared" si="553"/>
        <v>2.3769042917338878</v>
      </c>
      <c r="AH674">
        <f t="shared" si="554"/>
        <v>-198.02341492753885</v>
      </c>
      <c r="AJ674">
        <f t="shared" si="571"/>
        <v>22100</v>
      </c>
      <c r="AK674">
        <f t="shared" si="555"/>
        <v>1161045.0307041768</v>
      </c>
      <c r="AL674">
        <v>49</v>
      </c>
      <c r="AM674">
        <f t="shared" si="556"/>
        <v>3726.7291093798081</v>
      </c>
      <c r="AN674">
        <f t="shared" si="557"/>
        <v>311.56943259498496</v>
      </c>
      <c r="AO674">
        <f t="shared" si="558"/>
        <v>-1.8335375613020828</v>
      </c>
      <c r="AQ674">
        <f t="shared" si="559"/>
        <v>2.603082042370153E-5</v>
      </c>
      <c r="AR674">
        <f t="shared" si="560"/>
        <v>-0.51020408030455</v>
      </c>
      <c r="AT674">
        <f t="shared" si="561"/>
        <v>-101.03229241910248</v>
      </c>
      <c r="AU674">
        <f t="shared" si="562"/>
        <v>-1.2178609800896929</v>
      </c>
      <c r="AV674">
        <f t="shared" si="580"/>
        <v>-3.1295390619140142</v>
      </c>
      <c r="AW674">
        <f t="shared" si="581"/>
        <v>313.10864354674743</v>
      </c>
      <c r="AX674">
        <f t="shared" si="582"/>
        <v>-373.47880625881857</v>
      </c>
      <c r="AY674">
        <f t="shared" si="590"/>
        <v>-0.87310046608887304</v>
      </c>
      <c r="BA674">
        <f t="shared" si="572"/>
        <v>0.20731871991348666</v>
      </c>
      <c r="BB674">
        <f t="shared" si="583"/>
        <v>-13.667229627387673</v>
      </c>
      <c r="BC674">
        <f t="shared" si="584"/>
        <v>-2.2564385958251414</v>
      </c>
      <c r="BD674">
        <f t="shared" si="573"/>
        <v>-309.28440841893536</v>
      </c>
      <c r="BF674">
        <f t="shared" si="574"/>
        <v>-96.328030881424638</v>
      </c>
      <c r="BG674">
        <f t="shared" si="575"/>
        <v>-220.44192248305487</v>
      </c>
      <c r="BH674">
        <f t="shared" si="585"/>
        <v>-40.441922483054867</v>
      </c>
      <c r="BI674">
        <f t="shared" si="586"/>
        <v>-40.441922483054867</v>
      </c>
      <c r="BJ674">
        <f t="shared" si="576"/>
        <v>0</v>
      </c>
      <c r="BK674">
        <f t="shared" si="587"/>
        <v>0</v>
      </c>
      <c r="BM674">
        <f t="shared" si="588"/>
        <v>-82.660801254036969</v>
      </c>
      <c r="BN674">
        <f t="shared" si="577"/>
        <v>-91.157514064119525</v>
      </c>
      <c r="BQ674" s="47">
        <f t="shared" si="589"/>
        <v>3.2347311728974617</v>
      </c>
    </row>
    <row r="675" spans="1:69">
      <c r="A675">
        <f t="shared" si="563"/>
        <v>9900000</v>
      </c>
      <c r="B675">
        <f t="shared" si="578"/>
        <v>9900</v>
      </c>
      <c r="C675">
        <f t="shared" si="539"/>
        <v>49.772874222398556</v>
      </c>
      <c r="D675">
        <f t="shared" si="540"/>
        <v>1.5507037099963903</v>
      </c>
      <c r="F675">
        <f t="shared" si="541"/>
        <v>9.7603421000615551E-8</v>
      </c>
      <c r="G675">
        <f t="shared" si="542"/>
        <v>9.4192994486603482E-5</v>
      </c>
      <c r="H675">
        <f t="shared" si="564"/>
        <v>-3.1414984570055138</v>
      </c>
      <c r="J675">
        <f t="shared" si="565"/>
        <v>15</v>
      </c>
      <c r="M675">
        <f t="shared" si="543"/>
        <v>1.5211887050363285E-4</v>
      </c>
      <c r="N675">
        <f t="shared" si="566"/>
        <v>-1.5707963250000001</v>
      </c>
      <c r="O675">
        <f t="shared" si="544"/>
        <v>4823.8842017994148</v>
      </c>
      <c r="P675">
        <f t="shared" si="567"/>
        <v>1.570589024968126</v>
      </c>
      <c r="Q675">
        <f t="shared" si="545"/>
        <v>3764.7570902453995</v>
      </c>
      <c r="R675">
        <f t="shared" si="568"/>
        <v>1.5705307054047808</v>
      </c>
      <c r="S675">
        <f t="shared" si="546"/>
        <v>1.8838963735001268E-2</v>
      </c>
      <c r="T675">
        <f t="shared" si="569"/>
        <v>-1.5519562485366027</v>
      </c>
      <c r="U675">
        <f t="shared" si="547"/>
        <v>1.2088352651536755E-2</v>
      </c>
      <c r="V675">
        <f t="shared" si="570"/>
        <v>-1.5587076797156556</v>
      </c>
      <c r="X675">
        <f t="shared" si="548"/>
        <v>-86.774198465941765</v>
      </c>
      <c r="Y675">
        <f t="shared" si="549"/>
        <v>-179.40083625416091</v>
      </c>
      <c r="Z675">
        <f t="shared" si="579"/>
        <v>0.5991637458390926</v>
      </c>
      <c r="AC675">
        <v>1</v>
      </c>
      <c r="AD675">
        <f t="shared" si="550"/>
        <v>4823.8840981485</v>
      </c>
      <c r="AE675">
        <f t="shared" si="551"/>
        <v>-24.605136543834142</v>
      </c>
      <c r="AF675">
        <f t="shared" si="552"/>
        <v>0.29745730183554003</v>
      </c>
      <c r="AG675">
        <f t="shared" si="553"/>
        <v>2.3291355211096678</v>
      </c>
      <c r="AH675">
        <f t="shared" si="554"/>
        <v>-196.02375590105947</v>
      </c>
      <c r="AJ675">
        <f t="shared" si="571"/>
        <v>22100</v>
      </c>
      <c r="AK675">
        <f t="shared" si="555"/>
        <v>1172892.4289766685</v>
      </c>
      <c r="AL675">
        <v>50</v>
      </c>
      <c r="AM675">
        <f t="shared" si="556"/>
        <v>3764.756957434704</v>
      </c>
      <c r="AN675">
        <f t="shared" si="557"/>
        <v>311.5683311947256</v>
      </c>
      <c r="AO675">
        <f t="shared" si="558"/>
        <v>-1.732272099898716</v>
      </c>
      <c r="AQ675">
        <f t="shared" si="559"/>
        <v>2.550760120011325E-5</v>
      </c>
      <c r="AR675">
        <f t="shared" si="560"/>
        <v>-0.50505050376224236</v>
      </c>
      <c r="AT675">
        <f t="shared" si="561"/>
        <v>-99.001837256536902</v>
      </c>
      <c r="AU675">
        <f t="shared" si="562"/>
        <v>-1.1813311640582431</v>
      </c>
      <c r="AV675">
        <f t="shared" si="580"/>
        <v>-3.1296608032868605</v>
      </c>
      <c r="AW675">
        <f t="shared" si="581"/>
        <v>313.12225413538323</v>
      </c>
      <c r="AX675">
        <f t="shared" si="582"/>
        <v>-369.62349143254096</v>
      </c>
      <c r="AY675">
        <f t="shared" si="590"/>
        <v>-0.86796591494746522</v>
      </c>
      <c r="BA675">
        <f t="shared" si="572"/>
        <v>0.20438456414552034</v>
      </c>
      <c r="BB675">
        <f t="shared" si="583"/>
        <v>-13.791038135478548</v>
      </c>
      <c r="BC675">
        <f t="shared" si="584"/>
        <v>-2.2616948883393952</v>
      </c>
      <c r="BD675">
        <f t="shared" si="573"/>
        <v>-309.58557179623244</v>
      </c>
      <c r="BF675">
        <f t="shared" si="574"/>
        <v>-96.540057743822217</v>
      </c>
      <c r="BG675">
        <f t="shared" si="575"/>
        <v>-220.73139697558605</v>
      </c>
      <c r="BH675">
        <f t="shared" si="585"/>
        <v>-40.731396975586051</v>
      </c>
      <c r="BI675">
        <f t="shared" si="586"/>
        <v>-40.731396975586051</v>
      </c>
      <c r="BJ675">
        <f t="shared" si="576"/>
        <v>0</v>
      </c>
      <c r="BK675">
        <f t="shared" si="587"/>
        <v>0</v>
      </c>
      <c r="BM675">
        <f t="shared" si="588"/>
        <v>-82.749019608343673</v>
      </c>
      <c r="BN675">
        <f t="shared" si="577"/>
        <v>-91.145825179353608</v>
      </c>
      <c r="BQ675" s="47">
        <f t="shared" si="589"/>
        <v>3.1109226648065871</v>
      </c>
    </row>
    <row r="676" spans="1:69">
      <c r="A676">
        <f t="shared" si="563"/>
        <v>10000000</v>
      </c>
      <c r="B676">
        <f t="shared" si="578"/>
        <v>10000</v>
      </c>
      <c r="C676">
        <f t="shared" si="539"/>
        <v>50.275428599910619</v>
      </c>
      <c r="D676">
        <f t="shared" si="540"/>
        <v>1.550904582899177</v>
      </c>
      <c r="F676">
        <f t="shared" si="541"/>
        <v>9.5661112742000393E-8</v>
      </c>
      <c r="G676">
        <f t="shared" si="542"/>
        <v>9.3251064362843023E-5</v>
      </c>
      <c r="H676">
        <f t="shared" si="564"/>
        <v>-3.1414993989356375</v>
      </c>
      <c r="J676">
        <f t="shared" si="565"/>
        <v>15</v>
      </c>
      <c r="M676">
        <f t="shared" si="543"/>
        <v>1.5059768179859651E-4</v>
      </c>
      <c r="N676">
        <f t="shared" si="566"/>
        <v>-1.5707963250000001</v>
      </c>
      <c r="O676">
        <f t="shared" si="544"/>
        <v>4872.6103027644049</v>
      </c>
      <c r="P676">
        <f t="shared" si="567"/>
        <v>1.5705910979863353</v>
      </c>
      <c r="Q676">
        <f t="shared" si="545"/>
        <v>3802.7849369721885</v>
      </c>
      <c r="R676">
        <f t="shared" si="568"/>
        <v>1.5705333616185591</v>
      </c>
      <c r="S676">
        <f t="shared" si="546"/>
        <v>1.865063995914952E-2</v>
      </c>
      <c r="T676">
        <f t="shared" si="569"/>
        <v>-1.5521446054068908</v>
      </c>
      <c r="U676">
        <f t="shared" si="547"/>
        <v>1.1967486525475635E-2</v>
      </c>
      <c r="V676">
        <f t="shared" si="570"/>
        <v>-1.5588285545856415</v>
      </c>
      <c r="X676">
        <f t="shared" si="548"/>
        <v>-86.948782292599063</v>
      </c>
      <c r="Y676">
        <f t="shared" si="549"/>
        <v>-179.4068277618162</v>
      </c>
      <c r="Z676">
        <f t="shared" si="579"/>
        <v>0.59317223818379716</v>
      </c>
      <c r="AC676">
        <v>1</v>
      </c>
      <c r="AD676">
        <f t="shared" si="550"/>
        <v>4872.6102001500003</v>
      </c>
      <c r="AE676">
        <f t="shared" si="551"/>
        <v>-25.10472048141429</v>
      </c>
      <c r="AF676">
        <f t="shared" si="552"/>
        <v>0.300461921046</v>
      </c>
      <c r="AG676">
        <f t="shared" si="553"/>
        <v>2.282792362491501</v>
      </c>
      <c r="AH676">
        <f t="shared" si="554"/>
        <v>-194.06407299289535</v>
      </c>
      <c r="AJ676">
        <f t="shared" si="571"/>
        <v>22100</v>
      </c>
      <c r="AK676">
        <f t="shared" si="555"/>
        <v>1184739.82724916</v>
      </c>
      <c r="AL676">
        <v>51</v>
      </c>
      <c r="AM676">
        <f t="shared" si="556"/>
        <v>3802.7848054895999</v>
      </c>
      <c r="AN676">
        <f t="shared" si="557"/>
        <v>311.56722573426555</v>
      </c>
      <c r="AO676">
        <f t="shared" si="558"/>
        <v>-1.6330325814355211</v>
      </c>
      <c r="AQ676">
        <f t="shared" si="559"/>
        <v>2.4999999937500001E-5</v>
      </c>
      <c r="AR676">
        <f t="shared" si="560"/>
        <v>-0.49999999875000001</v>
      </c>
      <c r="AT676">
        <f t="shared" si="561"/>
        <v>-97.03197918405867</v>
      </c>
      <c r="AU676">
        <f t="shared" si="562"/>
        <v>-1.1462477802049535</v>
      </c>
      <c r="AV676">
        <f t="shared" si="580"/>
        <v>-3.1297801101891412</v>
      </c>
      <c r="AW676">
        <f t="shared" si="581"/>
        <v>313.13496674564709</v>
      </c>
      <c r="AX676">
        <f t="shared" si="582"/>
        <v>-365.84526551740339</v>
      </c>
      <c r="AY676">
        <f t="shared" si="590"/>
        <v>-0.86287433797293411</v>
      </c>
      <c r="BA676">
        <f t="shared" si="572"/>
        <v>0.2015107933871052</v>
      </c>
      <c r="BB676">
        <f t="shared" si="583"/>
        <v>-13.914033741532208</v>
      </c>
      <c r="BC676">
        <f t="shared" si="584"/>
        <v>-2.2669057722162069</v>
      </c>
      <c r="BD676">
        <f t="shared" si="573"/>
        <v>-309.88413345024765</v>
      </c>
      <c r="BF676">
        <f t="shared" si="574"/>
        <v>-96.750384360534412</v>
      </c>
      <c r="BG676">
        <f t="shared" si="575"/>
        <v>-221.01850342866064</v>
      </c>
      <c r="BH676">
        <f t="shared" si="585"/>
        <v>-41.018503428660637</v>
      </c>
      <c r="BI676">
        <f t="shared" si="586"/>
        <v>-41.018503428660637</v>
      </c>
      <c r="BJ676">
        <f t="shared" si="576"/>
        <v>0</v>
      </c>
      <c r="BK676">
        <f t="shared" si="587"/>
        <v>0</v>
      </c>
      <c r="BM676">
        <f t="shared" si="588"/>
        <v>-82.836350619002204</v>
      </c>
      <c r="BN676">
        <f t="shared" si="577"/>
        <v>-91.134369978412977</v>
      </c>
      <c r="BQ676" s="47">
        <f t="shared" si="589"/>
        <v>2.9879270587529287</v>
      </c>
    </row>
    <row r="677" spans="1:69">
      <c r="BD677">
        <f t="shared" si="573"/>
        <v>-180</v>
      </c>
    </row>
    <row r="678" spans="1:69">
      <c r="BD678">
        <f t="shared" si="573"/>
        <v>-180</v>
      </c>
    </row>
    <row r="679" spans="1:69">
      <c r="C679" s="457" t="s">
        <v>616</v>
      </c>
      <c r="D679" s="457"/>
      <c r="E679" s="457"/>
      <c r="F679" s="457"/>
      <c r="G679" s="457"/>
      <c r="H679" s="457"/>
      <c r="J679" s="6" t="s">
        <v>617</v>
      </c>
      <c r="M679" s="6" t="s">
        <v>618</v>
      </c>
      <c r="N679" s="4"/>
      <c r="O679" s="4"/>
      <c r="P679" s="4"/>
      <c r="Q679" s="4"/>
      <c r="R679" s="4"/>
      <c r="S679" s="4"/>
      <c r="T679" s="4"/>
      <c r="U679" s="4"/>
      <c r="V679" s="4"/>
      <c r="X679" s="6" t="s">
        <v>619</v>
      </c>
      <c r="Y679" s="4"/>
      <c r="Z679" s="4"/>
      <c r="AD679" s="4"/>
      <c r="AE679" s="4"/>
      <c r="AF679" s="4"/>
      <c r="AG679" s="4"/>
      <c r="AH679" s="4"/>
      <c r="AJ679" s="6" t="s">
        <v>621</v>
      </c>
      <c r="AK679" s="4"/>
      <c r="AL679" s="4"/>
      <c r="AM679" s="4"/>
      <c r="AN679" s="4"/>
      <c r="AO679" s="4"/>
      <c r="AQ679" s="6" t="s">
        <v>653</v>
      </c>
      <c r="AR679" s="4"/>
      <c r="AT679" s="6" t="s">
        <v>623</v>
      </c>
      <c r="AU679" s="4"/>
      <c r="AV679" s="4"/>
      <c r="AW679" s="4"/>
      <c r="AX679" s="4"/>
      <c r="AY679" s="4"/>
      <c r="BA679" s="6" t="s">
        <v>624</v>
      </c>
      <c r="BB679" s="4"/>
      <c r="BC679" s="4"/>
      <c r="BF679" s="6" t="s">
        <v>654</v>
      </c>
      <c r="BG679" s="4"/>
      <c r="BH679" s="4"/>
      <c r="BJ679" t="s">
        <v>626</v>
      </c>
      <c r="BK679" s="3">
        <f>SUM(BK683:BK1300)</f>
        <v>0</v>
      </c>
    </row>
    <row r="680" spans="1:69">
      <c r="C680" s="2" t="s">
        <v>628</v>
      </c>
      <c r="D680" s="2"/>
      <c r="E680" s="2"/>
      <c r="F680" s="2" t="s">
        <v>629</v>
      </c>
      <c r="G680" s="2"/>
      <c r="H680" s="2"/>
      <c r="M680" s="2" t="s">
        <v>630</v>
      </c>
      <c r="N680" s="2"/>
      <c r="O680" s="2" t="s">
        <v>429</v>
      </c>
      <c r="P680" s="2"/>
      <c r="Q680" s="2" t="s">
        <v>431</v>
      </c>
      <c r="R680" s="2"/>
      <c r="S680" s="2" t="s">
        <v>432</v>
      </c>
      <c r="T680" s="2"/>
      <c r="U680" s="2" t="s">
        <v>434</v>
      </c>
      <c r="V680" s="2"/>
      <c r="AD680" s="2"/>
      <c r="AE680" s="2" t="s">
        <v>632</v>
      </c>
      <c r="AF680" s="2"/>
      <c r="AG680" s="2" t="s">
        <v>633</v>
      </c>
      <c r="AH680" s="2"/>
      <c r="AJ680" s="2" t="s">
        <v>631</v>
      </c>
      <c r="AK680" s="2"/>
      <c r="AL680" s="2" t="s">
        <v>632</v>
      </c>
      <c r="AM680" s="2"/>
      <c r="AN680" s="2" t="s">
        <v>633</v>
      </c>
      <c r="AO680" s="2"/>
      <c r="AQ680" s="2" t="s">
        <v>634</v>
      </c>
      <c r="AR680" s="2"/>
      <c r="AT680" s="2" t="s">
        <v>631</v>
      </c>
      <c r="AU680" s="2"/>
      <c r="AV680" s="2"/>
      <c r="AW680" s="2" t="s">
        <v>632</v>
      </c>
      <c r="AX680" s="2"/>
      <c r="AY680" s="2"/>
    </row>
    <row r="681" spans="1:69">
      <c r="A681" s="2" t="s">
        <v>635</v>
      </c>
      <c r="B681" s="2"/>
      <c r="C681" s="2" t="s">
        <v>636</v>
      </c>
      <c r="D681" s="2" t="s">
        <v>637</v>
      </c>
      <c r="E681" s="2"/>
      <c r="F681" s="2" t="s">
        <v>636</v>
      </c>
      <c r="G681" s="2"/>
      <c r="H681" s="2" t="s">
        <v>637</v>
      </c>
      <c r="J681" s="2" t="s">
        <v>636</v>
      </c>
      <c r="M681" s="2" t="s">
        <v>636</v>
      </c>
      <c r="N681" s="2" t="s">
        <v>637</v>
      </c>
      <c r="O681" s="2" t="s">
        <v>636</v>
      </c>
      <c r="P681" s="2" t="s">
        <v>637</v>
      </c>
      <c r="Q681" s="2" t="s">
        <v>636</v>
      </c>
      <c r="R681" s="2" t="s">
        <v>637</v>
      </c>
      <c r="S681" s="2" t="s">
        <v>636</v>
      </c>
      <c r="T681" s="2" t="s">
        <v>637</v>
      </c>
      <c r="U681" s="2" t="s">
        <v>636</v>
      </c>
      <c r="V681" s="2" t="s">
        <v>637</v>
      </c>
      <c r="X681" s="2" t="s">
        <v>638</v>
      </c>
      <c r="Y681" s="2" t="s">
        <v>639</v>
      </c>
      <c r="Z681" s="2" t="s">
        <v>640</v>
      </c>
      <c r="AC681" s="2" t="s">
        <v>641</v>
      </c>
      <c r="AD681" s="2" t="s">
        <v>642</v>
      </c>
      <c r="AE681" s="2" t="s">
        <v>641</v>
      </c>
      <c r="AF681" s="2" t="s">
        <v>642</v>
      </c>
      <c r="AG681" s="2" t="s">
        <v>643</v>
      </c>
      <c r="AH681" s="2" t="s">
        <v>644</v>
      </c>
      <c r="AJ681" s="2" t="s">
        <v>641</v>
      </c>
      <c r="AK681" s="2" t="s">
        <v>642</v>
      </c>
      <c r="AL681" s="2" t="s">
        <v>641</v>
      </c>
      <c r="AM681" s="2" t="s">
        <v>642</v>
      </c>
      <c r="AN681" s="2" t="s">
        <v>645</v>
      </c>
      <c r="AO681" s="2" t="s">
        <v>646</v>
      </c>
      <c r="AQ681" s="2" t="s">
        <v>641</v>
      </c>
      <c r="AR681" s="2" t="s">
        <v>642</v>
      </c>
      <c r="AT681" s="2" t="s">
        <v>641</v>
      </c>
      <c r="AU681" s="2" t="s">
        <v>642</v>
      </c>
      <c r="AV681" s="2" t="s">
        <v>637</v>
      </c>
      <c r="AW681" s="2" t="s">
        <v>641</v>
      </c>
      <c r="AX681" s="2" t="s">
        <v>642</v>
      </c>
      <c r="AY681" s="2" t="s">
        <v>637</v>
      </c>
      <c r="BA681" s="2" t="s">
        <v>655</v>
      </c>
      <c r="BB681" s="2" t="s">
        <v>656</v>
      </c>
      <c r="BC681" s="2" t="s">
        <v>657</v>
      </c>
      <c r="BF681" s="2" t="s">
        <v>638</v>
      </c>
      <c r="BG681" s="2" t="s">
        <v>639</v>
      </c>
      <c r="BH681" s="2" t="s">
        <v>650</v>
      </c>
    </row>
    <row r="682" spans="1:69">
      <c r="A682">
        <f>Fesr</f>
        <v>198943.67909219547</v>
      </c>
      <c r="B682">
        <f t="shared" ref="B682:B692" si="591">A682/1000</f>
        <v>198.94367909219548</v>
      </c>
      <c r="C682">
        <f t="shared" ref="C682:C686" si="592">SQRT((A682/Fesr)^2+1)</f>
        <v>1.4142135623730951</v>
      </c>
      <c r="D682">
        <f t="shared" ref="D682:D686" si="593">ATAN(A682/Fesr)</f>
        <v>0.78539816339744828</v>
      </c>
      <c r="F682">
        <f t="shared" ref="F682:F687" si="594">(Ro/(Ro+Rdcr))/SQRT((A682/(Q*Fo))^2+(1-(A682^2/Fo^2))^2)</f>
        <v>2.4175596339724427E-4</v>
      </c>
      <c r="G682">
        <f t="shared" ref="G682:G687" si="595">-ATAN(A682*Fo/(Q*(Fo^2-A682^2)))</f>
        <v>4.68842853389035E-3</v>
      </c>
      <c r="H682">
        <f t="shared" ref="H682:H687" si="596">IF(G682&gt;0,G682-Pi,G682)</f>
        <v>-3.1369042214661098</v>
      </c>
      <c r="J682">
        <f t="shared" ref="J682:J688" si="597">Vin/Vramp</f>
        <v>15</v>
      </c>
      <c r="M682">
        <f t="shared" ref="M682:M687" si="598">1/(2*Pi*_Rfb1*(Cc1ea_u+Cc2ea_u)*A682)</f>
        <v>7.5698651239281536E-3</v>
      </c>
      <c r="N682">
        <f t="shared" ref="N682:N688" si="599">-Pi/2</f>
        <v>-1.5707963250000001</v>
      </c>
      <c r="O682">
        <f t="shared" ref="O682:O687" si="600">SQRT(1+(A682/Fz1_u)^2)</f>
        <v>96.942657825386647</v>
      </c>
      <c r="P682">
        <f t="shared" ref="P682:P687" si="601">ATAN(A682/Fz1_u)</f>
        <v>1.5604807674964432</v>
      </c>
      <c r="Q682">
        <f t="shared" ref="Q682:Q687" si="602">SQRT(1+(A682/Fz2_u)^2)</f>
        <v>75.660608747220621</v>
      </c>
      <c r="R682">
        <f t="shared" ref="R682:R687" si="603">ATAN(A682/Fz2_u)</f>
        <v>1.557579024775648</v>
      </c>
      <c r="S682">
        <f t="shared" ref="S682:S687" si="604">1/SQRT(1+(A682/Fp1_u)^2)</f>
        <v>0.68399800813366873</v>
      </c>
      <c r="T682">
        <f t="shared" ref="T682:T687" si="605">-ATAN(A682/Fp1_u)</f>
        <v>-0.81756707677098395</v>
      </c>
      <c r="U682">
        <f t="shared" ref="U682:U687" si="606">1/SQRT(1+(A682/Fp2_u)^2)</f>
        <v>0.51550008337633324</v>
      </c>
      <c r="V682">
        <f t="shared" ref="V682:V687" si="607">-ATAN(A682/Fp2_u)</f>
        <v>-1.0292051768361676</v>
      </c>
      <c r="X682">
        <f t="shared" ref="X682:X686" si="608">20*LOG(C682*J682*O682*Q682*F682*M682*S682*U682)</f>
        <v>-19.965201510030681</v>
      </c>
      <c r="Y682">
        <f t="shared" ref="Y682:Y686" si="609">(180/Pi)*(D682+H682+N682+P682+R682+T682+V682)</f>
        <v>-151.89196218442572</v>
      </c>
      <c r="Z682">
        <f t="shared" ref="Z682:Z687" si="610">Y682+180</f>
        <v>28.108037815574278</v>
      </c>
      <c r="AC682">
        <v>1</v>
      </c>
      <c r="AD682">
        <f t="shared" ref="AD682:AD687" si="611">Rcea1_u*Cc1ea_u*A682*2*Pi</f>
        <v>96.9375</v>
      </c>
      <c r="AE682">
        <f t="shared" ref="AE682:AE687" si="612">-Rcea1_u*Cc1ea_u*Cc2ea_u*(A682*2*Pi)^2</f>
        <v>-9.9360937500000013E-3</v>
      </c>
      <c r="AF682">
        <f t="shared" ref="AF682:AF687" si="613">(Cc2ea_u+Cc1ea_u)*A682*2*Pi</f>
        <v>5.9775000000000002E-3</v>
      </c>
      <c r="AG682">
        <f t="shared" ref="AG682:AG687" si="614">AC682*AE682/(AE682^2+AF682^2)+AD682*AF682/(AE682^2+AF682^2)</f>
        <v>4235.6298107633957</v>
      </c>
      <c r="AH682">
        <f t="shared" ref="AH682:AH687" si="615">AD682*AE682/(AE682^2+AF682^2)-AC682*AF682/(AE682^2+AF682^2)</f>
        <v>-7207.9656863303835</v>
      </c>
      <c r="AJ682">
        <f t="shared" ref="AJ682:AJ688" si="616">_Rfb1</f>
        <v>22100</v>
      </c>
      <c r="AK682">
        <f t="shared" ref="AK682:AK687" si="617">_Rfb1*Rcea2_u*Cc3ea_u*A682*2*Pi</f>
        <v>23569.649999999998</v>
      </c>
      <c r="AL682">
        <v>1</v>
      </c>
      <c r="AM682">
        <f t="shared" ref="AM682:AM687" si="618">(_Rfb1+Rcea2_u)*Cc3ea_u*A682*2*Pi</f>
        <v>75.653999999999996</v>
      </c>
      <c r="AN682">
        <f t="shared" ref="AN682:AN687" si="619">AJ682*AL682/(AL682^2+AM682^2)+AK682*AM682/(AL682^2+AM682^2)</f>
        <v>315.35148236847141</v>
      </c>
      <c r="AO682">
        <f t="shared" ref="AO682:AO687" si="620">AK682*AL682/(AL682^2+AM682^2)-AJ682*AM682/(AL682^2+AM682^2)</f>
        <v>-287.95104710433719</v>
      </c>
      <c r="AQ682">
        <f t="shared" ref="AQ682:AQ687" si="621">Eadcg/(1+(Eadcg*A682/GBP)^2)</f>
        <v>6.3165069037502922E-2</v>
      </c>
      <c r="AR682">
        <f t="shared" ref="AR682:AR687" si="622">-(A682*Eadcg*Eadcg/GBP)/(1+(Eadcg*A682/GBP)^2)</f>
        <v>-25.132582448866707</v>
      </c>
      <c r="AT682">
        <f t="shared" ref="AT682:AT687" si="623">-AR682*AH682+AG682*AQ682</f>
        <v>-180887.24805088626</v>
      </c>
      <c r="AU682">
        <f t="shared" ref="AU682:AU687" si="624">AQ682*AH682+AG682*AR682</f>
        <v>-106907.60709208575</v>
      </c>
      <c r="AV682">
        <f t="shared" ref="AV682:AV687" si="625">IF(AT682&lt;0,ATAN(AU682/AT682)+Pi,ATAN(AU682/AT682))</f>
        <v>3.6753815094885578</v>
      </c>
      <c r="AW682">
        <f t="shared" ref="AW682:AW687" si="626">AG682-AH682*AO682/_Rfb2+AG682*AN682/_Rfb2+AN682-AO682*AR682+AQ682*AN682</f>
        <v>-2841.8042045690058</v>
      </c>
      <c r="AX682">
        <f t="shared" ref="AX682:AX687" si="627">AH682+AH682*AN682/_Rfb2+AG682*AO682/_Rfb2+AO682+AO682*AQ682+AN682*AR682</f>
        <v>-16269.41532993118</v>
      </c>
      <c r="AY682">
        <f t="shared" ref="AY682:AY687" si="628">IF(AW682&lt;0,ATAN(AX682/AW682)+Pi,ATAN(AX682/AW682))</f>
        <v>4.5394620056187369</v>
      </c>
      <c r="BA682">
        <f t="shared" ref="BA682:BA687" si="629">SQRT(AT682^2+AU682^2)/SQRT(AW682^2+AX682^2)</f>
        <v>12.722266274830321</v>
      </c>
      <c r="BB682">
        <f t="shared" ref="BB682:BB687" si="630">20*LOG(BA682)</f>
        <v>22.091289620878953</v>
      </c>
      <c r="BC682">
        <f t="shared" ref="BC682:BC687" si="631">AV682-AY682</f>
        <v>-0.86408049613017912</v>
      </c>
      <c r="BD682">
        <f t="shared" ref="BD682:BD687" si="632">BC682*180/Pi</f>
        <v>-49.508165644400854</v>
      </c>
      <c r="BF682">
        <f t="shared" ref="BF682:BF686" si="633">20*LOG(BA682*J682*F682*C682)</f>
        <v>-23.709041328680541</v>
      </c>
      <c r="BG682">
        <f t="shared" ref="BG682:BG686" si="634">(180/Pi)*(D682+H682+BC682)</f>
        <v>-184.23953842513328</v>
      </c>
      <c r="BH682">
        <f t="shared" ref="BH682:BH687" si="635">IF(BG682&gt;180,BG682-180,BG682+180)</f>
        <v>-4.2395384251332757</v>
      </c>
      <c r="BI682">
        <f t="shared" ref="BI682:BI687" si="636">IF(BH682&gt;180,BH682-360,BH682)</f>
        <v>-4.2395384251332757</v>
      </c>
    </row>
    <row r="683" spans="1:69">
      <c r="A683">
        <f>Fo+1</f>
        <v>3121.625346420803</v>
      </c>
      <c r="B683">
        <f t="shared" si="591"/>
        <v>3.121625346420803</v>
      </c>
      <c r="C683">
        <f t="shared" si="592"/>
        <v>1.0001230961703014</v>
      </c>
      <c r="D683">
        <f t="shared" si="593"/>
        <v>1.5689712833898195E-2</v>
      </c>
      <c r="F683">
        <f t="shared" si="594"/>
        <v>3.2862443657823905</v>
      </c>
      <c r="G683">
        <f t="shared" si="595"/>
        <v>1.5686519257722209</v>
      </c>
      <c r="H683">
        <f t="shared" si="596"/>
        <v>-1.5729407242277793</v>
      </c>
      <c r="J683">
        <f t="shared" si="597"/>
        <v>15</v>
      </c>
      <c r="M683">
        <f t="shared" si="598"/>
        <v>0.48243355651654024</v>
      </c>
      <c r="N683">
        <f t="shared" si="599"/>
        <v>-1.5707963250000001</v>
      </c>
      <c r="O683">
        <f t="shared" si="600"/>
        <v>1.8203246963303734</v>
      </c>
      <c r="P683">
        <f t="shared" si="601"/>
        <v>0.98920713660886173</v>
      </c>
      <c r="Q683">
        <f t="shared" si="602"/>
        <v>1.5521518648695953</v>
      </c>
      <c r="R683">
        <f t="shared" si="603"/>
        <v>0.87073204059737097</v>
      </c>
      <c r="S683">
        <f t="shared" si="604"/>
        <v>0.99986000846145318</v>
      </c>
      <c r="T683">
        <f t="shared" si="605"/>
        <v>-1.6732890063616754E-2</v>
      </c>
      <c r="U683">
        <f t="shared" si="606"/>
        <v>0.9996600289417984</v>
      </c>
      <c r="V683">
        <f t="shared" si="607"/>
        <v>-2.6076438535010675E-2</v>
      </c>
      <c r="X683">
        <f t="shared" si="608"/>
        <v>36.543133526682595</v>
      </c>
      <c r="Y683">
        <f t="shared" si="609"/>
        <v>-75.110039425871989</v>
      </c>
      <c r="Z683">
        <f t="shared" si="610"/>
        <v>104.88996057412801</v>
      </c>
      <c r="AC683">
        <v>1</v>
      </c>
      <c r="AD683">
        <f t="shared" si="611"/>
        <v>1.5210463504016782</v>
      </c>
      <c r="AE683">
        <f t="shared" si="612"/>
        <v>-2.4463407350839683E-6</v>
      </c>
      <c r="AF683">
        <f t="shared" si="613"/>
        <v>9.3792954837147973E-5</v>
      </c>
      <c r="AG683">
        <f t="shared" si="614"/>
        <v>15928.143922577525</v>
      </c>
      <c r="AH683">
        <f t="shared" si="615"/>
        <v>-11077.225033756855</v>
      </c>
      <c r="AJ683">
        <f t="shared" si="616"/>
        <v>22100</v>
      </c>
      <c r="AK683">
        <f t="shared" si="617"/>
        <v>369.83138736551814</v>
      </c>
      <c r="AL683">
        <v>1</v>
      </c>
      <c r="AM683">
        <f t="shared" si="618"/>
        <v>1.187086943580024</v>
      </c>
      <c r="AN683">
        <f t="shared" si="619"/>
        <v>9355.492299387608</v>
      </c>
      <c r="AO683">
        <f t="shared" si="620"/>
        <v>-10735.951372000967</v>
      </c>
      <c r="AQ683">
        <f t="shared" si="621"/>
        <v>250.1364543531121</v>
      </c>
      <c r="AR683">
        <f t="shared" si="622"/>
        <v>-1561.66459194501</v>
      </c>
      <c r="AT683">
        <f t="shared" si="623"/>
        <v>-13314700.667005334</v>
      </c>
      <c r="AU683">
        <f t="shared" si="624"/>
        <v>-27645236.17330889</v>
      </c>
      <c r="AV683">
        <f t="shared" si="625"/>
        <v>4.263547257278292</v>
      </c>
      <c r="AW683">
        <f t="shared" si="626"/>
        <v>-14393373.476648036</v>
      </c>
      <c r="AX683">
        <f t="shared" si="627"/>
        <v>-17382648.794245735</v>
      </c>
      <c r="AY683">
        <f t="shared" si="628"/>
        <v>4.0207880694698375</v>
      </c>
      <c r="BA683">
        <f t="shared" si="629"/>
        <v>1.3596329432874952</v>
      </c>
      <c r="BB683">
        <f t="shared" si="630"/>
        <v>2.6684335759233893</v>
      </c>
      <c r="BC683">
        <f t="shared" si="631"/>
        <v>0.24275918780845451</v>
      </c>
      <c r="BD683">
        <f t="shared" si="632"/>
        <v>13.90907691534159</v>
      </c>
      <c r="BF683">
        <f t="shared" si="633"/>
        <v>36.525324981456492</v>
      </c>
      <c r="BG683">
        <f t="shared" si="634"/>
        <v>-75.314833781959848</v>
      </c>
      <c r="BH683">
        <f t="shared" si="635"/>
        <v>104.68516621804015</v>
      </c>
      <c r="BI683">
        <f t="shared" si="636"/>
        <v>104.68516621804015</v>
      </c>
    </row>
    <row r="684" spans="1:69">
      <c r="A684">
        <f>Fz1_u</f>
        <v>2052.2881144262587</v>
      </c>
      <c r="B684">
        <f t="shared" si="591"/>
        <v>2.0522881144262586</v>
      </c>
      <c r="C684">
        <f t="shared" si="592"/>
        <v>1.0000532077409325</v>
      </c>
      <c r="D684">
        <f t="shared" si="593"/>
        <v>1.0315559298453365E-2</v>
      </c>
      <c r="F684">
        <f t="shared" si="594"/>
        <v>1.6356787876937893</v>
      </c>
      <c r="G684">
        <f t="shared" si="595"/>
        <v>-0.3333719751599713</v>
      </c>
      <c r="H684">
        <f t="shared" si="596"/>
        <v>-0.3333719751599713</v>
      </c>
      <c r="J684">
        <f t="shared" si="597"/>
        <v>15</v>
      </c>
      <c r="M684">
        <f t="shared" si="598"/>
        <v>0.73380380045078542</v>
      </c>
      <c r="N684">
        <f t="shared" si="599"/>
        <v>-1.5707963250000001</v>
      </c>
      <c r="O684">
        <f t="shared" si="600"/>
        <v>1.4142135623730951</v>
      </c>
      <c r="P684">
        <f t="shared" si="601"/>
        <v>0.78539816339744828</v>
      </c>
      <c r="Q684">
        <f t="shared" si="602"/>
        <v>1.2684983892533495</v>
      </c>
      <c r="R684">
        <f t="shared" si="603"/>
        <v>0.66270042433241194</v>
      </c>
      <c r="S684">
        <f t="shared" si="604"/>
        <v>0.99993948421521728</v>
      </c>
      <c r="T684">
        <f t="shared" si="605"/>
        <v>-1.1001490367462154E-2</v>
      </c>
      <c r="U684">
        <f t="shared" si="606"/>
        <v>0.99985301168783725</v>
      </c>
      <c r="V684">
        <f t="shared" si="607"/>
        <v>-1.7145956563066497E-2</v>
      </c>
      <c r="X684">
        <f t="shared" si="608"/>
        <v>30.182142781399634</v>
      </c>
      <c r="Y684">
        <f t="shared" si="609"/>
        <v>-27.152561619086278</v>
      </c>
      <c r="Z684">
        <f t="shared" si="610"/>
        <v>152.84743838091373</v>
      </c>
      <c r="AC684">
        <v>1</v>
      </c>
      <c r="AD684">
        <f t="shared" si="611"/>
        <v>1</v>
      </c>
      <c r="AE684">
        <f t="shared" si="612"/>
        <v>-1.0573823339780785E-6</v>
      </c>
      <c r="AF684">
        <f t="shared" si="613"/>
        <v>6.1663442940038688E-5</v>
      </c>
      <c r="AG684">
        <f t="shared" si="614"/>
        <v>15934.294320844994</v>
      </c>
      <c r="AH684">
        <f t="shared" si="615"/>
        <v>-16490.299484380863</v>
      </c>
      <c r="AJ684">
        <f t="shared" si="616"/>
        <v>22100</v>
      </c>
      <c r="AK684">
        <f t="shared" si="617"/>
        <v>243.14274661508702</v>
      </c>
      <c r="AL684">
        <v>1</v>
      </c>
      <c r="AM684">
        <f t="shared" si="618"/>
        <v>0.78044100580270781</v>
      </c>
      <c r="AN684">
        <f t="shared" si="619"/>
        <v>13852.415967505051</v>
      </c>
      <c r="AO684">
        <f t="shared" si="620"/>
        <v>-10567.850703862043</v>
      </c>
      <c r="AQ684">
        <f t="shared" si="621"/>
        <v>560.30111868915742</v>
      </c>
      <c r="AR684">
        <f t="shared" si="622"/>
        <v>-2299.7986527709882</v>
      </c>
      <c r="AT684">
        <f t="shared" si="623"/>
        <v>-28996365.604477495</v>
      </c>
      <c r="AU684">
        <f t="shared" si="624"/>
        <v>-45885201.860553563</v>
      </c>
      <c r="AV684">
        <f t="shared" si="625"/>
        <v>4.1488197800521274</v>
      </c>
      <c r="AW684">
        <f t="shared" si="626"/>
        <v>-16501580.715696642</v>
      </c>
      <c r="AX684">
        <f t="shared" si="627"/>
        <v>-37900271.907255009</v>
      </c>
      <c r="AY684">
        <f t="shared" si="628"/>
        <v>4.3017469010496274</v>
      </c>
      <c r="BA684">
        <f t="shared" si="629"/>
        <v>1.3130977495825289</v>
      </c>
      <c r="BB684">
        <f t="shared" si="630"/>
        <v>2.3659411405885558</v>
      </c>
      <c r="BC684">
        <f t="shared" si="631"/>
        <v>-0.15292712099750005</v>
      </c>
      <c r="BD684">
        <f t="shared" si="632"/>
        <v>-8.7620786162553603</v>
      </c>
      <c r="BF684">
        <f t="shared" si="633"/>
        <v>30.162188897316227</v>
      </c>
      <c r="BG684">
        <f t="shared" si="634"/>
        <v>-27.271847810894016</v>
      </c>
      <c r="BH684">
        <f t="shared" si="635"/>
        <v>152.72815218910597</v>
      </c>
      <c r="BI684">
        <f t="shared" si="636"/>
        <v>152.72815218910597</v>
      </c>
    </row>
    <row r="685" spans="1:69">
      <c r="A685">
        <f>Fz2_u</f>
        <v>2629.6518239907409</v>
      </c>
      <c r="B685">
        <f t="shared" si="591"/>
        <v>2.6296518239907409</v>
      </c>
      <c r="C685">
        <f t="shared" si="592"/>
        <v>1.0000873548949247</v>
      </c>
      <c r="D685">
        <f t="shared" si="593"/>
        <v>1.3217302019248572E-2</v>
      </c>
      <c r="F685">
        <f t="shared" si="594"/>
        <v>2.5581285937059421</v>
      </c>
      <c r="G685">
        <f t="shared" si="595"/>
        <v>-0.71517698155772402</v>
      </c>
      <c r="H685">
        <f t="shared" si="596"/>
        <v>-0.71517698155772402</v>
      </c>
      <c r="J685">
        <f t="shared" si="597"/>
        <v>15</v>
      </c>
      <c r="M685">
        <f t="shared" si="598"/>
        <v>0.57269057608566043</v>
      </c>
      <c r="N685">
        <f t="shared" si="599"/>
        <v>-1.5707963250000001</v>
      </c>
      <c r="O685">
        <f t="shared" si="600"/>
        <v>1.62536102001542</v>
      </c>
      <c r="P685">
        <f t="shared" si="601"/>
        <v>0.90809590246248462</v>
      </c>
      <c r="Q685">
        <f t="shared" si="602"/>
        <v>1.4142135623730951</v>
      </c>
      <c r="R685">
        <f t="shared" si="603"/>
        <v>0.78539816339744828</v>
      </c>
      <c r="S685">
        <f t="shared" si="604"/>
        <v>0.99990065106637849</v>
      </c>
      <c r="T685">
        <f t="shared" si="605"/>
        <v>-1.4096139804938268E-2</v>
      </c>
      <c r="U685">
        <f t="shared" si="606"/>
        <v>0.99975870895935393</v>
      </c>
      <c r="V685">
        <f t="shared" si="607"/>
        <v>-2.1968192680847619E-2</v>
      </c>
      <c r="X685">
        <f t="shared" si="608"/>
        <v>34.065769779963546</v>
      </c>
      <c r="Y685">
        <f t="shared" si="609"/>
        <v>-35.255598401523869</v>
      </c>
      <c r="Z685">
        <f t="shared" si="610"/>
        <v>144.74440159847614</v>
      </c>
      <c r="AC685">
        <v>1</v>
      </c>
      <c r="AD685">
        <f t="shared" si="611"/>
        <v>1.2813268300420337</v>
      </c>
      <c r="AE685">
        <f t="shared" si="612"/>
        <v>-1.7360086721033718E-6</v>
      </c>
      <c r="AF685">
        <f t="shared" si="613"/>
        <v>7.9011023871837591E-5</v>
      </c>
      <c r="AG685">
        <f t="shared" si="614"/>
        <v>15931.288725920436</v>
      </c>
      <c r="AH685">
        <f t="shared" si="615"/>
        <v>-13006.499663299197</v>
      </c>
      <c r="AJ685">
        <f t="shared" si="616"/>
        <v>22100</v>
      </c>
      <c r="AK685">
        <f t="shared" si="617"/>
        <v>311.54532476802291</v>
      </c>
      <c r="AL685">
        <v>1</v>
      </c>
      <c r="AM685">
        <f t="shared" si="618"/>
        <v>1.0000000000000002</v>
      </c>
      <c r="AN685">
        <f t="shared" si="619"/>
        <v>11205.77266238401</v>
      </c>
      <c r="AO685">
        <f t="shared" si="620"/>
        <v>-10894.227337615988</v>
      </c>
      <c r="AQ685">
        <f t="shared" si="621"/>
        <v>348.91500686106298</v>
      </c>
      <c r="AR685">
        <f t="shared" si="622"/>
        <v>-1835.0499684198724</v>
      </c>
      <c r="AT685">
        <f t="shared" si="623"/>
        <v>-18308911.081280168</v>
      </c>
      <c r="AU685">
        <f t="shared" si="624"/>
        <v>-33772873.792646617</v>
      </c>
      <c r="AV685">
        <f t="shared" si="625"/>
        <v>4.2156166917004896</v>
      </c>
      <c r="AW685">
        <f t="shared" si="626"/>
        <v>-16045703.816201922</v>
      </c>
      <c r="AX685">
        <f t="shared" si="627"/>
        <v>-24464066.366714012</v>
      </c>
      <c r="AY685">
        <f t="shared" si="628"/>
        <v>4.1318852300094466</v>
      </c>
      <c r="BA685">
        <f t="shared" si="629"/>
        <v>1.3130814473707715</v>
      </c>
      <c r="BB685">
        <f t="shared" si="630"/>
        <v>2.3658333039166735</v>
      </c>
      <c r="BC685">
        <f t="shared" si="631"/>
        <v>8.3731461691042952E-2</v>
      </c>
      <c r="BD685">
        <f t="shared" si="632"/>
        <v>4.7974593728399926</v>
      </c>
      <c r="BF685">
        <f t="shared" si="633"/>
        <v>34.046864648760867</v>
      </c>
      <c r="BG685">
        <f t="shared" si="634"/>
        <v>-35.4218676990277</v>
      </c>
      <c r="BH685">
        <f t="shared" si="635"/>
        <v>144.5781323009723</v>
      </c>
      <c r="BI685">
        <f t="shared" si="636"/>
        <v>144.5781323009723</v>
      </c>
    </row>
    <row r="686" spans="1:69">
      <c r="A686">
        <f>Fp1_u</f>
        <v>186538.84584359633</v>
      </c>
      <c r="B686">
        <f t="shared" si="591"/>
        <v>186.53884584359633</v>
      </c>
      <c r="C686">
        <f t="shared" si="592"/>
        <v>1.3708322189785134</v>
      </c>
      <c r="D686">
        <f t="shared" si="593"/>
        <v>0.75322925002391261</v>
      </c>
      <c r="F686">
        <f t="shared" si="594"/>
        <v>2.7498749665369628E-4</v>
      </c>
      <c r="G686">
        <f t="shared" si="595"/>
        <v>5.0003731116449283E-3</v>
      </c>
      <c r="H686">
        <f t="shared" si="596"/>
        <v>-3.1365922768883552</v>
      </c>
      <c r="J686">
        <f t="shared" si="597"/>
        <v>15</v>
      </c>
      <c r="M686">
        <f t="shared" si="598"/>
        <v>8.0732611546693745E-3</v>
      </c>
      <c r="N686">
        <f t="shared" si="599"/>
        <v>-1.5707963250000001</v>
      </c>
      <c r="O686">
        <f t="shared" si="600"/>
        <v>90.898609098836886</v>
      </c>
      <c r="P686">
        <f t="shared" si="601"/>
        <v>1.5597948364274346</v>
      </c>
      <c r="Q686">
        <f t="shared" si="602"/>
        <v>70.943757047369246</v>
      </c>
      <c r="R686">
        <f t="shared" si="603"/>
        <v>1.5567001869899584</v>
      </c>
      <c r="S686">
        <f t="shared" si="604"/>
        <v>0.70710678118654746</v>
      </c>
      <c r="T686">
        <f t="shared" si="605"/>
        <v>-0.78539816339744828</v>
      </c>
      <c r="U686">
        <f t="shared" si="606"/>
        <v>0.54000905526545406</v>
      </c>
      <c r="V686">
        <f t="shared" si="607"/>
        <v>-1.000348458605516</v>
      </c>
      <c r="X686">
        <f t="shared" si="608"/>
        <v>-18.984100447535507</v>
      </c>
      <c r="Y686">
        <f t="shared" si="609"/>
        <v>-150.31037556094435</v>
      </c>
      <c r="Z686">
        <f t="shared" si="610"/>
        <v>29.689624439055649</v>
      </c>
      <c r="AC686">
        <v>1</v>
      </c>
      <c r="AD686">
        <f t="shared" si="611"/>
        <v>90.893108298171597</v>
      </c>
      <c r="AE686">
        <f t="shared" si="612"/>
        <v>-8.7356245668659994E-3</v>
      </c>
      <c r="AF686">
        <f t="shared" si="613"/>
        <v>5.6047819971870609E-3</v>
      </c>
      <c r="AG686">
        <f t="shared" si="614"/>
        <v>4647.9623495307296</v>
      </c>
      <c r="AH686">
        <f t="shared" si="615"/>
        <v>-7422.742598607505</v>
      </c>
      <c r="AJ686">
        <f t="shared" si="616"/>
        <v>22100</v>
      </c>
      <c r="AK686">
        <f t="shared" si="617"/>
        <v>22100</v>
      </c>
      <c r="AL686">
        <v>1</v>
      </c>
      <c r="AM686">
        <f t="shared" si="618"/>
        <v>70.936708860759495</v>
      </c>
      <c r="AN686">
        <f t="shared" si="619"/>
        <v>315.87442918587556</v>
      </c>
      <c r="AO686">
        <f t="shared" si="620"/>
        <v>-307.09241971704421</v>
      </c>
      <c r="AQ686">
        <f t="shared" si="621"/>
        <v>7.1845292582273818E-2</v>
      </c>
      <c r="AR686">
        <f t="shared" si="622"/>
        <v>-26.803875915185703</v>
      </c>
      <c r="AT686">
        <f t="shared" si="623"/>
        <v>-198624.33734852521</v>
      </c>
      <c r="AU686">
        <f t="shared" si="624"/>
        <v>-125116.69518903655</v>
      </c>
      <c r="AV686">
        <f t="shared" si="625"/>
        <v>3.7037194282517265</v>
      </c>
      <c r="AW686">
        <f t="shared" si="626"/>
        <v>-3437.4648195784421</v>
      </c>
      <c r="AX686">
        <f t="shared" si="627"/>
        <v>-17114.622555824149</v>
      </c>
      <c r="AY686">
        <f t="shared" si="628"/>
        <v>4.5141766429405941</v>
      </c>
      <c r="BA686">
        <f t="shared" si="629"/>
        <v>13.447564129642561</v>
      </c>
      <c r="BB686">
        <f t="shared" si="630"/>
        <v>22.572872481027435</v>
      </c>
      <c r="BC686">
        <f t="shared" si="631"/>
        <v>-0.81045721468886756</v>
      </c>
      <c r="BD686">
        <f t="shared" si="632"/>
        <v>-46.435777930660791</v>
      </c>
      <c r="BF686">
        <f t="shared" si="633"/>
        <v>-22.379357325113428</v>
      </c>
      <c r="BG686">
        <f t="shared" si="634"/>
        <v>-182.99242057355707</v>
      </c>
      <c r="BH686">
        <f t="shared" si="635"/>
        <v>-2.9924205735570695</v>
      </c>
      <c r="BI686">
        <f t="shared" si="636"/>
        <v>-2.9924205735570695</v>
      </c>
    </row>
    <row r="687" spans="1:69">
      <c r="A687">
        <f>Fp2_u</f>
        <v>119683.43613641916</v>
      </c>
      <c r="B687">
        <f t="shared" si="591"/>
        <v>119.68343613641916</v>
      </c>
      <c r="C687">
        <f>SQRT((A687/Fesr)^2+1)</f>
        <v>1.1670115770466034</v>
      </c>
      <c r="D687">
        <f>ATAN(A687/Fesr)</f>
        <v>0.54159114995872892</v>
      </c>
      <c r="F687">
        <f t="shared" si="594"/>
        <v>6.6826612384105963E-4</v>
      </c>
      <c r="G687">
        <f t="shared" si="595"/>
        <v>7.7966181403679464E-3</v>
      </c>
      <c r="H687">
        <f t="shared" si="596"/>
        <v>-3.1337960318596321</v>
      </c>
      <c r="J687">
        <f t="shared" si="597"/>
        <v>15</v>
      </c>
      <c r="M687">
        <f t="shared" si="598"/>
        <v>1.2583001178788036E-2</v>
      </c>
      <c r="N687">
        <f t="shared" si="599"/>
        <v>-1.5707963250000001</v>
      </c>
      <c r="O687">
        <f t="shared" si="600"/>
        <v>58.325646359045841</v>
      </c>
      <c r="P687">
        <f t="shared" si="601"/>
        <v>1.5536503702318301</v>
      </c>
      <c r="Q687">
        <f t="shared" si="602"/>
        <v>45.524019778942808</v>
      </c>
      <c r="R687">
        <f t="shared" si="603"/>
        <v>1.5488281341140491</v>
      </c>
      <c r="S687">
        <f t="shared" si="604"/>
        <v>0.84165920670501293</v>
      </c>
      <c r="T687">
        <f t="shared" si="605"/>
        <v>-0.57044786818938054</v>
      </c>
      <c r="U687">
        <f t="shared" si="606"/>
        <v>0.70710678118654746</v>
      </c>
      <c r="V687">
        <f t="shared" si="607"/>
        <v>-0.78539816339744828</v>
      </c>
      <c r="X687">
        <f>20*LOG(C687*J687*O687*Q687*F687*M687*S687*U687)</f>
        <v>-12.667568977329831</v>
      </c>
      <c r="Y687">
        <f>(180/Pi)*(D687+H687+N687+P687+R687+T687+V687)</f>
        <v>-138.44773037189699</v>
      </c>
      <c r="Z687">
        <f t="shared" si="610"/>
        <v>41.552269628103005</v>
      </c>
      <c r="AC687">
        <v>1</v>
      </c>
      <c r="AD687">
        <f t="shared" si="611"/>
        <v>58.31707317073171</v>
      </c>
      <c r="AE687">
        <f t="shared" si="612"/>
        <v>-3.5960315138934755E-3</v>
      </c>
      <c r="AF687">
        <f t="shared" si="613"/>
        <v>3.5960315138934764E-3</v>
      </c>
      <c r="AG687">
        <f t="shared" si="614"/>
        <v>7969.4898319555723</v>
      </c>
      <c r="AH687">
        <f t="shared" si="615"/>
        <v>-8247.5741580067861</v>
      </c>
      <c r="AJ687">
        <f t="shared" si="616"/>
        <v>22100</v>
      </c>
      <c r="AK687">
        <f t="shared" si="617"/>
        <v>14179.37334528471</v>
      </c>
      <c r="AL687">
        <v>1</v>
      </c>
      <c r="AM687">
        <f t="shared" si="618"/>
        <v>45.513035240835968</v>
      </c>
      <c r="AN687">
        <f t="shared" si="619"/>
        <v>322.05877401973015</v>
      </c>
      <c r="AO687">
        <f t="shared" si="620"/>
        <v>-478.49898629569537</v>
      </c>
      <c r="AQ687">
        <f t="shared" si="621"/>
        <v>0.17452768584998132</v>
      </c>
      <c r="AR687">
        <f t="shared" si="622"/>
        <v>-41.776146286926533</v>
      </c>
      <c r="AT687">
        <f t="shared" si="623"/>
        <v>-343160.96791939024</v>
      </c>
      <c r="AU687">
        <f t="shared" si="624"/>
        <v>-334374.00308362261</v>
      </c>
      <c r="AV687">
        <f t="shared" si="625"/>
        <v>3.9140225200710477</v>
      </c>
      <c r="AW687">
        <f t="shared" si="626"/>
        <v>-11969.870205199442</v>
      </c>
      <c r="AX687">
        <f t="shared" si="627"/>
        <v>-23800.854000512612</v>
      </c>
      <c r="AY687">
        <f t="shared" si="628"/>
        <v>4.2464099513295777</v>
      </c>
      <c r="BA687">
        <f t="shared" si="629"/>
        <v>17.984482871268394</v>
      </c>
      <c r="BB687">
        <f t="shared" si="630"/>
        <v>25.097959091204658</v>
      </c>
      <c r="BC687">
        <f t="shared" si="631"/>
        <v>-0.33238743125852999</v>
      </c>
      <c r="BD687">
        <f t="shared" si="632"/>
        <v>-19.044396996069938</v>
      </c>
      <c r="BF687">
        <f>20*LOG(BA687*J687*F687*C687)</f>
        <v>-13.539723516996693</v>
      </c>
      <c r="BG687">
        <f>(180/Pi)*(D687+H687+BC687)</f>
        <v>-167.56679653191125</v>
      </c>
      <c r="BH687">
        <f t="shared" si="635"/>
        <v>12.433203468088749</v>
      </c>
      <c r="BI687">
        <f t="shared" si="636"/>
        <v>12.433203468088749</v>
      </c>
    </row>
    <row r="688" spans="1:69">
      <c r="A688">
        <f>'Bode Plots Calculations'!BK5*1000</f>
        <v>40000</v>
      </c>
      <c r="B688">
        <f t="shared" si="591"/>
        <v>40</v>
      </c>
      <c r="C688">
        <f>SQRT((A688/Fesr)^2+1)</f>
        <v>1.0200126957712219</v>
      </c>
      <c r="D688">
        <f>ATAN(A688/Fesr)</f>
        <v>0.1984164371682659</v>
      </c>
      <c r="F688">
        <f t="shared" ref="F688" si="637">(Ro/(Ro+Rdcr))/SQRT((A688/(Q*Fo))^2+(1-(A688^2/Fo^2))^2)</f>
        <v>6.0137775005346924E-3</v>
      </c>
      <c r="G688">
        <f t="shared" ref="G688" si="638">-ATAN(A688*Fo/(Q*(Fo^2-A688^2)))</f>
        <v>2.345122448553217E-2</v>
      </c>
      <c r="H688">
        <f t="shared" ref="H688" si="639">IF(G688&gt;0,G688-Pi,G688)</f>
        <v>-3.1181414255144682</v>
      </c>
      <c r="J688">
        <f t="shared" si="597"/>
        <v>15</v>
      </c>
      <c r="M688">
        <f t="shared" ref="M688" si="640">1/(2*Pi*_Rfb1*(Cc1ea_u+Cc2ea_u)*A688)</f>
        <v>3.7649420449649126E-2</v>
      </c>
      <c r="N688">
        <f t="shared" si="599"/>
        <v>-1.5707963250000001</v>
      </c>
      <c r="O688">
        <f t="shared" ref="O688" si="641">SQRT(1+(A688/Fz1_u)^2)</f>
        <v>19.516077541393742</v>
      </c>
      <c r="P688">
        <f t="shared" ref="P688" si="642">ATAN(A688/Fz1_u)</f>
        <v>1.5195340738165026</v>
      </c>
      <c r="Q688">
        <f t="shared" ref="Q688" si="643">SQRT(1+(A688/Fz2_u)^2)</f>
        <v>15.243974430239678</v>
      </c>
      <c r="R688">
        <f t="shared" ref="R688" si="644">ATAN(A688/Fz2_u)</f>
        <v>1.5051494958498708</v>
      </c>
      <c r="S688">
        <f t="shared" ref="S688" si="645">1/SQRT(1+(A688/Fp1_u)^2)</f>
        <v>0.97777299010915231</v>
      </c>
      <c r="T688">
        <f t="shared" ref="T688" si="646">-ATAN(A688/Fp1_u)</f>
        <v>-0.21123371627676257</v>
      </c>
      <c r="U688">
        <f t="shared" ref="U688" si="647">1/SQRT(1+(A688/Fp2_u)^2)</f>
        <v>0.94843213830911532</v>
      </c>
      <c r="V688">
        <f t="shared" ref="V688" si="648">-ATAN(A688/Fp2_u)</f>
        <v>-0.32254384734869324</v>
      </c>
      <c r="X688">
        <f>20*LOG(C688*J688*O688*Q688*F688*M688*S688*U688)</f>
        <v>-0.3932493525085245</v>
      </c>
      <c r="Y688">
        <f>(180/Pi)*(D688+H688+N688+P688+R688+T688+V688)</f>
        <v>-114.56951788926273</v>
      </c>
      <c r="Z688">
        <f t="shared" ref="Z688" si="649">Y688+180</f>
        <v>65.430482110737273</v>
      </c>
      <c r="AC688">
        <v>1</v>
      </c>
      <c r="AD688">
        <f t="shared" ref="AD688" si="650">Rcea1_u*Cc1ea_u*A688*2*Pi</f>
        <v>19.490440800600002</v>
      </c>
      <c r="AE688">
        <f t="shared" ref="AE688" si="651">-Rcea1_u*Cc1ea_u*Cc2ea_u*(A688*2*Pi)^2</f>
        <v>-4.0167552770262855E-4</v>
      </c>
      <c r="AF688">
        <f t="shared" ref="AF688" si="652">(Cc2ea_u+Cc1ea_u)*A688*2*Pi</f>
        <v>1.2018476841840001E-3</v>
      </c>
      <c r="AG688">
        <f t="shared" ref="AG688" si="653">AC688*AE688/(AE688^2+AF688^2)+AD688*AF688/(AE688^2+AF688^2)</f>
        <v>14337.487108071728</v>
      </c>
      <c r="AH688">
        <f t="shared" ref="AH688" si="654">AD688*AE688/(AE688^2+AF688^2)-AC688*AF688/(AE688^2+AF688^2)</f>
        <v>-5623.8554926811794</v>
      </c>
      <c r="AJ688">
        <f t="shared" si="616"/>
        <v>22100</v>
      </c>
      <c r="AK688">
        <f t="shared" ref="AK688" si="655">_Rfb1*Rcea2_u*Cc3ea_u*A688*2*Pi</f>
        <v>4738.9593089966402</v>
      </c>
      <c r="AL688">
        <v>1</v>
      </c>
      <c r="AM688">
        <f t="shared" ref="AM688" si="656">(_Rfb1+Rcea2_u)*Cc3ea_u*A688*2*Pi</f>
        <v>15.211139221958401</v>
      </c>
      <c r="AN688">
        <f t="shared" ref="AN688" si="657">AJ688*AL688/(AL688^2+AM688^2)+AK688*AM688/(AL688^2+AM688^2)</f>
        <v>405.3080034654364</v>
      </c>
      <c r="AO688">
        <f t="shared" ref="AO688" si="658">AK688*AL688/(AL688^2+AM688^2)-AJ688*AM688/(AL688^2+AM688^2)</f>
        <v>-1426.2371594901108</v>
      </c>
      <c r="AQ688">
        <f t="shared" ref="AQ688" si="659">Eadcg/(1+(Eadcg*A688/GBP)^2)</f>
        <v>1.562255897516013</v>
      </c>
      <c r="AR688">
        <f t="shared" ref="AR688" si="660">-(A688*Eadcg*Eadcg/GBP)/(1+(Eadcg*A688/GBP)^2)</f>
        <v>-124.98047180128106</v>
      </c>
      <c r="AT688">
        <f t="shared" ref="AT688" si="661">-AR688*AH688+AG688*AQ688</f>
        <v>-680473.28902737482</v>
      </c>
      <c r="AU688">
        <f t="shared" ref="AU688" si="662">AQ688*AH688+AG688*AR688</f>
        <v>-1800691.8046218082</v>
      </c>
      <c r="AV688">
        <f t="shared" ref="AV688" si="663">IF(AT688&lt;0,ATAN(AU688/AT688)+Pi,ATAN(AU688/AT688))</f>
        <v>4.3510822254871719</v>
      </c>
      <c r="AW688">
        <f t="shared" ref="AW688" si="664">AG688-AH688*AO688/_Rfb2+AG688*AN688/_Rfb2+AN688-AO688*AR688+AQ688*AN688</f>
        <v>-163400.7683396255</v>
      </c>
      <c r="AX688">
        <f t="shared" ref="AX688" si="665">AH688+AH688*AN688/_Rfb2+AG688*AO688/_Rfb2+AO688+AO688*AQ688+AN688*AR688</f>
        <v>-65333.023087586924</v>
      </c>
      <c r="AY688">
        <f t="shared" ref="AY688" si="666">IF(AW688&lt;0,ATAN(AX688/AW688)+Pi,ATAN(AX688/AW688))</f>
        <v>3.5219550727226352</v>
      </c>
      <c r="BA688">
        <f t="shared" ref="BA688" si="667">SQRT(AT688^2+AU688^2)/SQRT(AW688^2+AX688^2)</f>
        <v>10.938741657443991</v>
      </c>
      <c r="BB688">
        <f t="shared" ref="BB688" si="668">20*LOG(BA688)</f>
        <v>20.779347312598819</v>
      </c>
      <c r="BC688">
        <f t="shared" ref="BC688" si="669">AV688-AY688</f>
        <v>0.82912715276453675</v>
      </c>
      <c r="BD688">
        <f t="shared" ref="BD688" si="670">BC688*180/Pi</f>
        <v>47.505486587389548</v>
      </c>
      <c r="BF688">
        <v>0</v>
      </c>
      <c r="BG688">
        <f>(180/Pi)*(D688+H688+BC688)</f>
        <v>-119.78243277488561</v>
      </c>
      <c r="BH688">
        <f t="shared" ref="BH688:BH690" si="671">IF(BG688&gt;180,BG688-180,BG688+180)</f>
        <v>60.217567225114394</v>
      </c>
      <c r="BI688">
        <f t="shared" ref="BI688:BI690" si="672">IF(BH688&gt;180,BH688-360,BH688)</f>
        <v>60.217567225114394</v>
      </c>
    </row>
    <row r="689" spans="1:61">
      <c r="A689">
        <v>1000000</v>
      </c>
      <c r="B689">
        <f t="shared" si="591"/>
        <v>1000</v>
      </c>
      <c r="BG689">
        <f>BG688</f>
        <v>-119.78243277488561</v>
      </c>
      <c r="BH689">
        <f t="shared" si="671"/>
        <v>60.217567225114394</v>
      </c>
      <c r="BI689">
        <f t="shared" si="672"/>
        <v>60.217567225114394</v>
      </c>
    </row>
    <row r="690" spans="1:61">
      <c r="A690">
        <f>'Bode Plots Calculations'!BK5*1000</f>
        <v>40000</v>
      </c>
      <c r="B690">
        <f t="shared" si="591"/>
        <v>40</v>
      </c>
      <c r="BG690">
        <f>BG688</f>
        <v>-119.78243277488561</v>
      </c>
      <c r="BH690">
        <f t="shared" si="671"/>
        <v>60.217567225114394</v>
      </c>
      <c r="BI690">
        <f t="shared" si="672"/>
        <v>60.217567225114394</v>
      </c>
    </row>
    <row r="691" spans="1:61">
      <c r="A691">
        <f>'Bode Plots Calculations'!BK5*1000</f>
        <v>40000</v>
      </c>
      <c r="B691">
        <f t="shared" si="591"/>
        <v>40</v>
      </c>
      <c r="BG691">
        <v>-90</v>
      </c>
    </row>
    <row r="692" spans="1:61">
      <c r="A692">
        <f>'Bode Plots Calculations'!BK5*1000</f>
        <v>40000</v>
      </c>
      <c r="B692">
        <f t="shared" si="591"/>
        <v>40</v>
      </c>
      <c r="BG692">
        <v>-80</v>
      </c>
    </row>
  </sheetData>
  <mergeCells count="8">
    <mergeCell ref="A1:G1"/>
    <mergeCell ref="C6:H6"/>
    <mergeCell ref="C679:H679"/>
    <mergeCell ref="O7:P7"/>
    <mergeCell ref="U7:V7"/>
    <mergeCell ref="S7:T7"/>
    <mergeCell ref="Q7:R7"/>
    <mergeCell ref="M7:N7"/>
  </mergeCells>
  <phoneticPr fontId="5"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2:B9"/>
  <sheetViews>
    <sheetView zoomScale="85" zoomScaleNormal="85" workbookViewId="0">
      <selection activeCell="B2" sqref="B2"/>
    </sheetView>
  </sheetViews>
  <sheetFormatPr defaultColWidth="9.140625" defaultRowHeight="12.95"/>
  <cols>
    <col min="1" max="1" width="10.42578125" style="290" customWidth="1"/>
    <col min="2" max="2" width="129.7109375" style="290" customWidth="1"/>
    <col min="3" max="16384" width="9.140625" style="290"/>
  </cols>
  <sheetData>
    <row r="2" spans="1:2">
      <c r="A2" s="290" t="str">
        <f>IF(RDSON_sense=1, "SCH_RDSON", "SCH_SHUNT")</f>
        <v>SCH_RDSON</v>
      </c>
    </row>
    <row r="5" spans="1:2" ht="403.5" customHeight="1">
      <c r="B5" s="256"/>
    </row>
    <row r="6" spans="1:2" ht="12" customHeight="1">
      <c r="B6" s="256"/>
    </row>
    <row r="7" spans="1:2" ht="34.5" customHeight="1"/>
    <row r="8" spans="1:2" ht="404.1" customHeight="1">
      <c r="B8" s="256"/>
    </row>
    <row r="9" spans="1:2">
      <c r="B9" s="256"/>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209"/>
  <sheetViews>
    <sheetView topLeftCell="V1" workbookViewId="0">
      <selection activeCell="AJ9" sqref="AJ9"/>
    </sheetView>
  </sheetViews>
  <sheetFormatPr defaultColWidth="8.85546875" defaultRowHeight="12.95"/>
  <cols>
    <col min="1" max="1" width="19.85546875" customWidth="1"/>
    <col min="2" max="2" width="13.140625" bestFit="1" customWidth="1"/>
    <col min="4" max="4" width="61.42578125" customWidth="1"/>
    <col min="8" max="8" width="11" bestFit="1" customWidth="1"/>
    <col min="10" max="10" width="12.42578125" bestFit="1" customWidth="1"/>
    <col min="11" max="11" width="12.42578125" customWidth="1"/>
    <col min="12" max="12" width="10" customWidth="1"/>
    <col min="13" max="13" width="11" customWidth="1"/>
    <col min="14" max="14" width="11.42578125" customWidth="1"/>
    <col min="15" max="15" width="10.28515625" bestFit="1" customWidth="1"/>
    <col min="16" max="16" width="8" customWidth="1"/>
    <col min="17" max="17" width="11.85546875" style="31" customWidth="1"/>
    <col min="18" max="18" width="10.28515625" style="8" customWidth="1"/>
    <col min="19" max="19" width="9.42578125" bestFit="1" customWidth="1"/>
    <col min="20" max="20" width="11.42578125" customWidth="1"/>
    <col min="21" max="21" width="12.42578125" bestFit="1" customWidth="1"/>
    <col min="22" max="22" width="12.28515625" bestFit="1" customWidth="1"/>
    <col min="23" max="23" width="10.42578125" bestFit="1" customWidth="1"/>
    <col min="24" max="25" width="10.28515625" customWidth="1"/>
    <col min="26" max="27" width="12.42578125" customWidth="1"/>
    <col min="28" max="28" width="11.140625" bestFit="1" customWidth="1"/>
    <col min="29" max="29" width="11.85546875" customWidth="1"/>
    <col min="30" max="30" width="12.42578125" customWidth="1"/>
    <col min="31" max="31" width="9.42578125" bestFit="1" customWidth="1"/>
    <col min="32" max="32" width="11.42578125" customWidth="1"/>
    <col min="33" max="34" width="12.7109375" customWidth="1"/>
    <col min="35" max="35" width="14.28515625" customWidth="1"/>
    <col min="36" max="36" width="10.85546875" bestFit="1" customWidth="1"/>
    <col min="37" max="37" width="10" customWidth="1"/>
    <col min="38" max="38" width="11.28515625" customWidth="1"/>
    <col min="39" max="39" width="10.7109375" customWidth="1"/>
    <col min="41" max="41" width="10" style="3" bestFit="1" customWidth="1"/>
    <col min="42" max="42" width="15" customWidth="1"/>
    <col min="43" max="43" width="14.85546875" style="9" customWidth="1"/>
    <col min="55" max="55" width="28.42578125" customWidth="1"/>
    <col min="58" max="58" width="12.42578125" bestFit="1" customWidth="1"/>
  </cols>
  <sheetData>
    <row r="1" spans="1:69" ht="12.75" customHeight="1">
      <c r="A1" s="458" t="s">
        <v>658</v>
      </c>
      <c r="B1" s="458"/>
      <c r="C1" s="458"/>
      <c r="D1" s="458"/>
    </row>
    <row r="2" spans="1:69" ht="12.75" customHeight="1">
      <c r="A2" s="458"/>
      <c r="B2" s="458"/>
      <c r="C2" s="458"/>
      <c r="D2" s="458"/>
    </row>
    <row r="3" spans="1:69" ht="12.75" customHeight="1">
      <c r="A3" s="458"/>
      <c r="B3" s="458"/>
      <c r="C3" s="458"/>
      <c r="D3" s="458"/>
      <c r="AG3">
        <f>VsdBot</f>
        <v>0.9</v>
      </c>
      <c r="AK3">
        <f>Iq</f>
        <v>2E-3</v>
      </c>
    </row>
    <row r="4" spans="1:69" ht="12.75" customHeight="1">
      <c r="A4" s="458"/>
      <c r="B4" s="458"/>
      <c r="C4" s="458"/>
      <c r="D4" s="458"/>
    </row>
    <row r="5" spans="1:69">
      <c r="A5" s="10"/>
      <c r="B5" s="11"/>
      <c r="C5" s="5"/>
      <c r="D5" s="5"/>
    </row>
    <row r="6" spans="1:69" ht="13.5" customHeight="1" thickBot="1">
      <c r="A6" s="459" t="s">
        <v>659</v>
      </c>
      <c r="B6" s="459"/>
      <c r="C6" s="459"/>
      <c r="D6" s="459"/>
      <c r="BH6">
        <v>80</v>
      </c>
      <c r="BI6">
        <v>100</v>
      </c>
      <c r="BJ6">
        <v>120</v>
      </c>
      <c r="BK6">
        <v>140</v>
      </c>
      <c r="BL6">
        <v>160</v>
      </c>
      <c r="BM6">
        <v>180</v>
      </c>
      <c r="BN6">
        <v>20</v>
      </c>
      <c r="BO6">
        <v>30</v>
      </c>
      <c r="BP6">
        <v>40</v>
      </c>
      <c r="BQ6">
        <v>50</v>
      </c>
    </row>
    <row r="7" spans="1:69" ht="14.1" thickBot="1">
      <c r="A7" s="459"/>
      <c r="B7" s="459"/>
      <c r="C7" s="459"/>
      <c r="D7" s="459"/>
      <c r="G7" s="530" t="s">
        <v>660</v>
      </c>
      <c r="H7" s="377"/>
      <c r="I7" s="531"/>
      <c r="J7" s="531"/>
      <c r="K7" s="393"/>
      <c r="L7" s="393"/>
      <c r="M7" s="393"/>
      <c r="N7" s="530" t="s">
        <v>661</v>
      </c>
      <c r="O7" s="377"/>
      <c r="P7" s="377"/>
      <c r="Q7" s="532"/>
      <c r="R7" s="533" t="s">
        <v>327</v>
      </c>
      <c r="S7" s="534"/>
      <c r="T7" s="531"/>
      <c r="U7" s="530" t="s">
        <v>351</v>
      </c>
      <c r="V7" s="393"/>
      <c r="W7" s="531"/>
      <c r="X7" s="530" t="s">
        <v>662</v>
      </c>
      <c r="Y7" s="377"/>
      <c r="Z7" s="377"/>
      <c r="AA7" s="377"/>
      <c r="AB7" s="377"/>
      <c r="AC7" s="531"/>
      <c r="AD7" s="530" t="s">
        <v>663</v>
      </c>
      <c r="AE7" s="393"/>
      <c r="AF7" s="535"/>
      <c r="AG7" s="531"/>
      <c r="AH7" s="316" t="s">
        <v>664</v>
      </c>
      <c r="AI7" s="536" t="s">
        <v>665</v>
      </c>
      <c r="AJ7" s="377" t="s">
        <v>666</v>
      </c>
      <c r="AK7" s="537" t="s">
        <v>667</v>
      </c>
      <c r="AL7" s="538"/>
      <c r="AM7" s="539"/>
      <c r="AN7" s="55"/>
      <c r="AO7" s="530" t="s">
        <v>668</v>
      </c>
      <c r="AP7" s="377"/>
      <c r="AQ7" s="377"/>
      <c r="AR7" s="377"/>
      <c r="AS7" s="377"/>
    </row>
    <row r="8" spans="1:69" ht="71.099999999999994" thickBot="1">
      <c r="A8" s="12" t="s">
        <v>669</v>
      </c>
      <c r="B8" s="12"/>
      <c r="C8" s="12"/>
      <c r="D8" s="5"/>
      <c r="G8" s="13" t="s">
        <v>670</v>
      </c>
      <c r="H8" s="14" t="s">
        <v>204</v>
      </c>
      <c r="I8" s="14" t="s">
        <v>671</v>
      </c>
      <c r="J8" s="15" t="s">
        <v>672</v>
      </c>
      <c r="K8" s="394" t="s">
        <v>673</v>
      </c>
      <c r="L8" s="394" t="s">
        <v>674</v>
      </c>
      <c r="M8" s="394" t="s">
        <v>675</v>
      </c>
      <c r="N8" s="13" t="s">
        <v>676</v>
      </c>
      <c r="O8" s="14" t="s">
        <v>677</v>
      </c>
      <c r="P8" s="14" t="s">
        <v>678</v>
      </c>
      <c r="Q8" s="56" t="s">
        <v>679</v>
      </c>
      <c r="R8" s="57" t="s">
        <v>680</v>
      </c>
      <c r="S8" s="16" t="s">
        <v>681</v>
      </c>
      <c r="T8" s="56" t="s">
        <v>682</v>
      </c>
      <c r="U8" s="13" t="s">
        <v>680</v>
      </c>
      <c r="V8" s="14" t="s">
        <v>683</v>
      </c>
      <c r="W8" s="56" t="s">
        <v>684</v>
      </c>
      <c r="X8" s="13" t="s">
        <v>680</v>
      </c>
      <c r="Y8" s="14" t="s">
        <v>685</v>
      </c>
      <c r="Z8" s="14" t="s">
        <v>686</v>
      </c>
      <c r="AA8" s="395" t="s">
        <v>687</v>
      </c>
      <c r="AB8" s="58" t="s">
        <v>688</v>
      </c>
      <c r="AC8" s="56" t="s">
        <v>689</v>
      </c>
      <c r="AD8" s="13" t="s">
        <v>680</v>
      </c>
      <c r="AE8" s="14" t="s">
        <v>685</v>
      </c>
      <c r="AF8" s="14" t="s">
        <v>690</v>
      </c>
      <c r="AG8" s="59" t="s">
        <v>691</v>
      </c>
      <c r="AH8" s="59" t="s">
        <v>692</v>
      </c>
      <c r="AI8" s="56" t="s">
        <v>690</v>
      </c>
      <c r="AJ8" s="60" t="s">
        <v>693</v>
      </c>
      <c r="AK8" s="61" t="s">
        <v>694</v>
      </c>
      <c r="AL8" s="62" t="s">
        <v>695</v>
      </c>
      <c r="AM8" s="63" t="s">
        <v>696</v>
      </c>
      <c r="AN8" s="64" t="s">
        <v>697</v>
      </c>
      <c r="AO8" s="65" t="s">
        <v>698</v>
      </c>
      <c r="AP8" s="14" t="s">
        <v>699</v>
      </c>
      <c r="AQ8" s="66" t="s">
        <v>700</v>
      </c>
      <c r="AR8" s="14" t="s">
        <v>701</v>
      </c>
      <c r="AS8" s="14" t="s">
        <v>702</v>
      </c>
      <c r="BF8" t="s">
        <v>703</v>
      </c>
      <c r="BH8" t="s">
        <v>704</v>
      </c>
      <c r="BI8" t="s">
        <v>705</v>
      </c>
      <c r="BJ8" t="s">
        <v>706</v>
      </c>
      <c r="BK8" t="s">
        <v>707</v>
      </c>
      <c r="BL8" t="s">
        <v>708</v>
      </c>
      <c r="BM8" t="s">
        <v>709</v>
      </c>
      <c r="BN8" t="s">
        <v>710</v>
      </c>
      <c r="BO8" t="s">
        <v>711</v>
      </c>
      <c r="BP8" t="s">
        <v>712</v>
      </c>
      <c r="BQ8" t="s">
        <v>713</v>
      </c>
    </row>
    <row r="9" spans="1:69">
      <c r="A9" s="17" t="s">
        <v>447</v>
      </c>
      <c r="B9" s="18" t="s">
        <v>714</v>
      </c>
      <c r="C9" s="19" t="s">
        <v>532</v>
      </c>
      <c r="D9" s="20" t="s">
        <v>130</v>
      </c>
      <c r="G9">
        <v>0</v>
      </c>
      <c r="H9">
        <f t="shared" ref="H9:H72" si="0">Iout*(G9/200)</f>
        <v>0</v>
      </c>
      <c r="I9" s="309">
        <f t="shared" ref="I9:I73" si="1">(Vout+Rdcr*H9+RdsonBot*H9)/(Vin-RdsonTop*H9+RdsonBot*H9)</f>
        <v>0.27777777777777779</v>
      </c>
      <c r="J9" s="310">
        <f t="shared" ref="J9:J72" si="2">(Vin-Vout)*I9/(Fsw*Lout2)</f>
        <v>4.3771043771043772</v>
      </c>
      <c r="K9" s="310">
        <f>H9+J9/2</f>
        <v>2.1885521885521886</v>
      </c>
      <c r="L9" s="310">
        <f>H9-J9/2</f>
        <v>-2.1885521885521886</v>
      </c>
      <c r="M9" s="51">
        <f t="shared" ref="M9:M72" si="3">IF(MIN(Vin, -L9/(CossTop+CossBot)*0.00000002)&lt;0, 0, MIN(Vin, -L9/(CossTop+CossBot)*0.00000002))</f>
        <v>18</v>
      </c>
      <c r="N9" s="309">
        <f t="shared" ref="N9:N40" si="4">SQRT(H9^2+(J9^2)/12)</f>
        <v>1.2635611951961507</v>
      </c>
      <c r="O9" s="309">
        <f t="shared" ref="O9:O73" si="5">(N9^2*Rdcr*(1+Ltc*Ta-Ltc*25))/(1-N9^2*Rdcr*Ltc*ThetaCa)</f>
        <v>9.586868372864512E-3</v>
      </c>
      <c r="P9">
        <f t="shared" ref="P9:P72" si="6">Core_Loss</f>
        <v>0.2</v>
      </c>
      <c r="Q9" s="309">
        <f>O9+P9</f>
        <v>0.20958686837286453</v>
      </c>
      <c r="R9" s="8">
        <f>J9/(2*SQRT(3))</f>
        <v>1.2635611951961507</v>
      </c>
      <c r="S9" s="8">
        <f t="shared" ref="S9:S73" si="7">RCoutEsr*R9^2</f>
        <v>1.5965868940055251E-3</v>
      </c>
      <c r="T9" s="8">
        <f>S9</f>
        <v>1.5965868940055251E-3</v>
      </c>
      <c r="U9" s="309">
        <f t="shared" ref="U9:U40" si="8">SQRT(I9)*SQRT(H9^2+(J9^2)/12)</f>
        <v>0.66595522330407408</v>
      </c>
      <c r="V9" s="311">
        <f t="shared" ref="V9:V73" si="9">RCinEsr*U9^2</f>
        <v>8.8699271889195841E-4</v>
      </c>
      <c r="W9" s="309">
        <f>V9</f>
        <v>8.8699271889195841E-4</v>
      </c>
      <c r="X9" s="309">
        <f t="shared" ref="X9:X40" si="10">SQRT(I9)*SQRT(H9^2+(J9^2)/12)</f>
        <v>0.66595522330407408</v>
      </c>
      <c r="Y9" s="309">
        <f t="shared" ref="Y9:Y73" si="11">RdsonTop*X9^2</f>
        <v>2.3061810691190919E-2</v>
      </c>
      <c r="Z9" s="309">
        <f t="shared" ref="Z9:Z72" si="12">IF(L9&lt;0, (Vin*K9*Tf/2)*Fsw, (Vin*L9*Tr/2+Vin*K9*Tf/2)*Fsw)</f>
        <v>8.2727272727272719E-3</v>
      </c>
      <c r="AA9" s="309">
        <f t="shared" ref="AA9:AA72" si="13">(0.5*CossTop*(Vin-M9)^2-0.5*CossBot*(Vin-M9)^2+(QossBot*(Vin-M9)/Vin)*Vin)*Fsw</f>
        <v>0</v>
      </c>
      <c r="AB9" s="309">
        <f t="shared" ref="AB9:AB72" si="14">IF(L9&gt;0,0,-L9*VsdTop*Deadtime*Fsw)</f>
        <v>1.3131313131313129E-2</v>
      </c>
      <c r="AC9" s="309">
        <f t="shared" ref="AC9:AC40" si="15">(AB9+AA9+Z9+Y9*(1+RdsonTopTc*Ta-RdsonTopTc*25))/(1-Y9*RdsonTopTc*ThetaJaTop)</f>
        <v>4.4692603414263288E-2</v>
      </c>
      <c r="AD9" s="309">
        <f t="shared" ref="AD9:AD40" si="16">SQRT(1-I9)*SQRT(H9^2+(J9^2)/12)</f>
        <v>1.0738205318206324</v>
      </c>
      <c r="AE9" s="309">
        <f t="shared" ref="AE9:AE73" si="17">RdsonBot*AD9^2</f>
        <v>1.153090534559546E-2</v>
      </c>
      <c r="AF9" s="309">
        <f t="shared" ref="AF9:AF72" si="18">IF(L9&lt;0, Deadtime*Fsw*IF(VfdSky&gt;0,0,VsdBot)*K9, Deadtime*Fsw*IF(VfdSky&gt;0,0,VsdBot)*(K9+L9))</f>
        <v>1.4772727272727272E-2</v>
      </c>
      <c r="AG9" s="309">
        <f t="shared" ref="AG9:AG40" si="19">(AF9+AE9*(1+RdsonBotTc*Ta-RdsonBotTc*25))/(1-AE9*RdsonBotTc*ThetaJaBot)</f>
        <v>2.6352251068356747E-2</v>
      </c>
      <c r="AH9" s="309">
        <f t="shared" ref="AH9:AH40" si="20">IF(RDSON_sense=1, 0, AD9^2*Rshunt)</f>
        <v>0</v>
      </c>
      <c r="AI9">
        <f t="shared" ref="AI9:AI72" si="21">2*Deadtime*Fsw*IF(VfdSky&gt;0,VfdSky,0)*H9</f>
        <v>0</v>
      </c>
      <c r="AJ9" s="310">
        <f t="shared" ref="AJ9:AJ72" si="22">IF(QrrSky&gt;0,QrrSky,QrrBot)*Fsw*(Vin-H9*RdsonTop)</f>
        <v>0.22499999999999998</v>
      </c>
      <c r="AK9">
        <f t="shared" ref="AK9:AK73" si="23">Iq*Vin</f>
        <v>3.6000000000000004E-2</v>
      </c>
      <c r="AL9" s="310">
        <f t="shared" ref="AL9:AL72" si="24">IF(Ext_VCC=1, Vdd*(QgTop+QgBot)*Fsw, Vin*(QgTop+QgBot)*Fsw)</f>
        <v>3.0374999999999999E-2</v>
      </c>
      <c r="AM9" s="310">
        <f t="shared" ref="AM9:AM73" si="25">(Vin-Vdd)*Fsw*(QgTop+QgBot)+(RdsonDRT+RdsonDRT2)*Fsw*QgTop*Vdd/(RdsonDRT+2*RGateTop+RdsonDRT2)+(RdsonDRB+RdsonDRB2)*Fsw*QgBot*Vdd/(RdsonDRB+2*RGateBot+RdsonDRB2)</f>
        <v>5.5427027027027023E-2</v>
      </c>
      <c r="AN9" s="310">
        <f>SUM(AK9:AL9)</f>
        <v>6.6375000000000003E-2</v>
      </c>
      <c r="AO9" s="310">
        <f t="shared" ref="AO9:AO40" si="26">SUM(Q9,T9,W9,AC9,AJ9,AI9,AG9,AN9, AH9)</f>
        <v>0.57449030246838195</v>
      </c>
      <c r="AP9">
        <f t="shared" ref="AP9:AP72" si="27">Vout*H9</f>
        <v>0</v>
      </c>
      <c r="AQ9" s="9">
        <f>AP9/(AP9+AO9)</f>
        <v>0</v>
      </c>
      <c r="AR9" s="51">
        <f t="shared" ref="AR9:AR40" si="28">ThetaJaTop*AC9</f>
        <v>2.4580931877844807</v>
      </c>
      <c r="AS9" s="51">
        <f>AG9*ThetaJaBot</f>
        <v>1.0540900427342699</v>
      </c>
      <c r="AU9">
        <f>AQ9*100</f>
        <v>0</v>
      </c>
      <c r="BC9" t="s">
        <v>715</v>
      </c>
      <c r="BD9" s="540">
        <v>70</v>
      </c>
      <c r="BE9" s="540">
        <v>70</v>
      </c>
      <c r="BF9" s="540">
        <v>70</v>
      </c>
      <c r="BG9" s="21">
        <f>250000*(5-Vdd)*BF9/1000000000+((250000*BF9/1000000000*Vdd)*2.5/(2*4))</f>
        <v>-2.7343749999999972E-3</v>
      </c>
      <c r="BH9">
        <f t="shared" ref="BH9:BQ17" si="29">BH$6*$BG9</f>
        <v>-0.21874999999999978</v>
      </c>
      <c r="BI9">
        <f t="shared" si="29"/>
        <v>-0.27343749999999972</v>
      </c>
      <c r="BJ9">
        <f t="shared" si="29"/>
        <v>-0.32812499999999967</v>
      </c>
      <c r="BK9">
        <f t="shared" si="29"/>
        <v>-0.38281249999999961</v>
      </c>
      <c r="BL9">
        <f t="shared" si="29"/>
        <v>-0.43749999999999956</v>
      </c>
      <c r="BM9">
        <f t="shared" si="29"/>
        <v>-0.4921874999999995</v>
      </c>
      <c r="BN9">
        <f t="shared" si="29"/>
        <v>-5.4687499999999944E-2</v>
      </c>
      <c r="BO9">
        <f t="shared" si="29"/>
        <v>-8.2031249999999917E-2</v>
      </c>
      <c r="BP9">
        <f t="shared" si="29"/>
        <v>-0.10937499999999989</v>
      </c>
      <c r="BQ9">
        <f t="shared" si="29"/>
        <v>-0.13671874999999986</v>
      </c>
    </row>
    <row r="10" spans="1:69">
      <c r="A10" s="263"/>
      <c r="B10" s="26"/>
      <c r="C10" s="19"/>
      <c r="D10" s="20"/>
      <c r="G10">
        <v>1</v>
      </c>
      <c r="H10">
        <f t="shared" si="0"/>
        <v>7.4999999999999997E-2</v>
      </c>
      <c r="I10" s="309">
        <f t="shared" ref="I10" si="30">(Vout+Rdcr*H10+RdsonBot*H10)/(Vin-RdsonTop*H10+RdsonBot*H10)</f>
        <v>0.27789307573269767</v>
      </c>
      <c r="J10" s="310">
        <f t="shared" si="2"/>
        <v>4.3789211933637215</v>
      </c>
      <c r="K10" s="310">
        <f t="shared" ref="K10:K73" si="31">H10+J10/2</f>
        <v>2.2644605966818609</v>
      </c>
      <c r="L10" s="310">
        <f t="shared" ref="L10:L73" si="32">H10-J10/2</f>
        <v>-2.1144605966818606</v>
      </c>
      <c r="M10" s="51">
        <f t="shared" si="3"/>
        <v>18</v>
      </c>
      <c r="N10" s="309">
        <f t="shared" si="4"/>
        <v>1.2663086385794065</v>
      </c>
      <c r="O10" s="309">
        <f t="shared" ref="O10" si="33">(N10^2*Rdcr*(1+Ltc*Ta-Ltc*25))/(1-N10^2*Rdcr*Ltc*ThetaCa)</f>
        <v>9.6286365514562915E-3</v>
      </c>
      <c r="P10">
        <f t="shared" si="6"/>
        <v>0.2</v>
      </c>
      <c r="Q10" s="309">
        <f t="shared" ref="Q10:Q73" si="34">O10+P10</f>
        <v>0.2096286365514563</v>
      </c>
      <c r="R10" s="8">
        <f>J10/(2*SQRT(3))</f>
        <v>1.264085664874351</v>
      </c>
      <c r="S10" s="8">
        <f t="shared" ref="S10" si="35">RCoutEsr*R10^2</f>
        <v>1.5979125681408301E-3</v>
      </c>
      <c r="T10" s="8">
        <f>S10</f>
        <v>1.5979125681408301E-3</v>
      </c>
      <c r="U10" s="309">
        <f t="shared" si="8"/>
        <v>0.66754174915400277</v>
      </c>
      <c r="V10" s="311">
        <f t="shared" ref="V10" si="36">RCinEsr*U10^2</f>
        <v>8.9122397372717117E-4</v>
      </c>
      <c r="W10" s="309">
        <f>V10</f>
        <v>8.9122397372717117E-4</v>
      </c>
      <c r="X10" s="309">
        <f t="shared" si="10"/>
        <v>0.66754174915400277</v>
      </c>
      <c r="Y10" s="309">
        <f t="shared" ref="Y10" si="37">RdsonTop*X10^2</f>
        <v>2.3171823316906447E-2</v>
      </c>
      <c r="Z10" s="309">
        <f t="shared" si="12"/>
        <v>8.5596610554574352E-3</v>
      </c>
      <c r="AA10" s="309">
        <f t="shared" si="13"/>
        <v>0</v>
      </c>
      <c r="AB10" s="309">
        <f t="shared" si="14"/>
        <v>1.2686763580091165E-2</v>
      </c>
      <c r="AC10" s="309">
        <f t="shared" si="15"/>
        <v>4.4645843584316454E-2</v>
      </c>
      <c r="AD10" s="309">
        <f t="shared" si="16"/>
        <v>1.0760695057835457</v>
      </c>
      <c r="AE10" s="309">
        <f t="shared" ref="AE10" si="38">RdsonBot*AD10^2</f>
        <v>1.1579255812772441E-2</v>
      </c>
      <c r="AF10" s="309">
        <f t="shared" si="18"/>
        <v>1.5285109027602561E-2</v>
      </c>
      <c r="AG10" s="309">
        <f t="shared" si="19"/>
        <v>2.6914228317926461E-2</v>
      </c>
      <c r="AH10" s="309">
        <f t="shared" si="20"/>
        <v>0</v>
      </c>
      <c r="AI10">
        <f t="shared" si="21"/>
        <v>0</v>
      </c>
      <c r="AJ10" s="310">
        <f t="shared" si="22"/>
        <v>0.22495124999999996</v>
      </c>
      <c r="AK10">
        <f t="shared" si="23"/>
        <v>3.6000000000000004E-2</v>
      </c>
      <c r="AL10" s="310">
        <f t="shared" si="24"/>
        <v>3.0374999999999999E-2</v>
      </c>
      <c r="AM10" s="310">
        <f t="shared" si="25"/>
        <v>5.5427027027027023E-2</v>
      </c>
      <c r="AN10" s="310">
        <f>SUM(AK10:AL10)</f>
        <v>6.6375000000000003E-2</v>
      </c>
      <c r="AO10" s="310">
        <f t="shared" si="26"/>
        <v>0.57500409499556715</v>
      </c>
      <c r="AP10">
        <f t="shared" si="27"/>
        <v>0.375</v>
      </c>
      <c r="AQ10" s="9">
        <f>AP10/(AP10+AO10)</f>
        <v>0.39473514059089376</v>
      </c>
      <c r="AR10" s="51">
        <f t="shared" si="28"/>
        <v>2.4555213971374048</v>
      </c>
      <c r="AS10" s="51">
        <f>AG10*ThetaJaBot</f>
        <v>1.0765691327170583</v>
      </c>
      <c r="AU10">
        <f>AQ10*100</f>
        <v>39.473514059089375</v>
      </c>
      <c r="BD10" s="540"/>
      <c r="BE10" s="540"/>
      <c r="BF10" s="540"/>
      <c r="BG10" s="21"/>
    </row>
    <row r="11" spans="1:69">
      <c r="A11" s="22" t="s">
        <v>192</v>
      </c>
      <c r="B11" s="4">
        <f>Vin</f>
        <v>18</v>
      </c>
      <c r="C11" s="318" t="s">
        <v>8</v>
      </c>
      <c r="D11" s="23" t="s">
        <v>192</v>
      </c>
      <c r="G11">
        <v>2</v>
      </c>
      <c r="H11">
        <f t="shared" si="0"/>
        <v>0.15</v>
      </c>
      <c r="I11" s="309">
        <f t="shared" si="1"/>
        <v>0.27800841405603072</v>
      </c>
      <c r="J11" s="310">
        <f t="shared" si="2"/>
        <v>4.3807386457313928</v>
      </c>
      <c r="K11" s="310">
        <f t="shared" si="31"/>
        <v>2.3403693228656963</v>
      </c>
      <c r="L11" s="310">
        <f t="shared" si="32"/>
        <v>-2.0403693228656965</v>
      </c>
      <c r="M11" s="51">
        <f t="shared" si="3"/>
        <v>18</v>
      </c>
      <c r="N11" s="309">
        <f t="shared" si="4"/>
        <v>1.2734752674670899</v>
      </c>
      <c r="O11" s="309">
        <f t="shared" si="5"/>
        <v>9.7380159520238097E-3</v>
      </c>
      <c r="P11">
        <f t="shared" si="6"/>
        <v>0.2</v>
      </c>
      <c r="Q11" s="309">
        <f t="shared" si="34"/>
        <v>0.20973801595202382</v>
      </c>
      <c r="R11" s="8">
        <f t="shared" ref="R11:R74" si="39">J11/(2*SQRT(3))</f>
        <v>1.2646103181812083</v>
      </c>
      <c r="S11" s="8">
        <f t="shared" si="7"/>
        <v>1.5992392568503768E-3</v>
      </c>
      <c r="T11" s="8">
        <f t="shared" ref="T11:T74" si="40">S11</f>
        <v>1.5992392568503768E-3</v>
      </c>
      <c r="U11" s="309">
        <f t="shared" si="8"/>
        <v>0.67145897775618357</v>
      </c>
      <c r="V11" s="311">
        <f t="shared" si="9"/>
        <v>9.0171431761875808E-4</v>
      </c>
      <c r="W11" s="309">
        <f t="shared" ref="W11:W74" si="41">V11</f>
        <v>9.0171431761875808E-4</v>
      </c>
      <c r="X11" s="309">
        <f t="shared" si="10"/>
        <v>0.67145897775618357</v>
      </c>
      <c r="Y11" s="309">
        <f t="shared" si="11"/>
        <v>2.3444572258087708E-2</v>
      </c>
      <c r="Z11" s="309">
        <f t="shared" si="12"/>
        <v>8.8465960404323328E-3</v>
      </c>
      <c r="AA11" s="309">
        <f t="shared" si="13"/>
        <v>0</v>
      </c>
      <c r="AB11" s="309">
        <f t="shared" si="14"/>
        <v>1.2242215937194179E-2</v>
      </c>
      <c r="AC11" s="309">
        <f t="shared" si="15"/>
        <v>4.4764269649678348E-2</v>
      </c>
      <c r="AD11" s="309">
        <f t="shared" si="16"/>
        <v>1.0820730557781195</v>
      </c>
      <c r="AE11" s="309">
        <f t="shared" si="17"/>
        <v>1.1708820980409974E-2</v>
      </c>
      <c r="AF11" s="309">
        <f t="shared" si="18"/>
        <v>1.5797492929343449E-2</v>
      </c>
      <c r="AG11" s="309">
        <f t="shared" si="19"/>
        <v>2.7557941269900289E-2</v>
      </c>
      <c r="AH11" s="309">
        <f t="shared" si="20"/>
        <v>0</v>
      </c>
      <c r="AI11">
        <f t="shared" si="21"/>
        <v>0</v>
      </c>
      <c r="AJ11" s="310">
        <f t="shared" si="22"/>
        <v>0.22490249999999998</v>
      </c>
      <c r="AK11">
        <f t="shared" si="23"/>
        <v>3.6000000000000004E-2</v>
      </c>
      <c r="AL11" s="310">
        <f t="shared" si="24"/>
        <v>3.0374999999999999E-2</v>
      </c>
      <c r="AM11" s="310">
        <f t="shared" si="25"/>
        <v>5.5427027027027023E-2</v>
      </c>
      <c r="AN11" s="310">
        <f t="shared" ref="AN11:AN74" si="42">SUM(AK11:AL11)</f>
        <v>6.6375000000000003E-2</v>
      </c>
      <c r="AO11" s="310">
        <f t="shared" si="26"/>
        <v>0.57583868044607156</v>
      </c>
      <c r="AP11">
        <f t="shared" si="27"/>
        <v>0.75</v>
      </c>
      <c r="AQ11" s="9">
        <f t="shared" ref="AQ11:AQ74" si="43">AP11/(AP11+AO11)</f>
        <v>0.56567967963317101</v>
      </c>
      <c r="AR11" s="51">
        <f t="shared" si="28"/>
        <v>2.4620348307323092</v>
      </c>
      <c r="AS11" s="51">
        <f t="shared" ref="AS11:AS74" si="44">AG11*ThetaJaBot</f>
        <v>1.1023176507960115</v>
      </c>
      <c r="AT11" s="9"/>
      <c r="AU11">
        <f t="shared" ref="AU11:AU74" si="45">AQ11*100</f>
        <v>56.567967963317102</v>
      </c>
      <c r="BC11" t="s">
        <v>716</v>
      </c>
      <c r="BD11" s="540">
        <v>90</v>
      </c>
      <c r="BE11" s="540">
        <v>90</v>
      </c>
      <c r="BF11" s="540">
        <v>90</v>
      </c>
      <c r="BG11" s="21">
        <f>250000*(12-Vdd)*BF11/1000000000+((250000*BF9/1000000000*Vdd)*2.5/(2*4))</f>
        <v>0.14226562500000001</v>
      </c>
      <c r="BH11">
        <f t="shared" si="29"/>
        <v>11.381250000000001</v>
      </c>
      <c r="BI11">
        <f t="shared" si="29"/>
        <v>14.2265625</v>
      </c>
      <c r="BJ11">
        <f t="shared" si="29"/>
        <v>17.071875000000002</v>
      </c>
      <c r="BK11">
        <f t="shared" si="29"/>
        <v>19.917187500000001</v>
      </c>
      <c r="BL11">
        <f t="shared" si="29"/>
        <v>22.762500000000003</v>
      </c>
      <c r="BM11">
        <f t="shared" si="29"/>
        <v>25.607812500000001</v>
      </c>
      <c r="BN11">
        <f t="shared" si="29"/>
        <v>2.8453125000000004</v>
      </c>
      <c r="BO11">
        <f t="shared" si="29"/>
        <v>4.2679687500000005</v>
      </c>
      <c r="BP11">
        <f t="shared" si="29"/>
        <v>5.6906250000000007</v>
      </c>
      <c r="BQ11">
        <f t="shared" si="29"/>
        <v>7.11328125</v>
      </c>
    </row>
    <row r="12" spans="1:69">
      <c r="A12" s="24" t="s">
        <v>201</v>
      </c>
      <c r="B12" s="4">
        <f>Vout</f>
        <v>5</v>
      </c>
      <c r="C12" s="318" t="s">
        <v>8</v>
      </c>
      <c r="D12" s="23" t="s">
        <v>201</v>
      </c>
      <c r="G12">
        <v>3</v>
      </c>
      <c r="H12">
        <f t="shared" si="0"/>
        <v>0.22499999999999998</v>
      </c>
      <c r="I12" s="309">
        <f t="shared" si="1"/>
        <v>0.27812379276898153</v>
      </c>
      <c r="J12" s="310">
        <f t="shared" si="2"/>
        <v>4.3825567345415273</v>
      </c>
      <c r="K12" s="310">
        <f t="shared" si="31"/>
        <v>2.4162783672707637</v>
      </c>
      <c r="L12" s="310">
        <f t="shared" si="32"/>
        <v>-1.9662783672707635</v>
      </c>
      <c r="M12" s="51">
        <f t="shared" si="3"/>
        <v>18</v>
      </c>
      <c r="N12" s="309">
        <f t="shared" si="4"/>
        <v>1.2849871442766556</v>
      </c>
      <c r="O12" s="309">
        <f t="shared" si="5"/>
        <v>9.9150101265442492E-3</v>
      </c>
      <c r="P12">
        <f t="shared" si="6"/>
        <v>0.2</v>
      </c>
      <c r="Q12" s="309">
        <f t="shared" si="34"/>
        <v>0.20991501012654426</v>
      </c>
      <c r="R12" s="8">
        <f t="shared" si="39"/>
        <v>1.2651351552131791</v>
      </c>
      <c r="S12" s="8">
        <f t="shared" si="7"/>
        <v>1.6005669609562747E-3</v>
      </c>
      <c r="T12" s="8">
        <f t="shared" si="40"/>
        <v>1.6005669609562747E-3</v>
      </c>
      <c r="U12" s="309">
        <f t="shared" si="8"/>
        <v>0.67766936685290058</v>
      </c>
      <c r="V12" s="311">
        <f t="shared" si="9"/>
        <v>9.1847154154162222E-4</v>
      </c>
      <c r="W12" s="309">
        <f t="shared" si="41"/>
        <v>9.1847154154162222E-4</v>
      </c>
      <c r="X12" s="309">
        <f t="shared" si="10"/>
        <v>0.67766936685290058</v>
      </c>
      <c r="Y12" s="309">
        <f t="shared" si="11"/>
        <v>2.3880260080082177E-2</v>
      </c>
      <c r="Z12" s="309">
        <f t="shared" si="12"/>
        <v>9.1335322282834874E-3</v>
      </c>
      <c r="AA12" s="309">
        <f t="shared" si="13"/>
        <v>0</v>
      </c>
      <c r="AB12" s="309">
        <f t="shared" si="14"/>
        <v>1.179767020362458E-2</v>
      </c>
      <c r="AC12" s="309">
        <f t="shared" si="15"/>
        <v>4.5048129945016072E-2</v>
      </c>
      <c r="AD12" s="309">
        <f t="shared" si="16"/>
        <v>1.0917674615894466</v>
      </c>
      <c r="AE12" s="309">
        <f t="shared" si="17"/>
        <v>1.1919561901854638E-2</v>
      </c>
      <c r="AF12" s="309">
        <f t="shared" si="18"/>
        <v>1.6309878979077656E-2</v>
      </c>
      <c r="AG12" s="309">
        <f t="shared" si="19"/>
        <v>2.8283380962560611E-2</v>
      </c>
      <c r="AH12" s="309">
        <f t="shared" si="20"/>
        <v>0</v>
      </c>
      <c r="AI12">
        <f t="shared" si="21"/>
        <v>0</v>
      </c>
      <c r="AJ12" s="310">
        <f t="shared" si="22"/>
        <v>0.22485374999999996</v>
      </c>
      <c r="AK12">
        <f t="shared" si="23"/>
        <v>3.6000000000000004E-2</v>
      </c>
      <c r="AL12" s="310">
        <f t="shared" si="24"/>
        <v>3.0374999999999999E-2</v>
      </c>
      <c r="AM12" s="310">
        <f t="shared" si="25"/>
        <v>5.5427027027027023E-2</v>
      </c>
      <c r="AN12" s="310">
        <f t="shared" si="42"/>
        <v>6.6375000000000003E-2</v>
      </c>
      <c r="AO12" s="310">
        <f t="shared" si="26"/>
        <v>0.57699430953661879</v>
      </c>
      <c r="AP12">
        <f t="shared" si="27"/>
        <v>1.125</v>
      </c>
      <c r="AQ12" s="9">
        <f t="shared" si="43"/>
        <v>0.66098928398079659</v>
      </c>
      <c r="AR12" s="51">
        <f t="shared" si="28"/>
        <v>2.4776471469758841</v>
      </c>
      <c r="AS12" s="51">
        <f t="shared" si="44"/>
        <v>1.1313352385024245</v>
      </c>
      <c r="AT12" s="9"/>
      <c r="AU12">
        <f t="shared" si="45"/>
        <v>66.098928398079664</v>
      </c>
      <c r="BC12" t="s">
        <v>717</v>
      </c>
      <c r="BD12" s="540">
        <v>60</v>
      </c>
      <c r="BE12" s="540">
        <v>60</v>
      </c>
      <c r="BF12" s="540">
        <v>60</v>
      </c>
      <c r="BG12" s="21">
        <f>250000*(18-Vdd)*BF12/1000000000+((250000*BF9/1000000000*Vdd)*2.5/(2*4))</f>
        <v>0.198515625</v>
      </c>
      <c r="BH12">
        <f t="shared" si="29"/>
        <v>15.88125</v>
      </c>
      <c r="BI12">
        <f t="shared" si="29"/>
        <v>19.8515625</v>
      </c>
      <c r="BJ12">
        <f t="shared" si="29"/>
        <v>23.821874999999999</v>
      </c>
      <c r="BK12">
        <f t="shared" si="29"/>
        <v>27.792187500000001</v>
      </c>
      <c r="BL12">
        <f t="shared" si="29"/>
        <v>31.762499999999999</v>
      </c>
      <c r="BM12">
        <f t="shared" si="29"/>
        <v>35.732812500000001</v>
      </c>
      <c r="BN12">
        <f t="shared" si="29"/>
        <v>3.9703124999999999</v>
      </c>
      <c r="BO12">
        <f t="shared" si="29"/>
        <v>5.9554687499999996</v>
      </c>
      <c r="BP12">
        <f t="shared" si="29"/>
        <v>7.9406249999999998</v>
      </c>
      <c r="BQ12">
        <f t="shared" si="29"/>
        <v>9.92578125</v>
      </c>
    </row>
    <row r="13" spans="1:69">
      <c r="A13" s="24" t="s">
        <v>207</v>
      </c>
      <c r="B13" s="4">
        <f>Fsw/1000</f>
        <v>250</v>
      </c>
      <c r="C13" s="318" t="s">
        <v>15</v>
      </c>
      <c r="D13" s="23" t="s">
        <v>718</v>
      </c>
      <c r="G13">
        <v>4</v>
      </c>
      <c r="H13">
        <f t="shared" si="0"/>
        <v>0.3</v>
      </c>
      <c r="I13" s="309">
        <f t="shared" si="1"/>
        <v>0.2782392118927694</v>
      </c>
      <c r="J13" s="310">
        <f t="shared" si="2"/>
        <v>4.3843754601284877</v>
      </c>
      <c r="K13" s="310">
        <f t="shared" si="31"/>
        <v>2.4921877300642437</v>
      </c>
      <c r="L13" s="310">
        <f t="shared" si="32"/>
        <v>-1.8921877300642438</v>
      </c>
      <c r="M13" s="51">
        <f t="shared" si="3"/>
        <v>18</v>
      </c>
      <c r="N13" s="309">
        <f t="shared" si="4"/>
        <v>1.3007289038386929</v>
      </c>
      <c r="O13" s="309">
        <f t="shared" si="5"/>
        <v>1.0159624819859403E-2</v>
      </c>
      <c r="P13">
        <f t="shared" si="6"/>
        <v>0.2</v>
      </c>
      <c r="Q13" s="309">
        <f t="shared" si="34"/>
        <v>0.21015962481985942</v>
      </c>
      <c r="R13" s="8">
        <f t="shared" si="39"/>
        <v>1.2656601760667858</v>
      </c>
      <c r="S13" s="8">
        <f t="shared" si="7"/>
        <v>1.6018956812814075E-3</v>
      </c>
      <c r="T13" s="8">
        <f t="shared" si="40"/>
        <v>1.6018956812814075E-3</v>
      </c>
      <c r="U13" s="309">
        <f t="shared" si="8"/>
        <v>0.68611348985755927</v>
      </c>
      <c r="V13" s="311">
        <f t="shared" si="9"/>
        <v>9.4150344192903818E-4</v>
      </c>
      <c r="W13" s="309">
        <f t="shared" si="41"/>
        <v>9.4150344192903818E-4</v>
      </c>
      <c r="X13" s="309">
        <f t="shared" si="10"/>
        <v>0.68611348985755927</v>
      </c>
      <c r="Y13" s="309">
        <f t="shared" si="11"/>
        <v>2.4479089490154989E-2</v>
      </c>
      <c r="Z13" s="309">
        <f t="shared" si="12"/>
        <v>9.420469619642843E-3</v>
      </c>
      <c r="AA13" s="309">
        <f t="shared" si="13"/>
        <v>0</v>
      </c>
      <c r="AB13" s="309">
        <f t="shared" si="14"/>
        <v>1.1353126380385463E-2</v>
      </c>
      <c r="AC13" s="309">
        <f t="shared" si="15"/>
        <v>4.5497708837152068E-2</v>
      </c>
      <c r="AD13" s="309">
        <f t="shared" si="16"/>
        <v>1.1050538268866763</v>
      </c>
      <c r="AE13" s="309">
        <f t="shared" si="17"/>
        <v>1.2211439603168884E-2</v>
      </c>
      <c r="AF13" s="309">
        <f t="shared" si="18"/>
        <v>1.6822267177933645E-2</v>
      </c>
      <c r="AG13" s="309">
        <f t="shared" si="19"/>
        <v>2.9090544769979632E-2</v>
      </c>
      <c r="AH13" s="309">
        <f t="shared" si="20"/>
        <v>0</v>
      </c>
      <c r="AI13">
        <f t="shared" si="21"/>
        <v>0</v>
      </c>
      <c r="AJ13" s="310">
        <f t="shared" si="22"/>
        <v>0.224805</v>
      </c>
      <c r="AK13">
        <f t="shared" si="23"/>
        <v>3.6000000000000004E-2</v>
      </c>
      <c r="AL13" s="310">
        <f t="shared" si="24"/>
        <v>3.0374999999999999E-2</v>
      </c>
      <c r="AM13" s="310">
        <f t="shared" si="25"/>
        <v>5.5427027027027023E-2</v>
      </c>
      <c r="AN13" s="310">
        <f t="shared" si="42"/>
        <v>6.6375000000000003E-2</v>
      </c>
      <c r="AO13" s="310">
        <f t="shared" si="26"/>
        <v>0.57847127755020156</v>
      </c>
      <c r="AP13">
        <f t="shared" si="27"/>
        <v>1.5</v>
      </c>
      <c r="AQ13" s="9">
        <f t="shared" si="43"/>
        <v>0.72168425717577445</v>
      </c>
      <c r="AR13" s="51">
        <f t="shared" si="28"/>
        <v>2.5023739860433638</v>
      </c>
      <c r="AS13" s="51">
        <f t="shared" si="44"/>
        <v>1.1636217907991853</v>
      </c>
      <c r="AT13" s="9"/>
      <c r="AU13">
        <f t="shared" si="45"/>
        <v>72.168425717577449</v>
      </c>
      <c r="BC13" t="s">
        <v>719</v>
      </c>
      <c r="BD13" s="540">
        <v>30</v>
      </c>
      <c r="BE13" s="540">
        <v>30</v>
      </c>
      <c r="BF13" s="540">
        <v>30</v>
      </c>
      <c r="BG13" s="21">
        <f>500000*(5-Vdd)*BF13/1000000000+((500000*BF9/1000000000*Vdd)*2.5/(2*4))</f>
        <v>4.4531250000000001E-2</v>
      </c>
      <c r="BH13">
        <f t="shared" si="29"/>
        <v>3.5625</v>
      </c>
      <c r="BI13">
        <f t="shared" si="29"/>
        <v>4.453125</v>
      </c>
      <c r="BJ13">
        <f t="shared" si="29"/>
        <v>5.34375</v>
      </c>
      <c r="BK13">
        <f t="shared" si="29"/>
        <v>6.234375</v>
      </c>
      <c r="BL13">
        <f t="shared" si="29"/>
        <v>7.125</v>
      </c>
      <c r="BM13">
        <f t="shared" si="29"/>
        <v>8.015625</v>
      </c>
      <c r="BN13">
        <f t="shared" si="29"/>
        <v>0.890625</v>
      </c>
      <c r="BO13">
        <f t="shared" si="29"/>
        <v>1.3359375</v>
      </c>
      <c r="BP13">
        <f t="shared" si="29"/>
        <v>1.78125</v>
      </c>
      <c r="BQ13">
        <f t="shared" si="29"/>
        <v>2.2265625</v>
      </c>
    </row>
    <row r="14" spans="1:69">
      <c r="A14" s="24" t="s">
        <v>204</v>
      </c>
      <c r="B14" s="4">
        <f>Iout</f>
        <v>15</v>
      </c>
      <c r="C14" s="318" t="s">
        <v>13</v>
      </c>
      <c r="D14" s="23" t="s">
        <v>720</v>
      </c>
      <c r="G14">
        <v>5</v>
      </c>
      <c r="H14">
        <f t="shared" si="0"/>
        <v>0.375</v>
      </c>
      <c r="I14" s="309">
        <f t="shared" si="1"/>
        <v>0.27835467144862869</v>
      </c>
      <c r="J14" s="310">
        <f t="shared" si="2"/>
        <v>4.3861948228268766</v>
      </c>
      <c r="K14" s="310">
        <f t="shared" si="31"/>
        <v>2.5680974114134383</v>
      </c>
      <c r="L14" s="310">
        <f t="shared" si="32"/>
        <v>-1.8180974114134383</v>
      </c>
      <c r="M14" s="51">
        <f t="shared" si="3"/>
        <v>18</v>
      </c>
      <c r="N14" s="309">
        <f t="shared" si="4"/>
        <v>1.3205492867172512</v>
      </c>
      <c r="O14" s="309">
        <f t="shared" si="5"/>
        <v>1.0471867970141659E-2</v>
      </c>
      <c r="P14">
        <f t="shared" si="6"/>
        <v>0.2</v>
      </c>
      <c r="Q14" s="309">
        <f t="shared" si="34"/>
        <v>0.21047186797014167</v>
      </c>
      <c r="R14" s="8">
        <f t="shared" si="39"/>
        <v>1.2661853808386201</v>
      </c>
      <c r="S14" s="8">
        <f t="shared" si="7"/>
        <v>1.6032254186494415E-3</v>
      </c>
      <c r="T14" s="8">
        <f t="shared" si="40"/>
        <v>1.6032254186494415E-3</v>
      </c>
      <c r="U14" s="309">
        <f t="shared" si="8"/>
        <v>0.69671293251863697</v>
      </c>
      <c r="V14" s="311">
        <f t="shared" si="9"/>
        <v>9.7081782067743759E-4</v>
      </c>
      <c r="W14" s="309">
        <f t="shared" si="41"/>
        <v>9.7081782067743759E-4</v>
      </c>
      <c r="X14" s="309">
        <f t="shared" si="10"/>
        <v>0.69671293251863697</v>
      </c>
      <c r="Y14" s="309">
        <f t="shared" si="11"/>
        <v>2.5241263337613378E-2</v>
      </c>
      <c r="Z14" s="309">
        <f t="shared" si="12"/>
        <v>9.7074082151427984E-3</v>
      </c>
      <c r="AA14" s="309">
        <f t="shared" si="13"/>
        <v>0</v>
      </c>
      <c r="AB14" s="309">
        <f t="shared" si="14"/>
        <v>1.090858446848063E-2</v>
      </c>
      <c r="AC14" s="309">
        <f t="shared" si="15"/>
        <v>4.6113326919429092E-2</v>
      </c>
      <c r="AD14" s="309">
        <f t="shared" si="16"/>
        <v>1.1218027938593853</v>
      </c>
      <c r="AE14" s="309">
        <f t="shared" si="17"/>
        <v>1.2584415083107226E-2</v>
      </c>
      <c r="AF14" s="309">
        <f t="shared" si="18"/>
        <v>1.733465752704071E-2</v>
      </c>
      <c r="AG14" s="309">
        <f t="shared" si="19"/>
        <v>2.997943639760154E-2</v>
      </c>
      <c r="AH14" s="309">
        <f t="shared" si="20"/>
        <v>0</v>
      </c>
      <c r="AI14">
        <f t="shared" si="21"/>
        <v>0</v>
      </c>
      <c r="AJ14" s="310">
        <f t="shared" si="22"/>
        <v>0.22475624999999996</v>
      </c>
      <c r="AK14">
        <f t="shared" si="23"/>
        <v>3.6000000000000004E-2</v>
      </c>
      <c r="AL14" s="310">
        <f t="shared" si="24"/>
        <v>3.0374999999999999E-2</v>
      </c>
      <c r="AM14" s="310">
        <f t="shared" si="25"/>
        <v>5.5427027027027023E-2</v>
      </c>
      <c r="AN14" s="310">
        <f t="shared" si="42"/>
        <v>6.6375000000000003E-2</v>
      </c>
      <c r="AO14" s="310">
        <f t="shared" si="26"/>
        <v>0.58026992452649917</v>
      </c>
      <c r="AP14">
        <f t="shared" si="27"/>
        <v>1.875</v>
      </c>
      <c r="AQ14" s="9">
        <f t="shared" si="43"/>
        <v>0.76366349022158742</v>
      </c>
      <c r="AR14" s="51">
        <f t="shared" si="28"/>
        <v>2.5362329805686001</v>
      </c>
      <c r="AS14" s="51">
        <f t="shared" si="44"/>
        <v>1.1991774559040616</v>
      </c>
      <c r="AT14" s="9"/>
      <c r="AU14">
        <f t="shared" si="45"/>
        <v>76.366349022158744</v>
      </c>
      <c r="BC14" t="s">
        <v>721</v>
      </c>
      <c r="BD14" s="540">
        <v>45</v>
      </c>
      <c r="BE14" s="540">
        <v>45</v>
      </c>
      <c r="BF14" s="540">
        <v>45</v>
      </c>
      <c r="BG14" s="21">
        <f>500000*(12-Vdd)*BF14/1000000000+((500000*BF9/1000000000*Vdd)*2.5/(2*4))</f>
        <v>0.18328125000000001</v>
      </c>
      <c r="BH14">
        <f t="shared" si="29"/>
        <v>14.662500000000001</v>
      </c>
      <c r="BI14">
        <f t="shared" si="29"/>
        <v>18.328125</v>
      </c>
      <c r="BJ14">
        <f t="shared" si="29"/>
        <v>21.993750000000002</v>
      </c>
      <c r="BK14">
        <f t="shared" si="29"/>
        <v>25.659375000000001</v>
      </c>
      <c r="BL14">
        <f t="shared" si="29"/>
        <v>29.325000000000003</v>
      </c>
      <c r="BM14">
        <f t="shared" si="29"/>
        <v>32.990625000000001</v>
      </c>
      <c r="BN14">
        <f t="shared" si="29"/>
        <v>3.6656250000000004</v>
      </c>
      <c r="BO14">
        <f t="shared" si="29"/>
        <v>5.4984375000000005</v>
      </c>
      <c r="BP14">
        <f t="shared" si="29"/>
        <v>7.3312500000000007</v>
      </c>
      <c r="BQ14">
        <f t="shared" si="29"/>
        <v>9.1640625</v>
      </c>
    </row>
    <row r="15" spans="1:69">
      <c r="A15" s="25" t="s">
        <v>448</v>
      </c>
      <c r="B15" s="4">
        <f>Ta</f>
        <v>25</v>
      </c>
      <c r="C15" s="318" t="s">
        <v>722</v>
      </c>
      <c r="D15" s="23" t="s">
        <v>449</v>
      </c>
      <c r="G15">
        <v>6</v>
      </c>
      <c r="H15">
        <f t="shared" si="0"/>
        <v>0.44999999999999996</v>
      </c>
      <c r="I15" s="309">
        <f t="shared" si="1"/>
        <v>0.27847017145780845</v>
      </c>
      <c r="J15" s="310">
        <f t="shared" si="2"/>
        <v>4.3880148229715275</v>
      </c>
      <c r="K15" s="310">
        <f t="shared" si="31"/>
        <v>2.6440074114857639</v>
      </c>
      <c r="L15" s="310">
        <f t="shared" si="32"/>
        <v>-1.7440074114857638</v>
      </c>
      <c r="M15" s="51">
        <f t="shared" si="3"/>
        <v>18</v>
      </c>
      <c r="N15" s="309">
        <f t="shared" si="4"/>
        <v>1.3442678951328193</v>
      </c>
      <c r="O15" s="309">
        <f t="shared" si="5"/>
        <v>1.0851749709537757E-2</v>
      </c>
      <c r="P15">
        <f t="shared" si="6"/>
        <v>0.2</v>
      </c>
      <c r="Q15" s="309">
        <f t="shared" si="34"/>
        <v>0.21085174970953777</v>
      </c>
      <c r="R15" s="8">
        <f t="shared" si="39"/>
        <v>1.2667107696253397</v>
      </c>
      <c r="S15" s="8">
        <f t="shared" si="7"/>
        <v>1.6045561738848204E-3</v>
      </c>
      <c r="T15" s="8">
        <f t="shared" si="40"/>
        <v>1.6045561738848204E-3</v>
      </c>
      <c r="U15" s="309">
        <f t="shared" si="8"/>
        <v>0.70937383837832446</v>
      </c>
      <c r="V15" s="311">
        <f t="shared" si="9"/>
        <v>1.0064224851511945E-3</v>
      </c>
      <c r="W15" s="309">
        <f t="shared" si="41"/>
        <v>1.0064224851511945E-3</v>
      </c>
      <c r="X15" s="309">
        <f t="shared" si="10"/>
        <v>0.70937383837832446</v>
      </c>
      <c r="Y15" s="309">
        <f t="shared" si="11"/>
        <v>2.6166984613931056E-2</v>
      </c>
      <c r="Z15" s="309">
        <f t="shared" si="12"/>
        <v>9.9943480154161875E-3</v>
      </c>
      <c r="AA15" s="309">
        <f t="shared" si="13"/>
        <v>0</v>
      </c>
      <c r="AB15" s="309">
        <f t="shared" si="14"/>
        <v>1.0464044468914583E-2</v>
      </c>
      <c r="AC15" s="309">
        <f t="shared" si="15"/>
        <v>4.6895341226174503E-2</v>
      </c>
      <c r="AD15" s="309">
        <f t="shared" si="16"/>
        <v>1.1418602941293752</v>
      </c>
      <c r="AE15" s="309">
        <f t="shared" si="17"/>
        <v>1.3038449313092232E-2</v>
      </c>
      <c r="AF15" s="309">
        <f t="shared" si="18"/>
        <v>1.7847050027528906E-2</v>
      </c>
      <c r="AG15" s="309">
        <f t="shared" si="19"/>
        <v>3.0950065879053284E-2</v>
      </c>
      <c r="AH15" s="309">
        <f t="shared" si="20"/>
        <v>0</v>
      </c>
      <c r="AI15">
        <f t="shared" si="21"/>
        <v>0</v>
      </c>
      <c r="AJ15" s="310">
        <f t="shared" si="22"/>
        <v>0.2247075</v>
      </c>
      <c r="AK15">
        <f t="shared" si="23"/>
        <v>3.6000000000000004E-2</v>
      </c>
      <c r="AL15" s="310">
        <f t="shared" si="24"/>
        <v>3.0374999999999999E-2</v>
      </c>
      <c r="AM15" s="310">
        <f t="shared" si="25"/>
        <v>5.5427027027027023E-2</v>
      </c>
      <c r="AN15" s="310">
        <f t="shared" si="42"/>
        <v>6.6375000000000003E-2</v>
      </c>
      <c r="AO15" s="310">
        <f t="shared" si="26"/>
        <v>0.58239063547380154</v>
      </c>
      <c r="AP15">
        <f t="shared" si="27"/>
        <v>2.25</v>
      </c>
      <c r="AQ15" s="9">
        <f t="shared" si="43"/>
        <v>0.79438195135242018</v>
      </c>
      <c r="AR15" s="51">
        <f t="shared" si="28"/>
        <v>2.5792437674395976</v>
      </c>
      <c r="AS15" s="51">
        <f t="shared" si="44"/>
        <v>1.2380026351621314</v>
      </c>
      <c r="AT15" s="9"/>
      <c r="AU15">
        <f t="shared" si="45"/>
        <v>79.438195135242012</v>
      </c>
      <c r="BC15" t="s">
        <v>723</v>
      </c>
      <c r="BD15" s="540">
        <v>20</v>
      </c>
      <c r="BE15" s="540">
        <v>20</v>
      </c>
      <c r="BF15" s="540">
        <v>20</v>
      </c>
      <c r="BG15" s="21">
        <f>1000000*(5-Vdd)*BF15/1000000000+((1000000*BF9/1000000000*Vdd)*2.5/(2*4))</f>
        <v>0.1140625</v>
      </c>
      <c r="BH15">
        <f t="shared" si="29"/>
        <v>9.125</v>
      </c>
      <c r="BI15">
        <f t="shared" si="29"/>
        <v>11.40625</v>
      </c>
      <c r="BJ15">
        <f t="shared" si="29"/>
        <v>13.6875</v>
      </c>
      <c r="BK15">
        <f t="shared" si="29"/>
        <v>15.96875</v>
      </c>
      <c r="BL15">
        <f t="shared" si="29"/>
        <v>18.25</v>
      </c>
      <c r="BM15">
        <f t="shared" si="29"/>
        <v>20.53125</v>
      </c>
      <c r="BN15">
        <f t="shared" si="29"/>
        <v>2.28125</v>
      </c>
      <c r="BO15">
        <f t="shared" si="29"/>
        <v>3.421875</v>
      </c>
      <c r="BP15">
        <f t="shared" si="29"/>
        <v>4.5625</v>
      </c>
      <c r="BQ15">
        <f t="shared" si="29"/>
        <v>5.703125</v>
      </c>
    </row>
    <row r="16" spans="1:69">
      <c r="A16" s="308" t="s">
        <v>458</v>
      </c>
      <c r="B16" s="4">
        <v>7.5</v>
      </c>
      <c r="C16" s="318" t="s">
        <v>8</v>
      </c>
      <c r="D16" s="318" t="s">
        <v>724</v>
      </c>
      <c r="G16">
        <v>7</v>
      </c>
      <c r="H16">
        <f t="shared" si="0"/>
        <v>0.52500000000000002</v>
      </c>
      <c r="I16" s="309">
        <f t="shared" si="1"/>
        <v>0.27858571194157289</v>
      </c>
      <c r="J16" s="310">
        <f t="shared" si="2"/>
        <v>4.3898354608975128</v>
      </c>
      <c r="K16" s="310">
        <f t="shared" si="31"/>
        <v>2.7199177304487563</v>
      </c>
      <c r="L16" s="310">
        <f t="shared" si="32"/>
        <v>-1.6699177304487565</v>
      </c>
      <c r="M16" s="51">
        <f t="shared" si="3"/>
        <v>18</v>
      </c>
      <c r="N16" s="309">
        <f t="shared" si="4"/>
        <v>1.3716825244249389</v>
      </c>
      <c r="O16" s="309">
        <f t="shared" si="5"/>
        <v>1.1299282364990585E-2</v>
      </c>
      <c r="P16">
        <f t="shared" si="6"/>
        <v>0.2</v>
      </c>
      <c r="Q16" s="309">
        <f t="shared" si="34"/>
        <v>0.2112992823649906</v>
      </c>
      <c r="R16" s="8">
        <f t="shared" si="39"/>
        <v>1.2672363425236721</v>
      </c>
      <c r="S16" s="8">
        <f t="shared" si="7"/>
        <v>1.6058879478127736E-3</v>
      </c>
      <c r="T16" s="8">
        <f t="shared" si="40"/>
        <v>1.6058879478127736E-3</v>
      </c>
      <c r="U16" s="309">
        <f t="shared" si="8"/>
        <v>0.723990762436724</v>
      </c>
      <c r="V16" s="311">
        <f t="shared" si="9"/>
        <v>1.048325248187418E-3</v>
      </c>
      <c r="W16" s="309">
        <f t="shared" si="41"/>
        <v>1.048325248187418E-3</v>
      </c>
      <c r="X16" s="309">
        <f t="shared" si="10"/>
        <v>0.723990762436724</v>
      </c>
      <c r="Y16" s="309">
        <f t="shared" si="11"/>
        <v>2.7256456452872863E-2</v>
      </c>
      <c r="Z16" s="309">
        <f t="shared" si="12"/>
        <v>1.0281289021096299E-2</v>
      </c>
      <c r="AA16" s="309">
        <f t="shared" si="13"/>
        <v>0</v>
      </c>
      <c r="AB16" s="309">
        <f t="shared" si="14"/>
        <v>1.0019506382692538E-2</v>
      </c>
      <c r="AC16" s="309">
        <f t="shared" si="15"/>
        <v>4.7844145467502881E-2</v>
      </c>
      <c r="AD16" s="309">
        <f t="shared" si="16"/>
        <v>1.1650537857622987</v>
      </c>
      <c r="AE16" s="309">
        <f t="shared" si="17"/>
        <v>1.3573503237190641E-2</v>
      </c>
      <c r="AF16" s="309">
        <f t="shared" si="18"/>
        <v>1.8359444680529104E-2</v>
      </c>
      <c r="AG16" s="309">
        <f t="shared" si="19"/>
        <v>3.2002449574182655E-2</v>
      </c>
      <c r="AH16" s="309">
        <f t="shared" si="20"/>
        <v>0</v>
      </c>
      <c r="AI16">
        <f t="shared" si="21"/>
        <v>0</v>
      </c>
      <c r="AJ16" s="310">
        <f t="shared" si="22"/>
        <v>0.22465874999999999</v>
      </c>
      <c r="AK16">
        <f t="shared" si="23"/>
        <v>3.6000000000000004E-2</v>
      </c>
      <c r="AL16" s="310">
        <f t="shared" si="24"/>
        <v>3.0374999999999999E-2</v>
      </c>
      <c r="AM16" s="310">
        <f t="shared" si="25"/>
        <v>5.5427027027027023E-2</v>
      </c>
      <c r="AN16" s="310">
        <f t="shared" si="42"/>
        <v>6.6375000000000003E-2</v>
      </c>
      <c r="AO16" s="310">
        <f t="shared" si="26"/>
        <v>0.58483384060267629</v>
      </c>
      <c r="AP16">
        <f t="shared" si="27"/>
        <v>2.625</v>
      </c>
      <c r="AQ16" s="9">
        <f t="shared" si="43"/>
        <v>0.81779934113571806</v>
      </c>
      <c r="AR16" s="51">
        <f t="shared" si="28"/>
        <v>2.6314280007126585</v>
      </c>
      <c r="AS16" s="51">
        <f t="shared" si="44"/>
        <v>1.2800979829673063</v>
      </c>
      <c r="AT16" s="9"/>
      <c r="AU16">
        <f t="shared" si="45"/>
        <v>81.779934113571812</v>
      </c>
      <c r="BC16" t="s">
        <v>725</v>
      </c>
      <c r="BD16" s="540">
        <v>25</v>
      </c>
      <c r="BE16" s="540">
        <v>25</v>
      </c>
      <c r="BF16" s="540">
        <v>25</v>
      </c>
      <c r="BG16" s="21">
        <f>1000000*(12-Vdd)*BF16/1000000000+((1000000*BF9/1000000000*Vdd)*2.5/(2*4))</f>
        <v>0.27656249999999999</v>
      </c>
      <c r="BH16">
        <f t="shared" si="29"/>
        <v>22.125</v>
      </c>
      <c r="BI16">
        <f t="shared" si="29"/>
        <v>27.65625</v>
      </c>
      <c r="BJ16">
        <f t="shared" si="29"/>
        <v>33.1875</v>
      </c>
      <c r="BK16">
        <f t="shared" si="29"/>
        <v>38.71875</v>
      </c>
      <c r="BL16">
        <f t="shared" si="29"/>
        <v>44.25</v>
      </c>
      <c r="BM16">
        <f t="shared" si="29"/>
        <v>49.78125</v>
      </c>
      <c r="BN16">
        <f t="shared" si="29"/>
        <v>5.53125</v>
      </c>
      <c r="BO16">
        <f t="shared" si="29"/>
        <v>8.296875</v>
      </c>
      <c r="BP16">
        <f t="shared" si="29"/>
        <v>11.0625</v>
      </c>
      <c r="BQ16">
        <f t="shared" si="29"/>
        <v>13.828125</v>
      </c>
    </row>
    <row r="17" spans="1:69">
      <c r="A17" s="26" t="s">
        <v>450</v>
      </c>
      <c r="B17" s="19" t="s">
        <v>714</v>
      </c>
      <c r="C17" s="26" t="s">
        <v>532</v>
      </c>
      <c r="D17" s="20" t="s">
        <v>130</v>
      </c>
      <c r="G17">
        <v>8</v>
      </c>
      <c r="H17">
        <f t="shared" si="0"/>
        <v>0.6</v>
      </c>
      <c r="I17" s="309">
        <f t="shared" si="1"/>
        <v>0.27870129292120077</v>
      </c>
      <c r="J17" s="310">
        <f t="shared" si="2"/>
        <v>4.3916567369401331</v>
      </c>
      <c r="K17" s="310">
        <f t="shared" si="31"/>
        <v>2.7958283684700667</v>
      </c>
      <c r="L17" s="310">
        <f t="shared" si="32"/>
        <v>-1.5958283684700665</v>
      </c>
      <c r="M17" s="51">
        <f t="shared" si="3"/>
        <v>18</v>
      </c>
      <c r="N17" s="309">
        <f t="shared" si="4"/>
        <v>1.4025764653876469</v>
      </c>
      <c r="O17" s="309">
        <f t="shared" si="5"/>
        <v>1.1814480459239007E-2</v>
      </c>
      <c r="P17">
        <f t="shared" si="6"/>
        <v>0.2</v>
      </c>
      <c r="Q17" s="309">
        <f t="shared" si="34"/>
        <v>0.21181448045923901</v>
      </c>
      <c r="R17" s="8">
        <f t="shared" si="39"/>
        <v>1.2677620996304098</v>
      </c>
      <c r="S17" s="8">
        <f t="shared" si="7"/>
        <v>1.6072207412593049E-3</v>
      </c>
      <c r="T17" s="8">
        <f t="shared" si="40"/>
        <v>1.6072207412593049E-3</v>
      </c>
      <c r="U17" s="309">
        <f t="shared" si="8"/>
        <v>0.74045051424816444</v>
      </c>
      <c r="V17" s="311">
        <f t="shared" si="9"/>
        <v>1.0965339281007423E-3</v>
      </c>
      <c r="W17" s="309">
        <f t="shared" si="41"/>
        <v>1.0965339281007423E-3</v>
      </c>
      <c r="X17" s="309">
        <f t="shared" si="10"/>
        <v>0.74045051424816444</v>
      </c>
      <c r="Y17" s="309">
        <f t="shared" si="11"/>
        <v>2.8509882130619297E-2</v>
      </c>
      <c r="Z17" s="309">
        <f t="shared" si="12"/>
        <v>1.0568231232816852E-2</v>
      </c>
      <c r="AA17" s="309">
        <f t="shared" si="13"/>
        <v>0</v>
      </c>
      <c r="AB17" s="309">
        <f t="shared" si="14"/>
        <v>9.5749702108203997E-3</v>
      </c>
      <c r="AC17" s="309">
        <f t="shared" si="15"/>
        <v>4.8960170284717261E-2</v>
      </c>
      <c r="AD17" s="309">
        <f t="shared" si="16"/>
        <v>1.1911984625615222</v>
      </c>
      <c r="AE17" s="309">
        <f t="shared" si="17"/>
        <v>1.4189537772089342E-2</v>
      </c>
      <c r="AF17" s="309">
        <f t="shared" si="18"/>
        <v>1.8871841487172948E-2</v>
      </c>
      <c r="AG17" s="309">
        <f t="shared" si="19"/>
        <v>3.3136610168321881E-2</v>
      </c>
      <c r="AH17" s="309">
        <f t="shared" si="20"/>
        <v>0</v>
      </c>
      <c r="AI17">
        <f t="shared" si="21"/>
        <v>0</v>
      </c>
      <c r="AJ17" s="310">
        <f t="shared" si="22"/>
        <v>0.22461</v>
      </c>
      <c r="AK17">
        <f t="shared" si="23"/>
        <v>3.6000000000000004E-2</v>
      </c>
      <c r="AL17" s="310">
        <f t="shared" si="24"/>
        <v>3.0374999999999999E-2</v>
      </c>
      <c r="AM17" s="310">
        <f t="shared" si="25"/>
        <v>5.5427027027027023E-2</v>
      </c>
      <c r="AN17" s="310">
        <f t="shared" si="42"/>
        <v>6.6375000000000003E-2</v>
      </c>
      <c r="AO17" s="310">
        <f t="shared" si="26"/>
        <v>0.58760001558163821</v>
      </c>
      <c r="AP17">
        <f t="shared" si="27"/>
        <v>3</v>
      </c>
      <c r="AQ17" s="9">
        <f t="shared" si="43"/>
        <v>0.83621362107548824</v>
      </c>
      <c r="AR17" s="51">
        <f t="shared" si="28"/>
        <v>2.6928093656594494</v>
      </c>
      <c r="AS17" s="51">
        <f t="shared" si="44"/>
        <v>1.3254644067328751</v>
      </c>
      <c r="AT17" s="9"/>
      <c r="AU17">
        <f t="shared" si="45"/>
        <v>83.621362107548819</v>
      </c>
      <c r="BC17" t="s">
        <v>726</v>
      </c>
      <c r="BD17" s="540">
        <v>50</v>
      </c>
      <c r="BE17" s="540">
        <v>50</v>
      </c>
      <c r="BF17" s="540">
        <v>50</v>
      </c>
      <c r="BG17" s="21">
        <f>500000*(18-Vdd)*BF17/1000000000+((500000*BF15/1000000000*Vdd)*2.5/(2*4))</f>
        <v>0.28593750000000001</v>
      </c>
      <c r="BH17">
        <f t="shared" si="29"/>
        <v>22.875</v>
      </c>
      <c r="BI17">
        <f t="shared" si="29"/>
        <v>28.59375</v>
      </c>
      <c r="BJ17">
        <f t="shared" si="29"/>
        <v>34.3125</v>
      </c>
      <c r="BK17">
        <f t="shared" si="29"/>
        <v>40.03125</v>
      </c>
      <c r="BL17">
        <f t="shared" si="29"/>
        <v>45.75</v>
      </c>
      <c r="BM17">
        <f t="shared" si="29"/>
        <v>51.46875</v>
      </c>
      <c r="BN17">
        <f t="shared" si="29"/>
        <v>5.71875</v>
      </c>
      <c r="BO17">
        <f t="shared" si="29"/>
        <v>8.578125</v>
      </c>
      <c r="BP17">
        <f t="shared" si="29"/>
        <v>11.4375</v>
      </c>
      <c r="BQ17">
        <f t="shared" si="29"/>
        <v>14.296875</v>
      </c>
    </row>
    <row r="18" spans="1:69">
      <c r="A18" s="36" t="s">
        <v>727</v>
      </c>
      <c r="B18" s="39">
        <f>Lout2*1000000</f>
        <v>3.3</v>
      </c>
      <c r="C18" s="320" t="s">
        <v>728</v>
      </c>
      <c r="D18" s="23" t="s">
        <v>729</v>
      </c>
      <c r="G18">
        <v>9</v>
      </c>
      <c r="H18">
        <f t="shared" si="0"/>
        <v>0.67499999999999993</v>
      </c>
      <c r="I18" s="309">
        <f t="shared" si="1"/>
        <v>0.27881691441798612</v>
      </c>
      <c r="J18" s="310">
        <f t="shared" si="2"/>
        <v>4.3934786514349327</v>
      </c>
      <c r="K18" s="310">
        <f t="shared" si="31"/>
        <v>2.8717393257174662</v>
      </c>
      <c r="L18" s="310">
        <f t="shared" si="32"/>
        <v>-1.5217393257174665</v>
      </c>
      <c r="M18" s="51">
        <f t="shared" si="3"/>
        <v>18</v>
      </c>
      <c r="N18" s="309">
        <f t="shared" si="4"/>
        <v>1.4367252886516646</v>
      </c>
      <c r="O18" s="309">
        <f t="shared" si="5"/>
        <v>1.2397360711996036E-2</v>
      </c>
      <c r="P18">
        <f t="shared" si="6"/>
        <v>0.2</v>
      </c>
      <c r="Q18" s="309">
        <f t="shared" si="34"/>
        <v>0.21239736071199605</v>
      </c>
      <c r="R18" s="8">
        <f t="shared" si="39"/>
        <v>1.2682880410424162</v>
      </c>
      <c r="S18" s="8">
        <f t="shared" si="7"/>
        <v>1.6085545550512097E-3</v>
      </c>
      <c r="T18" s="8">
        <f t="shared" si="40"/>
        <v>1.6085545550512097E-3</v>
      </c>
      <c r="U18" s="309">
        <f t="shared" si="8"/>
        <v>0.75863573231431014</v>
      </c>
      <c r="V18" s="311">
        <f t="shared" si="9"/>
        <v>1.1510563486881393E-3</v>
      </c>
      <c r="W18" s="309">
        <f t="shared" si="41"/>
        <v>1.1510563486881393E-3</v>
      </c>
      <c r="X18" s="309">
        <f t="shared" si="10"/>
        <v>0.75863573231431014</v>
      </c>
      <c r="Y18" s="309">
        <f t="shared" si="11"/>
        <v>2.9927465065891622E-2</v>
      </c>
      <c r="Z18" s="309">
        <f t="shared" si="12"/>
        <v>1.0855174651212024E-2</v>
      </c>
      <c r="AA18" s="309">
        <f t="shared" si="13"/>
        <v>0</v>
      </c>
      <c r="AB18" s="309">
        <f t="shared" si="14"/>
        <v>9.1304359543047994E-3</v>
      </c>
      <c r="AC18" s="309">
        <f t="shared" si="15"/>
        <v>5.0243883526592141E-2</v>
      </c>
      <c r="AD18" s="309">
        <f t="shared" si="16"/>
        <v>1.2201030205302907</v>
      </c>
      <c r="AE18" s="309">
        <f t="shared" si="17"/>
        <v>1.4886513807071391E-2</v>
      </c>
      <c r="AF18" s="309">
        <f t="shared" si="18"/>
        <v>1.9384240448592896E-2</v>
      </c>
      <c r="AG18" s="309">
        <f t="shared" si="19"/>
        <v>3.4352576672775928E-2</v>
      </c>
      <c r="AH18" s="309">
        <f t="shared" si="20"/>
        <v>0</v>
      </c>
      <c r="AI18">
        <f t="shared" si="21"/>
        <v>0</v>
      </c>
      <c r="AJ18" s="310">
        <f t="shared" si="22"/>
        <v>0.22456124999999999</v>
      </c>
      <c r="AK18">
        <f t="shared" si="23"/>
        <v>3.6000000000000004E-2</v>
      </c>
      <c r="AL18" s="310">
        <f t="shared" si="24"/>
        <v>3.0374999999999999E-2</v>
      </c>
      <c r="AM18" s="310">
        <f t="shared" si="25"/>
        <v>5.5427027027027023E-2</v>
      </c>
      <c r="AN18" s="310">
        <f t="shared" si="42"/>
        <v>6.6375000000000003E-2</v>
      </c>
      <c r="AO18" s="310">
        <f t="shared" si="26"/>
        <v>0.5906896818151034</v>
      </c>
      <c r="AP18">
        <f t="shared" si="27"/>
        <v>3.3749999999999996</v>
      </c>
      <c r="AQ18" s="9">
        <f t="shared" si="43"/>
        <v>0.85104994863220274</v>
      </c>
      <c r="AR18" s="51">
        <f t="shared" si="28"/>
        <v>2.7634135939625679</v>
      </c>
      <c r="AS18" s="51">
        <f t="shared" si="44"/>
        <v>1.374103066911037</v>
      </c>
      <c r="AT18" s="9"/>
      <c r="AU18">
        <f t="shared" si="45"/>
        <v>85.10499486322027</v>
      </c>
      <c r="BC18" t="s">
        <v>730</v>
      </c>
      <c r="BE18" s="540"/>
      <c r="BF18" s="21"/>
    </row>
    <row r="19" spans="1:69">
      <c r="A19" s="36" t="s">
        <v>240</v>
      </c>
      <c r="B19" s="40">
        <f>Rdcr*1000</f>
        <v>6</v>
      </c>
      <c r="C19" s="318" t="s">
        <v>731</v>
      </c>
      <c r="D19" s="23" t="s">
        <v>732</v>
      </c>
      <c r="G19">
        <v>10</v>
      </c>
      <c r="H19">
        <f t="shared" si="0"/>
        <v>0.75</v>
      </c>
      <c r="I19" s="309">
        <f t="shared" si="1"/>
        <v>0.27893257645323766</v>
      </c>
      <c r="J19" s="310">
        <f t="shared" si="2"/>
        <v>4.3953012047176845</v>
      </c>
      <c r="K19" s="310">
        <f t="shared" si="31"/>
        <v>2.9476506023588422</v>
      </c>
      <c r="L19" s="310">
        <f t="shared" si="32"/>
        <v>-1.4476506023588422</v>
      </c>
      <c r="M19" s="51">
        <f t="shared" si="3"/>
        <v>18</v>
      </c>
      <c r="N19" s="309">
        <f t="shared" si="4"/>
        <v>1.4739027749536471</v>
      </c>
      <c r="O19" s="309">
        <f t="shared" si="5"/>
        <v>1.3047942041305364E-2</v>
      </c>
      <c r="P19">
        <f t="shared" si="6"/>
        <v>0.2</v>
      </c>
      <c r="Q19" s="309">
        <f t="shared" si="34"/>
        <v>0.21304794204130537</v>
      </c>
      <c r="R19" s="8">
        <f t="shared" si="39"/>
        <v>1.2688141668566209</v>
      </c>
      <c r="S19" s="8">
        <f t="shared" si="7"/>
        <v>1.6098893900160609E-3</v>
      </c>
      <c r="T19" s="8">
        <f t="shared" si="40"/>
        <v>1.6098893900160609E-3</v>
      </c>
      <c r="U19" s="309">
        <f t="shared" si="8"/>
        <v>0.77842801183979582</v>
      </c>
      <c r="V19" s="311">
        <f t="shared" si="9"/>
        <v>1.2119003392337146E-3</v>
      </c>
      <c r="W19" s="309">
        <f t="shared" si="41"/>
        <v>1.2119003392337146E-3</v>
      </c>
      <c r="X19" s="309">
        <f t="shared" si="10"/>
        <v>0.77842801183979582</v>
      </c>
      <c r="Y19" s="309">
        <f t="shared" si="11"/>
        <v>3.1509408820076579E-2</v>
      </c>
      <c r="Z19" s="309">
        <f t="shared" si="12"/>
        <v>1.1142119276916424E-2</v>
      </c>
      <c r="AA19" s="309">
        <f t="shared" si="13"/>
        <v>0</v>
      </c>
      <c r="AB19" s="309">
        <f t="shared" si="14"/>
        <v>8.6859036141530531E-3</v>
      </c>
      <c r="AC19" s="309">
        <f t="shared" si="15"/>
        <v>5.1695790546841904E-2</v>
      </c>
      <c r="AD19" s="309">
        <f t="shared" si="16"/>
        <v>1.2515746962923162</v>
      </c>
      <c r="AE19" s="309">
        <f t="shared" si="17"/>
        <v>1.5664392203992034E-2</v>
      </c>
      <c r="AF19" s="309">
        <f t="shared" si="18"/>
        <v>1.9896641565922184E-2</v>
      </c>
      <c r="AG19" s="309">
        <f t="shared" si="19"/>
        <v>3.5650384426535078E-2</v>
      </c>
      <c r="AH19" s="309">
        <f t="shared" si="20"/>
        <v>0</v>
      </c>
      <c r="AI19">
        <f t="shared" si="21"/>
        <v>0</v>
      </c>
      <c r="AJ19" s="310">
        <f t="shared" si="22"/>
        <v>0.22451249999999998</v>
      </c>
      <c r="AK19">
        <f t="shared" si="23"/>
        <v>3.6000000000000004E-2</v>
      </c>
      <c r="AL19" s="310">
        <f t="shared" si="24"/>
        <v>3.0374999999999999E-2</v>
      </c>
      <c r="AM19" s="310">
        <f t="shared" si="25"/>
        <v>5.5427027027027023E-2</v>
      </c>
      <c r="AN19" s="310">
        <f t="shared" si="42"/>
        <v>6.6375000000000003E-2</v>
      </c>
      <c r="AO19" s="310">
        <f t="shared" si="26"/>
        <v>0.59410340674393214</v>
      </c>
      <c r="AP19">
        <f t="shared" si="27"/>
        <v>3.75</v>
      </c>
      <c r="AQ19" s="9">
        <f t="shared" si="43"/>
        <v>0.86323911953347465</v>
      </c>
      <c r="AR19" s="51">
        <f t="shared" si="28"/>
        <v>2.8432684800763046</v>
      </c>
      <c r="AS19" s="51">
        <f t="shared" si="44"/>
        <v>1.426015377061403</v>
      </c>
      <c r="AT19" s="9"/>
      <c r="AU19">
        <f t="shared" si="45"/>
        <v>86.323911953347462</v>
      </c>
      <c r="BC19" t="s">
        <v>733</v>
      </c>
      <c r="BE19" s="540"/>
      <c r="BF19" s="21"/>
    </row>
    <row r="20" spans="1:69">
      <c r="A20" s="36" t="s">
        <v>451</v>
      </c>
      <c r="B20" s="40">
        <f>Ltc*1000000</f>
        <v>4000</v>
      </c>
      <c r="C20" s="320" t="s">
        <v>734</v>
      </c>
      <c r="D20" s="23" t="s">
        <v>453</v>
      </c>
      <c r="G20">
        <v>11</v>
      </c>
      <c r="H20">
        <f t="shared" si="0"/>
        <v>0.82499999999999996</v>
      </c>
      <c r="I20" s="309">
        <f t="shared" si="1"/>
        <v>0.27904827904827906</v>
      </c>
      <c r="J20" s="310">
        <f t="shared" si="2"/>
        <v>4.3971243971243972</v>
      </c>
      <c r="K20" s="310">
        <f t="shared" si="31"/>
        <v>3.0235621985621988</v>
      </c>
      <c r="L20" s="310">
        <f t="shared" si="32"/>
        <v>-1.3735621985621986</v>
      </c>
      <c r="M20" s="51">
        <f t="shared" si="3"/>
        <v>18</v>
      </c>
      <c r="N20" s="309">
        <f t="shared" si="4"/>
        <v>1.5138858104170922</v>
      </c>
      <c r="O20" s="309">
        <f t="shared" si="5"/>
        <v>1.3766245565076499E-2</v>
      </c>
      <c r="P20">
        <f t="shared" si="6"/>
        <v>0.2</v>
      </c>
      <c r="Q20" s="309">
        <f t="shared" si="34"/>
        <v>0.21376624556507651</v>
      </c>
      <c r="R20" s="8">
        <f t="shared" si="39"/>
        <v>1.269340477170021</v>
      </c>
      <c r="S20" s="8">
        <f t="shared" si="7"/>
        <v>1.6112252469822166E-3</v>
      </c>
      <c r="T20" s="8">
        <f t="shared" si="40"/>
        <v>1.6112252469822166E-3</v>
      </c>
      <c r="U20" s="309">
        <f t="shared" si="8"/>
        <v>0.79971048965032387</v>
      </c>
      <c r="V20" s="311">
        <f t="shared" si="9"/>
        <v>1.2790737345135215E-3</v>
      </c>
      <c r="W20" s="309">
        <f t="shared" si="41"/>
        <v>1.2790737345135215E-3</v>
      </c>
      <c r="X20" s="309">
        <f t="shared" si="10"/>
        <v>0.79971048965032387</v>
      </c>
      <c r="Y20" s="309">
        <f t="shared" si="11"/>
        <v>3.3255917097351553E-2</v>
      </c>
      <c r="Z20" s="309">
        <f t="shared" si="12"/>
        <v>1.1429065110565113E-2</v>
      </c>
      <c r="AA20" s="309">
        <f t="shared" si="13"/>
        <v>0</v>
      </c>
      <c r="AB20" s="309">
        <f t="shared" si="14"/>
        <v>8.2413731913731914E-3</v>
      </c>
      <c r="AC20" s="309">
        <f t="shared" si="15"/>
        <v>5.331643452310373E-2</v>
      </c>
      <c r="AD20" s="309">
        <f t="shared" si="16"/>
        <v>1.2854234242946778</v>
      </c>
      <c r="AE20" s="309">
        <f t="shared" si="17"/>
        <v>1.6523133797254553E-2</v>
      </c>
      <c r="AF20" s="309">
        <f t="shared" si="18"/>
        <v>2.0409044840294842E-2</v>
      </c>
      <c r="AG20" s="309">
        <f t="shared" si="19"/>
        <v>3.7030075099211267E-2</v>
      </c>
      <c r="AH20" s="309">
        <f t="shared" si="20"/>
        <v>0</v>
      </c>
      <c r="AI20">
        <f t="shared" si="21"/>
        <v>0</v>
      </c>
      <c r="AJ20" s="310">
        <f t="shared" si="22"/>
        <v>0.22446374999999999</v>
      </c>
      <c r="AK20">
        <f t="shared" si="23"/>
        <v>3.6000000000000004E-2</v>
      </c>
      <c r="AL20" s="310">
        <f t="shared" si="24"/>
        <v>3.0374999999999999E-2</v>
      </c>
      <c r="AM20" s="310">
        <f t="shared" si="25"/>
        <v>5.5427027027027023E-2</v>
      </c>
      <c r="AN20" s="310">
        <f t="shared" si="42"/>
        <v>6.6375000000000003E-2</v>
      </c>
      <c r="AO20" s="310">
        <f t="shared" si="26"/>
        <v>0.59784180416888721</v>
      </c>
      <c r="AP20">
        <f t="shared" si="27"/>
        <v>4.125</v>
      </c>
      <c r="AQ20" s="9">
        <f t="shared" si="43"/>
        <v>0.87341481485973815</v>
      </c>
      <c r="AR20" s="51">
        <f t="shared" si="28"/>
        <v>2.9324038987707053</v>
      </c>
      <c r="AS20" s="51">
        <f t="shared" si="44"/>
        <v>1.4812030039684507</v>
      </c>
      <c r="AT20" s="9"/>
      <c r="AU20">
        <f t="shared" si="45"/>
        <v>87.341481485973816</v>
      </c>
      <c r="BE20" s="540"/>
      <c r="BF20" s="21"/>
    </row>
    <row r="21" spans="1:69">
      <c r="A21" s="27" t="s">
        <v>454</v>
      </c>
      <c r="B21" s="40">
        <f>ThetaCa</f>
        <v>20</v>
      </c>
      <c r="C21" s="320" t="s">
        <v>735</v>
      </c>
      <c r="D21" s="28" t="s">
        <v>455</v>
      </c>
      <c r="G21">
        <v>12</v>
      </c>
      <c r="H21">
        <f t="shared" si="0"/>
        <v>0.89999999999999991</v>
      </c>
      <c r="I21" s="309">
        <f t="shared" si="1"/>
        <v>0.27916402222444914</v>
      </c>
      <c r="J21" s="310">
        <f t="shared" si="2"/>
        <v>4.39894822899132</v>
      </c>
      <c r="K21" s="310">
        <f t="shared" si="31"/>
        <v>3.0994741144956599</v>
      </c>
      <c r="L21" s="310">
        <f t="shared" si="32"/>
        <v>-1.2994741144956601</v>
      </c>
      <c r="M21" s="51">
        <f t="shared" si="3"/>
        <v>18</v>
      </c>
      <c r="N21" s="309">
        <f t="shared" si="4"/>
        <v>1.5564581994961582</v>
      </c>
      <c r="O21" s="309">
        <f t="shared" si="5"/>
        <v>1.455229460279892E-2</v>
      </c>
      <c r="P21">
        <f t="shared" si="6"/>
        <v>0.2</v>
      </c>
      <c r="Q21" s="309">
        <f t="shared" si="34"/>
        <v>0.21455229460279893</v>
      </c>
      <c r="R21" s="8">
        <f t="shared" si="39"/>
        <v>1.2698669720796831</v>
      </c>
      <c r="S21" s="8">
        <f t="shared" si="7"/>
        <v>1.6125621267788228E-3</v>
      </c>
      <c r="T21" s="8">
        <f t="shared" si="40"/>
        <v>1.6125621267788228E-3</v>
      </c>
      <c r="U21" s="309">
        <f t="shared" si="8"/>
        <v>0.82236986046437266</v>
      </c>
      <c r="V21" s="311">
        <f t="shared" si="9"/>
        <v>1.3525843748003836E-3</v>
      </c>
      <c r="W21" s="309">
        <f t="shared" si="41"/>
        <v>1.3525843748003836E-3</v>
      </c>
      <c r="X21" s="309">
        <f t="shared" si="10"/>
        <v>0.82236986046437266</v>
      </c>
      <c r="Y21" s="309">
        <f t="shared" si="11"/>
        <v>3.516719374480997E-2</v>
      </c>
      <c r="Z21" s="309">
        <f t="shared" si="12"/>
        <v>1.1716012152793595E-2</v>
      </c>
      <c r="AA21" s="309">
        <f t="shared" si="13"/>
        <v>0</v>
      </c>
      <c r="AB21" s="309">
        <f t="shared" si="14"/>
        <v>7.7968446869739602E-3</v>
      </c>
      <c r="AC21" s="309">
        <f t="shared" si="15"/>
        <v>5.5106396797786075E-2</v>
      </c>
      <c r="AD21" s="309">
        <f t="shared" si="16"/>
        <v>1.3214650730831408</v>
      </c>
      <c r="AE21" s="309">
        <f t="shared" si="17"/>
        <v>1.7462699393786304E-2</v>
      </c>
      <c r="AF21" s="309">
        <f t="shared" si="18"/>
        <v>2.0921450272845706E-2</v>
      </c>
      <c r="AG21" s="309">
        <f t="shared" si="19"/>
        <v>3.8491696695199216E-2</v>
      </c>
      <c r="AH21" s="309">
        <f t="shared" si="20"/>
        <v>0</v>
      </c>
      <c r="AI21">
        <f t="shared" si="21"/>
        <v>0</v>
      </c>
      <c r="AJ21" s="310">
        <f t="shared" si="22"/>
        <v>0.22441499999999998</v>
      </c>
      <c r="AK21">
        <f t="shared" si="23"/>
        <v>3.6000000000000004E-2</v>
      </c>
      <c r="AL21" s="310">
        <f t="shared" si="24"/>
        <v>3.0374999999999999E-2</v>
      </c>
      <c r="AM21" s="310">
        <f t="shared" si="25"/>
        <v>5.5427027027027023E-2</v>
      </c>
      <c r="AN21" s="310">
        <f t="shared" si="42"/>
        <v>6.6375000000000003E-2</v>
      </c>
      <c r="AO21" s="310">
        <f t="shared" si="26"/>
        <v>0.6019055345973634</v>
      </c>
      <c r="AP21">
        <f t="shared" si="27"/>
        <v>4.5</v>
      </c>
      <c r="AQ21" s="9">
        <f t="shared" si="43"/>
        <v>0.88202338704319716</v>
      </c>
      <c r="AR21" s="51">
        <f t="shared" si="28"/>
        <v>3.0308518238782343</v>
      </c>
      <c r="AS21" s="51">
        <f t="shared" si="44"/>
        <v>1.5396678678079687</v>
      </c>
      <c r="AT21" s="9"/>
      <c r="AU21">
        <f t="shared" si="45"/>
        <v>88.202338704319715</v>
      </c>
      <c r="BE21" s="540"/>
      <c r="BF21" s="21"/>
    </row>
    <row r="22" spans="1:69">
      <c r="A22" s="37" t="s">
        <v>351</v>
      </c>
      <c r="B22" s="40">
        <f>Cin*1000000</f>
        <v>250</v>
      </c>
      <c r="C22" s="321" t="s">
        <v>736</v>
      </c>
      <c r="D22" s="23" t="s">
        <v>737</v>
      </c>
      <c r="G22">
        <v>13</v>
      </c>
      <c r="H22">
        <f t="shared" si="0"/>
        <v>0.97500000000000009</v>
      </c>
      <c r="I22" s="309">
        <f t="shared" si="1"/>
        <v>0.27927980600310148</v>
      </c>
      <c r="J22" s="310">
        <f t="shared" si="2"/>
        <v>4.4007727006549331</v>
      </c>
      <c r="K22" s="310">
        <f t="shared" si="31"/>
        <v>3.1753863503274666</v>
      </c>
      <c r="L22" s="310">
        <f t="shared" si="32"/>
        <v>-1.2253863503274665</v>
      </c>
      <c r="M22" s="51">
        <f t="shared" si="3"/>
        <v>18</v>
      </c>
      <c r="N22" s="309">
        <f t="shared" si="4"/>
        <v>1.6014134476255062</v>
      </c>
      <c r="O22" s="309">
        <f t="shared" si="5"/>
        <v>1.5406114677435164E-2</v>
      </c>
      <c r="P22">
        <f t="shared" si="6"/>
        <v>0.2</v>
      </c>
      <c r="Q22" s="309">
        <f t="shared" si="34"/>
        <v>0.21540611467743517</v>
      </c>
      <c r="R22" s="8">
        <f t="shared" si="39"/>
        <v>1.270393651682741</v>
      </c>
      <c r="S22" s="8">
        <f t="shared" si="7"/>
        <v>1.6139000302358097E-3</v>
      </c>
      <c r="T22" s="8">
        <f t="shared" si="40"/>
        <v>1.6139000302358097E-3</v>
      </c>
      <c r="U22" s="309">
        <f t="shared" si="8"/>
        <v>0.84629785119327527</v>
      </c>
      <c r="V22" s="311">
        <f t="shared" si="9"/>
        <v>1.4324401058687102E-3</v>
      </c>
      <c r="W22" s="309">
        <f t="shared" si="41"/>
        <v>1.4324401058687102E-3</v>
      </c>
      <c r="X22" s="309">
        <f t="shared" si="10"/>
        <v>0.84629785119327527</v>
      </c>
      <c r="Y22" s="309">
        <f t="shared" si="11"/>
        <v>3.724344275258646E-2</v>
      </c>
      <c r="Z22" s="309">
        <f t="shared" si="12"/>
        <v>1.2002960404237826E-2</v>
      </c>
      <c r="AA22" s="309">
        <f t="shared" si="13"/>
        <v>0</v>
      </c>
      <c r="AB22" s="309">
        <f t="shared" si="14"/>
        <v>7.3523181019647978E-3</v>
      </c>
      <c r="AC22" s="309">
        <f t="shared" si="15"/>
        <v>5.7066297241157776E-2</v>
      </c>
      <c r="AD22" s="309">
        <f t="shared" si="16"/>
        <v>1.3595238053456273</v>
      </c>
      <c r="AE22" s="309">
        <f t="shared" si="17"/>
        <v>1.8483049773014553E-2</v>
      </c>
      <c r="AF22" s="309">
        <f t="shared" si="18"/>
        <v>2.1433857864710401E-2</v>
      </c>
      <c r="AG22" s="309">
        <f t="shared" si="19"/>
        <v>4.0035303559062541E-2</v>
      </c>
      <c r="AH22" s="309">
        <f t="shared" si="20"/>
        <v>0</v>
      </c>
      <c r="AI22">
        <f t="shared" si="21"/>
        <v>0</v>
      </c>
      <c r="AJ22" s="310">
        <f t="shared" si="22"/>
        <v>0.22436624999999999</v>
      </c>
      <c r="AK22">
        <f t="shared" si="23"/>
        <v>3.6000000000000004E-2</v>
      </c>
      <c r="AL22" s="310">
        <f t="shared" si="24"/>
        <v>3.0374999999999999E-2</v>
      </c>
      <c r="AM22" s="310">
        <f t="shared" si="25"/>
        <v>5.5427027027027023E-2</v>
      </c>
      <c r="AN22" s="310">
        <f t="shared" si="42"/>
        <v>6.6375000000000003E-2</v>
      </c>
      <c r="AO22" s="310">
        <f t="shared" si="26"/>
        <v>0.60629530561375999</v>
      </c>
      <c r="AP22">
        <f t="shared" si="27"/>
        <v>4.875</v>
      </c>
      <c r="AQ22" s="9">
        <f t="shared" si="43"/>
        <v>0.88938831575215205</v>
      </c>
      <c r="AR22" s="51">
        <f t="shared" si="28"/>
        <v>3.1386463482636775</v>
      </c>
      <c r="AS22" s="51">
        <f t="shared" si="44"/>
        <v>1.6014121423625016</v>
      </c>
      <c r="AT22" s="9"/>
      <c r="AU22">
        <f t="shared" si="45"/>
        <v>88.938831575215204</v>
      </c>
      <c r="BE22" s="540"/>
      <c r="BF22" s="21"/>
    </row>
    <row r="23" spans="1:69">
      <c r="A23" s="37" t="s">
        <v>358</v>
      </c>
      <c r="B23" s="40">
        <f>RCinEsr*1000</f>
        <v>2</v>
      </c>
      <c r="C23" s="318" t="s">
        <v>731</v>
      </c>
      <c r="D23" s="23" t="s">
        <v>456</v>
      </c>
      <c r="G23">
        <v>14</v>
      </c>
      <c r="H23">
        <f t="shared" si="0"/>
        <v>1.05</v>
      </c>
      <c r="I23" s="309">
        <f t="shared" si="1"/>
        <v>0.27939563040560489</v>
      </c>
      <c r="J23" s="310">
        <f t="shared" si="2"/>
        <v>4.4025978124519565</v>
      </c>
      <c r="K23" s="310">
        <f t="shared" si="31"/>
        <v>3.2512989062259781</v>
      </c>
      <c r="L23" s="310">
        <f t="shared" si="32"/>
        <v>-1.1512989062259782</v>
      </c>
      <c r="M23" s="51">
        <f t="shared" si="3"/>
        <v>18</v>
      </c>
      <c r="N23" s="309">
        <f t="shared" si="4"/>
        <v>1.6485566287464608</v>
      </c>
      <c r="O23" s="309">
        <f t="shared" si="5"/>
        <v>1.6327733517493458E-2</v>
      </c>
      <c r="P23">
        <f t="shared" si="6"/>
        <v>0.2</v>
      </c>
      <c r="Q23" s="309">
        <f t="shared" si="34"/>
        <v>0.21632773351749346</v>
      </c>
      <c r="R23" s="8">
        <f t="shared" si="39"/>
        <v>1.2709205160763974</v>
      </c>
      <c r="S23" s="8">
        <f t="shared" si="7"/>
        <v>1.6152389581838963E-3</v>
      </c>
      <c r="T23" s="8">
        <f t="shared" si="40"/>
        <v>1.6152389581838963E-3</v>
      </c>
      <c r="U23" s="309">
        <f t="shared" si="8"/>
        <v>0.87139221335725825</v>
      </c>
      <c r="V23" s="311">
        <f t="shared" si="9"/>
        <v>1.518648778999323E-3</v>
      </c>
      <c r="W23" s="309">
        <f t="shared" si="41"/>
        <v>1.518648778999323E-3</v>
      </c>
      <c r="X23" s="309">
        <f t="shared" si="10"/>
        <v>0.87139221335725825</v>
      </c>
      <c r="Y23" s="309">
        <f t="shared" si="11"/>
        <v>3.9484868253982397E-2</v>
      </c>
      <c r="Z23" s="309">
        <f t="shared" si="12"/>
        <v>1.2289909865534198E-2</v>
      </c>
      <c r="AA23" s="309">
        <f t="shared" si="13"/>
        <v>0</v>
      </c>
      <c r="AB23" s="309">
        <f t="shared" si="14"/>
        <v>6.9077934373558683E-3</v>
      </c>
      <c r="AC23" s="309">
        <f t="shared" si="15"/>
        <v>5.9196794637079157E-2</v>
      </c>
      <c r="AD23" s="309">
        <f t="shared" si="16"/>
        <v>1.3994336599797201</v>
      </c>
      <c r="AE23" s="309">
        <f t="shared" si="17"/>
        <v>1.9584145686842351E-2</v>
      </c>
      <c r="AF23" s="309">
        <f t="shared" si="18"/>
        <v>2.1946267617025353E-2</v>
      </c>
      <c r="AG23" s="309">
        <f t="shared" si="19"/>
        <v>4.1660956382146286E-2</v>
      </c>
      <c r="AH23" s="309">
        <f t="shared" si="20"/>
        <v>0</v>
      </c>
      <c r="AI23">
        <f t="shared" si="21"/>
        <v>0</v>
      </c>
      <c r="AJ23" s="310">
        <f t="shared" si="22"/>
        <v>0.22431749999999998</v>
      </c>
      <c r="AK23">
        <f t="shared" si="23"/>
        <v>3.6000000000000004E-2</v>
      </c>
      <c r="AL23" s="310">
        <f t="shared" si="24"/>
        <v>3.0374999999999999E-2</v>
      </c>
      <c r="AM23" s="310">
        <f t="shared" si="25"/>
        <v>5.5427027027027023E-2</v>
      </c>
      <c r="AN23" s="310">
        <f t="shared" si="42"/>
        <v>6.6375000000000003E-2</v>
      </c>
      <c r="AO23" s="310">
        <f t="shared" si="26"/>
        <v>0.61101187227390208</v>
      </c>
      <c r="AP23">
        <f t="shared" si="27"/>
        <v>5.25</v>
      </c>
      <c r="AQ23" s="9">
        <f t="shared" si="43"/>
        <v>0.8957497637627464</v>
      </c>
      <c r="AR23" s="51">
        <f t="shared" si="28"/>
        <v>3.2558237050393535</v>
      </c>
      <c r="AS23" s="51">
        <f t="shared" si="44"/>
        <v>1.6664382552858514</v>
      </c>
      <c r="AT23" s="9"/>
      <c r="AU23">
        <f t="shared" si="45"/>
        <v>89.574976376274634</v>
      </c>
      <c r="BE23" s="540"/>
      <c r="BF23" s="21"/>
    </row>
    <row r="24" spans="1:69">
      <c r="A24" s="36" t="s">
        <v>327</v>
      </c>
      <c r="B24" s="40">
        <f>Cout*1000000</f>
        <v>800</v>
      </c>
      <c r="C24" s="320" t="s">
        <v>736</v>
      </c>
      <c r="D24" s="23" t="s">
        <v>468</v>
      </c>
      <c r="G24">
        <v>15</v>
      </c>
      <c r="H24">
        <f t="shared" si="0"/>
        <v>1.125</v>
      </c>
      <c r="I24" s="309">
        <f t="shared" si="1"/>
        <v>0.27951149545334281</v>
      </c>
      <c r="J24" s="310">
        <f t="shared" si="2"/>
        <v>4.4044235647193419</v>
      </c>
      <c r="K24" s="310">
        <f t="shared" si="31"/>
        <v>3.327211782359671</v>
      </c>
      <c r="L24" s="310">
        <f t="shared" si="32"/>
        <v>-1.077211782359671</v>
      </c>
      <c r="M24" s="51">
        <f t="shared" si="3"/>
        <v>18</v>
      </c>
      <c r="N24" s="309">
        <f t="shared" si="4"/>
        <v>1.6977054843095094</v>
      </c>
      <c r="O24" s="309">
        <f t="shared" si="5"/>
        <v>1.731718105928004E-2</v>
      </c>
      <c r="P24">
        <f t="shared" si="6"/>
        <v>0.2</v>
      </c>
      <c r="Q24" s="309">
        <f t="shared" si="34"/>
        <v>0.21731718105928005</v>
      </c>
      <c r="R24" s="8">
        <f t="shared" si="39"/>
        <v>1.2714475653579216</v>
      </c>
      <c r="S24" s="8">
        <f t="shared" si="7"/>
        <v>1.6165789114545863E-3</v>
      </c>
      <c r="T24" s="8">
        <f t="shared" si="40"/>
        <v>1.6165789114545863E-3</v>
      </c>
      <c r="U24" s="309">
        <f t="shared" si="8"/>
        <v>0.89755731042209519</v>
      </c>
      <c r="V24" s="311">
        <f t="shared" si="9"/>
        <v>1.6112182509842908E-3</v>
      </c>
      <c r="W24" s="309">
        <f t="shared" si="41"/>
        <v>1.6112182509842908E-3</v>
      </c>
      <c r="X24" s="309">
        <f t="shared" si="10"/>
        <v>0.89755731042209519</v>
      </c>
      <c r="Y24" s="309">
        <f t="shared" si="11"/>
        <v>4.189167452559156E-2</v>
      </c>
      <c r="Z24" s="309">
        <f t="shared" si="12"/>
        <v>1.2576860537319557E-2</v>
      </c>
      <c r="AA24" s="309">
        <f t="shared" si="13"/>
        <v>0</v>
      </c>
      <c r="AB24" s="309">
        <f t="shared" si="14"/>
        <v>6.4632706941580263E-3</v>
      </c>
      <c r="AC24" s="309">
        <f t="shared" si="15"/>
        <v>6.1498587091800498E-2</v>
      </c>
      <c r="AD24" s="309">
        <f t="shared" si="16"/>
        <v>1.4410394810561022</v>
      </c>
      <c r="AE24" s="309">
        <f t="shared" si="17"/>
        <v>2.0765947859624406E-2</v>
      </c>
      <c r="AF24" s="309">
        <f t="shared" si="18"/>
        <v>2.245867953092778E-2</v>
      </c>
      <c r="AG24" s="309">
        <f t="shared" si="19"/>
        <v>4.33687222104178E-2</v>
      </c>
      <c r="AH24" s="309">
        <f t="shared" si="20"/>
        <v>0</v>
      </c>
      <c r="AI24">
        <f t="shared" si="21"/>
        <v>0</v>
      </c>
      <c r="AJ24" s="310">
        <f t="shared" si="22"/>
        <v>0.22426874999999999</v>
      </c>
      <c r="AK24">
        <f t="shared" si="23"/>
        <v>3.6000000000000004E-2</v>
      </c>
      <c r="AL24" s="310">
        <f t="shared" si="24"/>
        <v>3.0374999999999999E-2</v>
      </c>
      <c r="AM24" s="310">
        <f t="shared" si="25"/>
        <v>5.5427027027027023E-2</v>
      </c>
      <c r="AN24" s="310">
        <f t="shared" si="42"/>
        <v>6.6375000000000003E-2</v>
      </c>
      <c r="AO24" s="310">
        <f t="shared" si="26"/>
        <v>0.61605603752393712</v>
      </c>
      <c r="AP24">
        <f t="shared" si="27"/>
        <v>5.625</v>
      </c>
      <c r="AQ24" s="9">
        <f t="shared" si="43"/>
        <v>0.90128977631030049</v>
      </c>
      <c r="AR24" s="51">
        <f t="shared" si="28"/>
        <v>3.3824222900490275</v>
      </c>
      <c r="AS24" s="51">
        <f t="shared" si="44"/>
        <v>1.7347488884167119</v>
      </c>
      <c r="AT24" s="9"/>
      <c r="AU24">
        <f t="shared" si="45"/>
        <v>90.128977631030054</v>
      </c>
      <c r="BE24" s="540"/>
      <c r="BF24" s="21"/>
    </row>
    <row r="25" spans="1:69">
      <c r="A25" s="36" t="s">
        <v>738</v>
      </c>
      <c r="B25" s="41">
        <f>CoutEsr*1000</f>
        <v>1</v>
      </c>
      <c r="C25" s="318" t="s">
        <v>731</v>
      </c>
      <c r="D25" s="23" t="s">
        <v>739</v>
      </c>
      <c r="G25">
        <v>16</v>
      </c>
      <c r="H25">
        <f t="shared" si="0"/>
        <v>1.2</v>
      </c>
      <c r="I25" s="309">
        <f t="shared" si="1"/>
        <v>0.27962740116771401</v>
      </c>
      <c r="J25" s="310">
        <f t="shared" si="2"/>
        <v>4.4062499577942811</v>
      </c>
      <c r="K25" s="310">
        <f t="shared" si="31"/>
        <v>3.4031249788971403</v>
      </c>
      <c r="L25" s="310">
        <f t="shared" si="32"/>
        <v>-1.0031249788971406</v>
      </c>
      <c r="M25" s="51">
        <f t="shared" si="3"/>
        <v>18</v>
      </c>
      <c r="N25" s="309">
        <f t="shared" si="4"/>
        <v>1.7486909077593373</v>
      </c>
      <c r="O25" s="309">
        <f t="shared" si="5"/>
        <v>1.8374489449331552E-2</v>
      </c>
      <c r="P25">
        <f t="shared" si="6"/>
        <v>0.2</v>
      </c>
      <c r="Q25" s="309">
        <f t="shared" si="34"/>
        <v>0.21837448944933158</v>
      </c>
      <c r="R25" s="8">
        <f t="shared" si="39"/>
        <v>1.2719747996246527</v>
      </c>
      <c r="S25" s="8">
        <f t="shared" si="7"/>
        <v>1.6179198908801754E-3</v>
      </c>
      <c r="T25" s="8">
        <f t="shared" si="40"/>
        <v>1.6179198908801754E-3</v>
      </c>
      <c r="U25" s="309">
        <f t="shared" si="8"/>
        <v>0.92470438090553186</v>
      </c>
      <c r="V25" s="311">
        <f t="shared" si="9"/>
        <v>1.7101563841317659E-3</v>
      </c>
      <c r="W25" s="309">
        <f t="shared" si="41"/>
        <v>1.7101563841317659E-3</v>
      </c>
      <c r="X25" s="309">
        <f t="shared" si="10"/>
        <v>0.92470438090553186</v>
      </c>
      <c r="Y25" s="309">
        <f t="shared" si="11"/>
        <v>4.4464065987425916E-2</v>
      </c>
      <c r="Z25" s="309">
        <f t="shared" si="12"/>
        <v>1.2863812420231192E-2</v>
      </c>
      <c r="AA25" s="309">
        <f t="shared" si="13"/>
        <v>0</v>
      </c>
      <c r="AB25" s="309">
        <f t="shared" si="14"/>
        <v>6.0187498733828438E-3</v>
      </c>
      <c r="AC25" s="309">
        <f t="shared" si="15"/>
        <v>6.3972412466280576E-2</v>
      </c>
      <c r="AD25" s="309">
        <f t="shared" si="16"/>
        <v>1.4841973247564799</v>
      </c>
      <c r="AE25" s="309">
        <f t="shared" si="17"/>
        <v>2.202841698814292E-2</v>
      </c>
      <c r="AF25" s="309">
        <f t="shared" si="18"/>
        <v>2.2971093607555698E-2</v>
      </c>
      <c r="AG25" s="309">
        <f t="shared" si="19"/>
        <v>4.5158674453537717E-2</v>
      </c>
      <c r="AH25" s="309">
        <f t="shared" si="20"/>
        <v>0</v>
      </c>
      <c r="AI25">
        <f t="shared" si="21"/>
        <v>0</v>
      </c>
      <c r="AJ25" s="310">
        <f t="shared" si="22"/>
        <v>0.22421999999999997</v>
      </c>
      <c r="AK25">
        <f t="shared" si="23"/>
        <v>3.6000000000000004E-2</v>
      </c>
      <c r="AL25" s="310">
        <f t="shared" si="24"/>
        <v>3.0374999999999999E-2</v>
      </c>
      <c r="AM25" s="310">
        <f t="shared" si="25"/>
        <v>5.5427027027027023E-2</v>
      </c>
      <c r="AN25" s="310">
        <f t="shared" si="42"/>
        <v>6.6375000000000003E-2</v>
      </c>
      <c r="AO25" s="310">
        <f t="shared" si="26"/>
        <v>0.62142865264416181</v>
      </c>
      <c r="AP25">
        <f t="shared" si="27"/>
        <v>6</v>
      </c>
      <c r="AQ25" s="9">
        <f t="shared" si="43"/>
        <v>0.90614885619948438</v>
      </c>
      <c r="AR25" s="51">
        <f t="shared" si="28"/>
        <v>3.5184826856454317</v>
      </c>
      <c r="AS25" s="51">
        <f t="shared" si="44"/>
        <v>1.8063469781415087</v>
      </c>
      <c r="AT25" s="9"/>
      <c r="AU25">
        <f t="shared" si="45"/>
        <v>90.614885619948438</v>
      </c>
      <c r="BC25" t="s">
        <v>740</v>
      </c>
      <c r="BD25" t="s">
        <v>192</v>
      </c>
      <c r="BE25" t="s">
        <v>204</v>
      </c>
      <c r="BF25" t="s">
        <v>201</v>
      </c>
      <c r="BG25" t="s">
        <v>741</v>
      </c>
      <c r="BH25" t="s">
        <v>742</v>
      </c>
    </row>
    <row r="26" spans="1:69">
      <c r="A26" s="26" t="s">
        <v>459</v>
      </c>
      <c r="B26" s="38" t="s">
        <v>714</v>
      </c>
      <c r="C26" s="26" t="s">
        <v>532</v>
      </c>
      <c r="D26" s="20" t="s">
        <v>130</v>
      </c>
      <c r="G26">
        <v>17</v>
      </c>
      <c r="H26">
        <f t="shared" si="0"/>
        <v>1.2750000000000001</v>
      </c>
      <c r="I26" s="309">
        <f t="shared" si="1"/>
        <v>0.27974334757013219</v>
      </c>
      <c r="J26" s="310">
        <f t="shared" si="2"/>
        <v>4.4080769920142044</v>
      </c>
      <c r="K26" s="310">
        <f t="shared" si="31"/>
        <v>3.4790384960071021</v>
      </c>
      <c r="L26" s="310">
        <f t="shared" si="32"/>
        <v>-0.92903849600710209</v>
      </c>
      <c r="M26" s="51">
        <f t="shared" si="3"/>
        <v>18</v>
      </c>
      <c r="N26" s="309">
        <f t="shared" si="4"/>
        <v>1.8013569599870398</v>
      </c>
      <c r="O26" s="309">
        <f t="shared" si="5"/>
        <v>1.9499693047027884E-2</v>
      </c>
      <c r="P26">
        <f t="shared" si="6"/>
        <v>0.2</v>
      </c>
      <c r="Q26" s="309">
        <f t="shared" si="34"/>
        <v>0.21949969304702791</v>
      </c>
      <c r="R26" s="8">
        <f t="shared" si="39"/>
        <v>1.2725022189739985</v>
      </c>
      <c r="S26" s="8">
        <f t="shared" si="7"/>
        <v>1.61926189729375E-3</v>
      </c>
      <c r="T26" s="8">
        <f t="shared" si="40"/>
        <v>1.61926189729375E-3</v>
      </c>
      <c r="U26" s="309">
        <f t="shared" si="8"/>
        <v>0.95275155373025422</v>
      </c>
      <c r="V26" s="311">
        <f t="shared" si="9"/>
        <v>1.8154710462708269E-3</v>
      </c>
      <c r="W26" s="309">
        <f t="shared" si="41"/>
        <v>1.8154710462708269E-3</v>
      </c>
      <c r="X26" s="309">
        <f t="shared" si="10"/>
        <v>0.95275155373025422</v>
      </c>
      <c r="Y26" s="309">
        <f t="shared" si="11"/>
        <v>4.7202247203041503E-2</v>
      </c>
      <c r="Z26" s="309">
        <f t="shared" si="12"/>
        <v>1.3150765514906848E-2</v>
      </c>
      <c r="AA26" s="309">
        <f t="shared" si="13"/>
        <v>0</v>
      </c>
      <c r="AB26" s="309">
        <f t="shared" si="14"/>
        <v>5.5742309760426125E-3</v>
      </c>
      <c r="AC26" s="309">
        <f t="shared" si="15"/>
        <v>6.6619048832504107E-2</v>
      </c>
      <c r="AD26" s="309">
        <f t="shared" si="16"/>
        <v>1.5287744680489455</v>
      </c>
      <c r="AE26" s="309">
        <f t="shared" si="17"/>
        <v>2.3371513741583364E-2</v>
      </c>
      <c r="AF26" s="309">
        <f t="shared" si="18"/>
        <v>2.3483509848047941E-2</v>
      </c>
      <c r="AG26" s="309">
        <f t="shared" si="19"/>
        <v>4.7030892895163823E-2</v>
      </c>
      <c r="AH26" s="309">
        <f t="shared" si="20"/>
        <v>0</v>
      </c>
      <c r="AI26">
        <f t="shared" si="21"/>
        <v>0</v>
      </c>
      <c r="AJ26" s="310">
        <f t="shared" si="22"/>
        <v>0.22417125000000002</v>
      </c>
      <c r="AK26">
        <f t="shared" si="23"/>
        <v>3.6000000000000004E-2</v>
      </c>
      <c r="AL26" s="310">
        <f t="shared" si="24"/>
        <v>3.0374999999999999E-2</v>
      </c>
      <c r="AM26" s="310">
        <f t="shared" si="25"/>
        <v>5.5427027027027023E-2</v>
      </c>
      <c r="AN26" s="310">
        <f t="shared" si="42"/>
        <v>6.6375000000000003E-2</v>
      </c>
      <c r="AO26" s="310">
        <f t="shared" si="26"/>
        <v>0.6271306177182604</v>
      </c>
      <c r="AP26">
        <f t="shared" si="27"/>
        <v>6.3750000000000009</v>
      </c>
      <c r="AQ26" s="9">
        <f t="shared" si="43"/>
        <v>0.91043717234703347</v>
      </c>
      <c r="AR26" s="51">
        <f t="shared" si="28"/>
        <v>3.6640476857877258</v>
      </c>
      <c r="AS26" s="51">
        <f t="shared" si="44"/>
        <v>1.8812357158065529</v>
      </c>
      <c r="AT26" s="9"/>
      <c r="AU26">
        <f t="shared" si="45"/>
        <v>91.043717234703351</v>
      </c>
      <c r="BC26" t="s">
        <v>743</v>
      </c>
      <c r="BD26">
        <v>9.9989640000000009</v>
      </c>
      <c r="BE26">
        <v>0.1027</v>
      </c>
      <c r="BF26">
        <v>5.1211359999999999</v>
      </c>
      <c r="BG26">
        <v>61.870683235325004</v>
      </c>
      <c r="BH26">
        <v>324.12365701136014</v>
      </c>
    </row>
    <row r="27" spans="1:69">
      <c r="A27" s="24" t="s">
        <v>460</v>
      </c>
      <c r="B27" s="4">
        <v>1.5</v>
      </c>
      <c r="C27" s="317" t="s">
        <v>30</v>
      </c>
      <c r="D27" s="23" t="s">
        <v>461</v>
      </c>
      <c r="G27">
        <v>18</v>
      </c>
      <c r="H27">
        <f t="shared" si="0"/>
        <v>1.3499999999999999</v>
      </c>
      <c r="I27" s="309">
        <f t="shared" si="1"/>
        <v>0.27985933468202612</v>
      </c>
      <c r="J27" s="310">
        <f t="shared" si="2"/>
        <v>4.4099046677167753</v>
      </c>
      <c r="K27" s="310">
        <f t="shared" si="31"/>
        <v>3.5549523338583873</v>
      </c>
      <c r="L27" s="310">
        <f t="shared" si="32"/>
        <v>-0.85495233385838776</v>
      </c>
      <c r="M27" s="51">
        <f t="shared" si="3"/>
        <v>18</v>
      </c>
      <c r="N27" s="309">
        <f t="shared" si="4"/>
        <v>1.8555605437519906</v>
      </c>
      <c r="O27" s="309">
        <f t="shared" si="5"/>
        <v>2.0692828427385797E-2</v>
      </c>
      <c r="P27">
        <f t="shared" si="6"/>
        <v>0.2</v>
      </c>
      <c r="Q27" s="309">
        <f t="shared" si="34"/>
        <v>0.2206928284273858</v>
      </c>
      <c r="R27" s="8">
        <f t="shared" si="39"/>
        <v>1.2730298235034339</v>
      </c>
      <c r="S27" s="8">
        <f t="shared" si="7"/>
        <v>1.620604931529184E-3</v>
      </c>
      <c r="T27" s="8">
        <f t="shared" si="40"/>
        <v>1.620604931529184E-3</v>
      </c>
      <c r="U27" s="309">
        <f t="shared" si="8"/>
        <v>0.98162368317912962</v>
      </c>
      <c r="V27" s="311">
        <f t="shared" si="9"/>
        <v>1.9271701107563207E-3</v>
      </c>
      <c r="W27" s="309">
        <f t="shared" si="41"/>
        <v>1.9271701107563207E-3</v>
      </c>
      <c r="X27" s="309">
        <f t="shared" si="10"/>
        <v>0.98162368317912962</v>
      </c>
      <c r="Y27" s="309">
        <f t="shared" si="11"/>
        <v>5.0106422879664332E-2</v>
      </c>
      <c r="Z27" s="309">
        <f t="shared" si="12"/>
        <v>1.3437719821984707E-2</v>
      </c>
      <c r="AA27" s="309">
        <f t="shared" si="13"/>
        <v>0</v>
      </c>
      <c r="AB27" s="309">
        <f t="shared" si="14"/>
        <v>5.1297140031503268E-3</v>
      </c>
      <c r="AC27" s="309">
        <f t="shared" si="15"/>
        <v>6.9439314954305789E-2</v>
      </c>
      <c r="AD27" s="309">
        <f t="shared" si="16"/>
        <v>1.5746491279491515</v>
      </c>
      <c r="AE27" s="309">
        <f t="shared" si="17"/>
        <v>2.4795198761510231E-2</v>
      </c>
      <c r="AF27" s="309">
        <f t="shared" si="18"/>
        <v>2.3995928253544112E-2</v>
      </c>
      <c r="AG27" s="309">
        <f t="shared" si="19"/>
        <v>4.8985463704490757E-2</v>
      </c>
      <c r="AH27" s="309">
        <f t="shared" si="20"/>
        <v>0</v>
      </c>
      <c r="AI27">
        <f t="shared" si="21"/>
        <v>0</v>
      </c>
      <c r="AJ27" s="310">
        <f t="shared" si="22"/>
        <v>0.22412249999999997</v>
      </c>
      <c r="AK27">
        <f t="shared" si="23"/>
        <v>3.6000000000000004E-2</v>
      </c>
      <c r="AL27" s="310">
        <f t="shared" si="24"/>
        <v>3.0374999999999999E-2</v>
      </c>
      <c r="AM27" s="310">
        <f t="shared" si="25"/>
        <v>5.5427027027027023E-2</v>
      </c>
      <c r="AN27" s="310">
        <f t="shared" si="42"/>
        <v>6.6375000000000003E-2</v>
      </c>
      <c r="AO27" s="310">
        <f t="shared" si="26"/>
        <v>0.63316288212846783</v>
      </c>
      <c r="AP27">
        <f t="shared" si="27"/>
        <v>6.7499999999999991</v>
      </c>
      <c r="AQ27" s="9">
        <f t="shared" si="43"/>
        <v>0.91424232510688763</v>
      </c>
      <c r="AR27" s="51">
        <f t="shared" si="28"/>
        <v>3.8191623224868185</v>
      </c>
      <c r="AS27" s="51">
        <f t="shared" si="44"/>
        <v>1.9594185481796302</v>
      </c>
      <c r="AT27" s="9"/>
      <c r="AU27">
        <f t="shared" si="45"/>
        <v>91.424232510688768</v>
      </c>
      <c r="BC27" t="s">
        <v>744</v>
      </c>
      <c r="BD27">
        <v>9.9986669999999993</v>
      </c>
      <c r="BE27">
        <v>0.1166</v>
      </c>
      <c r="BF27">
        <v>5.1212980000000003</v>
      </c>
      <c r="BG27">
        <v>64.729420570558148</v>
      </c>
      <c r="BH27">
        <v>325.37886459483997</v>
      </c>
    </row>
    <row r="28" spans="1:69">
      <c r="A28" s="24" t="s">
        <v>462</v>
      </c>
      <c r="B28" s="4">
        <v>0.9</v>
      </c>
      <c r="C28" s="317" t="s">
        <v>30</v>
      </c>
      <c r="D28" s="23" t="s">
        <v>463</v>
      </c>
      <c r="G28">
        <v>19</v>
      </c>
      <c r="H28">
        <f t="shared" si="0"/>
        <v>1.425</v>
      </c>
      <c r="I28" s="309">
        <f t="shared" si="1"/>
        <v>0.27997536252483951</v>
      </c>
      <c r="J28" s="310">
        <f t="shared" si="2"/>
        <v>4.4117329852398957</v>
      </c>
      <c r="K28" s="310">
        <f t="shared" si="31"/>
        <v>3.6308664926199476</v>
      </c>
      <c r="L28" s="310">
        <f t="shared" si="32"/>
        <v>-0.78086649261994778</v>
      </c>
      <c r="M28" s="51">
        <f t="shared" si="3"/>
        <v>18</v>
      </c>
      <c r="N28" s="309">
        <f t="shared" si="4"/>
        <v>1.9111708438601567</v>
      </c>
      <c r="O28" s="309">
        <f t="shared" si="5"/>
        <v>2.195393438403391E-2</v>
      </c>
      <c r="P28">
        <f t="shared" si="6"/>
        <v>0.2</v>
      </c>
      <c r="Q28" s="309">
        <f t="shared" si="34"/>
        <v>0.22195393438403394</v>
      </c>
      <c r="R28" s="8">
        <f t="shared" si="39"/>
        <v>1.2735576133105027</v>
      </c>
      <c r="S28" s="8">
        <f t="shared" si="7"/>
        <v>1.6219489944211437E-3</v>
      </c>
      <c r="T28" s="8">
        <f t="shared" si="40"/>
        <v>1.6219489944211437E-3</v>
      </c>
      <c r="U28" s="309">
        <f t="shared" si="8"/>
        <v>1.0112520596947434</v>
      </c>
      <c r="V28" s="311">
        <f t="shared" si="9"/>
        <v>2.0452614564737221E-3</v>
      </c>
      <c r="W28" s="309">
        <f t="shared" si="41"/>
        <v>2.0452614564737221E-3</v>
      </c>
      <c r="X28" s="309">
        <f t="shared" si="10"/>
        <v>1.0112520596947434</v>
      </c>
      <c r="Y28" s="309">
        <f t="shared" si="11"/>
        <v>5.3176797868316771E-2</v>
      </c>
      <c r="Z28" s="309">
        <f t="shared" si="12"/>
        <v>1.3724675342103402E-2</v>
      </c>
      <c r="AA28" s="309">
        <f t="shared" si="13"/>
        <v>0</v>
      </c>
      <c r="AB28" s="309">
        <f t="shared" si="14"/>
        <v>4.6851989557196863E-3</v>
      </c>
      <c r="AC28" s="309">
        <f t="shared" si="15"/>
        <v>7.2434070793237146E-2</v>
      </c>
      <c r="AD28" s="309">
        <f t="shared" si="16"/>
        <v>1.6217099821436269</v>
      </c>
      <c r="AE28" s="309">
        <f t="shared" si="17"/>
        <v>2.6299432661842832E-2</v>
      </c>
      <c r="AF28" s="309">
        <f t="shared" si="18"/>
        <v>2.4508348825184646E-2</v>
      </c>
      <c r="AG28" s="309">
        <f t="shared" si="19"/>
        <v>5.102247944902908E-2</v>
      </c>
      <c r="AH28" s="309">
        <f t="shared" si="20"/>
        <v>0</v>
      </c>
      <c r="AI28">
        <f t="shared" si="21"/>
        <v>0</v>
      </c>
      <c r="AJ28" s="310">
        <f t="shared" si="22"/>
        <v>0.22407374999999996</v>
      </c>
      <c r="AK28">
        <f t="shared" si="23"/>
        <v>3.6000000000000004E-2</v>
      </c>
      <c r="AL28" s="310">
        <f t="shared" si="24"/>
        <v>3.0374999999999999E-2</v>
      </c>
      <c r="AM28" s="310">
        <f t="shared" si="25"/>
        <v>5.5427027027027023E-2</v>
      </c>
      <c r="AN28" s="310">
        <f t="shared" si="42"/>
        <v>6.6375000000000003E-2</v>
      </c>
      <c r="AO28" s="310">
        <f t="shared" si="26"/>
        <v>0.63952644507719492</v>
      </c>
      <c r="AP28">
        <f t="shared" si="27"/>
        <v>7.125</v>
      </c>
      <c r="AQ28" s="9">
        <f t="shared" si="43"/>
        <v>0.91763484230481795</v>
      </c>
      <c r="AR28" s="51">
        <f t="shared" si="28"/>
        <v>3.9838738936280431</v>
      </c>
      <c r="AS28" s="51">
        <f t="shared" si="44"/>
        <v>2.0408991779611632</v>
      </c>
      <c r="AT28" s="9"/>
      <c r="AU28">
        <f t="shared" si="45"/>
        <v>91.763484230481794</v>
      </c>
      <c r="BC28" t="s">
        <v>745</v>
      </c>
      <c r="BD28">
        <v>9.9987659999999998</v>
      </c>
      <c r="BE28">
        <v>0.14660000000000001</v>
      </c>
      <c r="BF28">
        <v>5.1213230000000003</v>
      </c>
      <c r="BG28">
        <v>69.885376918691776</v>
      </c>
      <c r="BH28">
        <v>323.52446193379996</v>
      </c>
    </row>
    <row r="29" spans="1:69">
      <c r="A29" s="26" t="s">
        <v>464</v>
      </c>
      <c r="B29" s="18" t="s">
        <v>714</v>
      </c>
      <c r="C29" s="26" t="s">
        <v>532</v>
      </c>
      <c r="D29" s="20" t="s">
        <v>130</v>
      </c>
      <c r="G29">
        <v>20</v>
      </c>
      <c r="H29">
        <f t="shared" si="0"/>
        <v>1.5</v>
      </c>
      <c r="I29" s="309">
        <f t="shared" si="1"/>
        <v>0.28009143112003121</v>
      </c>
      <c r="J29" s="310">
        <f t="shared" si="2"/>
        <v>4.4135619449217041</v>
      </c>
      <c r="K29" s="310">
        <f t="shared" si="31"/>
        <v>3.706780972460852</v>
      </c>
      <c r="L29" s="310">
        <f t="shared" si="32"/>
        <v>-0.70678097246085203</v>
      </c>
      <c r="M29" s="51">
        <f t="shared" si="3"/>
        <v>18</v>
      </c>
      <c r="N29" s="309">
        <f t="shared" si="4"/>
        <v>1.9680686184188518</v>
      </c>
      <c r="O29" s="309">
        <f t="shared" si="5"/>
        <v>2.3283051932369288E-2</v>
      </c>
      <c r="P29">
        <f t="shared" si="6"/>
        <v>0.2</v>
      </c>
      <c r="Q29" s="309">
        <f t="shared" si="34"/>
        <v>0.2232830519323693</v>
      </c>
      <c r="R29" s="8">
        <f t="shared" si="39"/>
        <v>1.2740855884928171</v>
      </c>
      <c r="S29" s="8">
        <f t="shared" si="7"/>
        <v>1.623294086805088E-3</v>
      </c>
      <c r="T29" s="8">
        <f t="shared" si="40"/>
        <v>1.623294086805088E-3</v>
      </c>
      <c r="U29" s="309">
        <f t="shared" si="8"/>
        <v>1.0415740414977666</v>
      </c>
      <c r="V29" s="311">
        <f t="shared" si="9"/>
        <v>2.1697529678439821E-3</v>
      </c>
      <c r="W29" s="309">
        <f t="shared" si="41"/>
        <v>2.1697529678439821E-3</v>
      </c>
      <c r="X29" s="309">
        <f t="shared" si="10"/>
        <v>1.0415740414977666</v>
      </c>
      <c r="Y29" s="309">
        <f t="shared" si="11"/>
        <v>5.6413577163943532E-2</v>
      </c>
      <c r="Z29" s="309">
        <f t="shared" si="12"/>
        <v>1.4011632075902022E-2</v>
      </c>
      <c r="AA29" s="309">
        <f t="shared" si="13"/>
        <v>0</v>
      </c>
      <c r="AB29" s="309">
        <f t="shared" si="14"/>
        <v>4.2406858347651122E-3</v>
      </c>
      <c r="AC29" s="309">
        <f t="shared" si="15"/>
        <v>7.5604218040041388E-2</v>
      </c>
      <c r="AD29" s="309">
        <f t="shared" si="16"/>
        <v>1.6698555634793977</v>
      </c>
      <c r="AE29" s="309">
        <f t="shared" si="17"/>
        <v>2.7884176028830969E-2</v>
      </c>
      <c r="AF29" s="309">
        <f t="shared" si="18"/>
        <v>2.5020771564110752E-2</v>
      </c>
      <c r="AG29" s="309">
        <f t="shared" si="19"/>
        <v>5.314203910862747E-2</v>
      </c>
      <c r="AH29" s="309">
        <f t="shared" si="20"/>
        <v>0</v>
      </c>
      <c r="AI29">
        <f t="shared" si="21"/>
        <v>0</v>
      </c>
      <c r="AJ29" s="310">
        <f t="shared" si="22"/>
        <v>0.224025</v>
      </c>
      <c r="AK29">
        <f t="shared" si="23"/>
        <v>3.6000000000000004E-2</v>
      </c>
      <c r="AL29" s="310">
        <f t="shared" si="24"/>
        <v>3.0374999999999999E-2</v>
      </c>
      <c r="AM29" s="310">
        <f t="shared" si="25"/>
        <v>5.5427027027027023E-2</v>
      </c>
      <c r="AN29" s="310">
        <f t="shared" si="42"/>
        <v>6.6375000000000003E-2</v>
      </c>
      <c r="AO29" s="310">
        <f t="shared" si="26"/>
        <v>0.64622235613568724</v>
      </c>
      <c r="AP29">
        <f t="shared" si="27"/>
        <v>7.5</v>
      </c>
      <c r="AQ29" s="9">
        <f t="shared" si="43"/>
        <v>0.92067214373924411</v>
      </c>
      <c r="AR29" s="51">
        <f t="shared" si="28"/>
        <v>4.1582319922022766</v>
      </c>
      <c r="AS29" s="51">
        <f t="shared" si="44"/>
        <v>2.1256815643450988</v>
      </c>
      <c r="AT29" s="9"/>
      <c r="AU29">
        <f t="shared" si="45"/>
        <v>92.067214373924415</v>
      </c>
      <c r="BC29" t="s">
        <v>746</v>
      </c>
      <c r="BD29">
        <v>9.9987899999999996</v>
      </c>
      <c r="BE29">
        <v>0.1958</v>
      </c>
      <c r="BF29">
        <v>5.1217600000000001</v>
      </c>
      <c r="BG29">
        <v>75.662516566515876</v>
      </c>
      <c r="BH29">
        <v>322.57199766699983</v>
      </c>
    </row>
    <row r="30" spans="1:69">
      <c r="A30" s="24" t="s">
        <v>465</v>
      </c>
      <c r="B30" s="541">
        <v>1.5</v>
      </c>
      <c r="C30" s="317" t="s">
        <v>30</v>
      </c>
      <c r="D30" s="23" t="s">
        <v>461</v>
      </c>
      <c r="G30">
        <v>21</v>
      </c>
      <c r="H30">
        <f t="shared" si="0"/>
        <v>1.575</v>
      </c>
      <c r="I30" s="309">
        <f t="shared" si="1"/>
        <v>0.28020754048907515</v>
      </c>
      <c r="J30" s="310">
        <f t="shared" si="2"/>
        <v>4.4153915471005787</v>
      </c>
      <c r="K30" s="310">
        <f t="shared" si="31"/>
        <v>3.7826957735502891</v>
      </c>
      <c r="L30" s="310">
        <f t="shared" si="32"/>
        <v>-0.63269577355028939</v>
      </c>
      <c r="M30" s="51">
        <f t="shared" si="3"/>
        <v>18</v>
      </c>
      <c r="N30" s="309">
        <f t="shared" si="4"/>
        <v>2.0261454068050671</v>
      </c>
      <c r="O30" s="309">
        <f t="shared" si="5"/>
        <v>2.4680224312896334E-2</v>
      </c>
      <c r="P30">
        <f t="shared" si="6"/>
        <v>0.2</v>
      </c>
      <c r="Q30" s="309">
        <f t="shared" si="34"/>
        <v>0.22468022431289636</v>
      </c>
      <c r="R30" s="8">
        <f t="shared" si="39"/>
        <v>1.2746137491480587</v>
      </c>
      <c r="S30" s="8">
        <f t="shared" si="7"/>
        <v>1.6246402095172704E-3</v>
      </c>
      <c r="T30" s="8">
        <f t="shared" si="40"/>
        <v>1.6246402095172704E-3</v>
      </c>
      <c r="U30" s="309">
        <f t="shared" si="8"/>
        <v>1.072532641654417</v>
      </c>
      <c r="V30" s="311">
        <f t="shared" si="9"/>
        <v>2.300652534828404E-3</v>
      </c>
      <c r="W30" s="309">
        <f t="shared" si="41"/>
        <v>2.300652534828404E-3</v>
      </c>
      <c r="X30" s="309">
        <f t="shared" si="10"/>
        <v>1.072532641654417</v>
      </c>
      <c r="Y30" s="309">
        <f t="shared" si="11"/>
        <v>5.9816965905538505E-2</v>
      </c>
      <c r="Z30" s="309">
        <f t="shared" si="12"/>
        <v>1.4298590024020093E-2</v>
      </c>
      <c r="AA30" s="309">
        <f t="shared" si="13"/>
        <v>0</v>
      </c>
      <c r="AB30" s="309">
        <f t="shared" si="14"/>
        <v>3.7961746413017359E-3</v>
      </c>
      <c r="AC30" s="309">
        <f t="shared" si="15"/>
        <v>7.8950700672334118E-2</v>
      </c>
      <c r="AD30" s="309">
        <f t="shared" si="16"/>
        <v>1.7189935840785062</v>
      </c>
      <c r="AE30" s="309">
        <f t="shared" si="17"/>
        <v>2.9549389421030685E-2</v>
      </c>
      <c r="AF30" s="309">
        <f t="shared" si="18"/>
        <v>2.5533196471464452E-2</v>
      </c>
      <c r="AG30" s="309">
        <f t="shared" si="19"/>
        <v>5.5344248090742731E-2</v>
      </c>
      <c r="AH30" s="309">
        <f t="shared" si="20"/>
        <v>0</v>
      </c>
      <c r="AI30">
        <f t="shared" si="21"/>
        <v>0</v>
      </c>
      <c r="AJ30" s="310">
        <f t="shared" si="22"/>
        <v>0.22397624999999996</v>
      </c>
      <c r="AK30">
        <f t="shared" si="23"/>
        <v>3.6000000000000004E-2</v>
      </c>
      <c r="AL30" s="310">
        <f t="shared" si="24"/>
        <v>3.0374999999999999E-2</v>
      </c>
      <c r="AM30" s="310">
        <f t="shared" si="25"/>
        <v>5.5427027027027023E-2</v>
      </c>
      <c r="AN30" s="310">
        <f t="shared" si="42"/>
        <v>6.6375000000000003E-2</v>
      </c>
      <c r="AO30" s="310">
        <f t="shared" si="26"/>
        <v>0.65325171582031871</v>
      </c>
      <c r="AP30">
        <f t="shared" si="27"/>
        <v>7.875</v>
      </c>
      <c r="AQ30" s="9">
        <f t="shared" si="43"/>
        <v>0.92340144995855289</v>
      </c>
      <c r="AR30" s="51">
        <f t="shared" si="28"/>
        <v>4.3422885369783764</v>
      </c>
      <c r="AS30" s="51">
        <f t="shared" si="44"/>
        <v>2.2137699236297093</v>
      </c>
      <c r="AT30" s="9"/>
      <c r="AU30">
        <f t="shared" si="45"/>
        <v>92.340144995855283</v>
      </c>
      <c r="BD30">
        <v>9.9987659999999998</v>
      </c>
      <c r="BE30">
        <v>0.2681</v>
      </c>
      <c r="BF30">
        <v>5.1224080000000001</v>
      </c>
      <c r="BG30">
        <v>80.957553445887683</v>
      </c>
      <c r="BH30">
        <v>323.02506068319997</v>
      </c>
    </row>
    <row r="31" spans="1:69">
      <c r="A31" s="24" t="s">
        <v>466</v>
      </c>
      <c r="B31" s="541">
        <v>0.9</v>
      </c>
      <c r="C31" s="317" t="s">
        <v>30</v>
      </c>
      <c r="D31" s="23" t="s">
        <v>463</v>
      </c>
      <c r="G31">
        <v>22</v>
      </c>
      <c r="H31">
        <f t="shared" si="0"/>
        <v>1.65</v>
      </c>
      <c r="I31" s="309">
        <f t="shared" si="1"/>
        <v>0.28032369065346024</v>
      </c>
      <c r="J31" s="310">
        <f t="shared" si="2"/>
        <v>4.4172217921151313</v>
      </c>
      <c r="K31" s="310">
        <f t="shared" si="31"/>
        <v>3.8586108960575656</v>
      </c>
      <c r="L31" s="310">
        <f t="shared" si="32"/>
        <v>-0.55861089605756575</v>
      </c>
      <c r="M31" s="51">
        <f t="shared" si="3"/>
        <v>17.214511434747791</v>
      </c>
      <c r="N31" s="309">
        <f t="shared" si="4"/>
        <v>2.0853027030612927</v>
      </c>
      <c r="O31" s="309">
        <f t="shared" si="5"/>
        <v>2.6145496994748246E-2</v>
      </c>
      <c r="P31">
        <f t="shared" si="6"/>
        <v>0.2</v>
      </c>
      <c r="Q31" s="309">
        <f t="shared" si="34"/>
        <v>0.22614549699474826</v>
      </c>
      <c r="R31" s="8">
        <f t="shared" si="39"/>
        <v>1.2751420953739763</v>
      </c>
      <c r="S31" s="8">
        <f t="shared" si="7"/>
        <v>1.6259873633947348E-3</v>
      </c>
      <c r="T31" s="8">
        <f t="shared" si="40"/>
        <v>1.6259873633947348E-3</v>
      </c>
      <c r="U31" s="309">
        <f t="shared" si="8"/>
        <v>1.1040760963206957</v>
      </c>
      <c r="V31" s="311">
        <f t="shared" si="9"/>
        <v>2.4379680529334927E-3</v>
      </c>
      <c r="W31" s="309">
        <f t="shared" si="41"/>
        <v>2.4379680529334927E-3</v>
      </c>
      <c r="X31" s="309">
        <f t="shared" si="10"/>
        <v>1.1040760963206957</v>
      </c>
      <c r="Y31" s="309">
        <f t="shared" si="11"/>
        <v>6.3387169376270799E-2</v>
      </c>
      <c r="Z31" s="309">
        <f t="shared" si="12"/>
        <v>1.4585549187097598E-2</v>
      </c>
      <c r="AA31" s="309">
        <f t="shared" si="13"/>
        <v>3.8880324439837244E-3</v>
      </c>
      <c r="AB31" s="309">
        <f t="shared" si="14"/>
        <v>3.3516653763453943E-3</v>
      </c>
      <c r="AC31" s="309">
        <f t="shared" si="15"/>
        <v>8.6417524075541458E-2</v>
      </c>
      <c r="AD31" s="309">
        <f t="shared" si="16"/>
        <v>1.7690402304436119</v>
      </c>
      <c r="AE31" s="309">
        <f t="shared" si="17"/>
        <v>3.1295033369279877E-2</v>
      </c>
      <c r="AF31" s="309">
        <f t="shared" si="18"/>
        <v>2.6045623548388568E-2</v>
      </c>
      <c r="AG31" s="309">
        <f t="shared" si="19"/>
        <v>5.7629218246961919E-2</v>
      </c>
      <c r="AH31" s="309">
        <f t="shared" si="20"/>
        <v>0</v>
      </c>
      <c r="AI31">
        <f t="shared" si="21"/>
        <v>0</v>
      </c>
      <c r="AJ31" s="310">
        <f t="shared" si="22"/>
        <v>0.2239275</v>
      </c>
      <c r="AK31">
        <f t="shared" si="23"/>
        <v>3.6000000000000004E-2</v>
      </c>
      <c r="AL31" s="310">
        <f t="shared" si="24"/>
        <v>3.0374999999999999E-2</v>
      </c>
      <c r="AM31" s="310">
        <f t="shared" si="25"/>
        <v>5.5427027027027023E-2</v>
      </c>
      <c r="AN31" s="310">
        <f t="shared" si="42"/>
        <v>6.6375000000000003E-2</v>
      </c>
      <c r="AO31" s="310">
        <f t="shared" si="26"/>
        <v>0.66455869473357976</v>
      </c>
      <c r="AP31">
        <f t="shared" si="27"/>
        <v>8.25</v>
      </c>
      <c r="AQ31" s="9">
        <f t="shared" si="43"/>
        <v>0.92545242927996207</v>
      </c>
      <c r="AR31" s="51">
        <f t="shared" si="28"/>
        <v>4.7529638241547802</v>
      </c>
      <c r="AS31" s="51">
        <f t="shared" si="44"/>
        <v>2.3051687298784769</v>
      </c>
      <c r="AT31" s="9"/>
      <c r="AU31">
        <f t="shared" si="45"/>
        <v>92.545242927996213</v>
      </c>
      <c r="BD31">
        <v>9.998704</v>
      </c>
      <c r="BE31">
        <v>0.36549999999999999</v>
      </c>
      <c r="BF31">
        <v>5.123094</v>
      </c>
      <c r="BG31">
        <v>85.419022273213088</v>
      </c>
      <c r="BH31">
        <v>319.63300692320018</v>
      </c>
    </row>
    <row r="32" spans="1:69">
      <c r="A32" s="26" t="s">
        <v>467</v>
      </c>
      <c r="B32" s="18" t="s">
        <v>714</v>
      </c>
      <c r="C32" s="26" t="s">
        <v>532</v>
      </c>
      <c r="D32" s="20" t="s">
        <v>130</v>
      </c>
      <c r="G32">
        <v>23</v>
      </c>
      <c r="H32">
        <f t="shared" si="0"/>
        <v>1.7250000000000001</v>
      </c>
      <c r="I32" s="309">
        <f t="shared" si="1"/>
        <v>0.28043988163469075</v>
      </c>
      <c r="J32" s="310">
        <f t="shared" si="2"/>
        <v>4.4190526803042181</v>
      </c>
      <c r="K32" s="310">
        <f t="shared" si="31"/>
        <v>3.9345263401521091</v>
      </c>
      <c r="L32" s="310">
        <f t="shared" si="32"/>
        <v>-0.48452634015210894</v>
      </c>
      <c r="M32" s="51">
        <f t="shared" si="3"/>
        <v>14.931474272792265</v>
      </c>
      <c r="N32" s="309">
        <f t="shared" si="4"/>
        <v>2.1454511295471925</v>
      </c>
      <c r="O32" s="309">
        <f t="shared" si="5"/>
        <v>2.7678917679391891E-2</v>
      </c>
      <c r="P32">
        <f t="shared" si="6"/>
        <v>0.2</v>
      </c>
      <c r="Q32" s="309">
        <f t="shared" si="34"/>
        <v>0.22767891767939191</v>
      </c>
      <c r="R32" s="8">
        <f t="shared" si="39"/>
        <v>1.2756706272683889</v>
      </c>
      <c r="S32" s="8">
        <f t="shared" si="7"/>
        <v>1.6273355492753248E-3</v>
      </c>
      <c r="T32" s="8">
        <f t="shared" si="40"/>
        <v>1.6273355492753248E-3</v>
      </c>
      <c r="U32" s="309">
        <f t="shared" si="8"/>
        <v>1.1361574325805044</v>
      </c>
      <c r="V32" s="311">
        <f t="shared" si="9"/>
        <v>2.5817074232158464E-3</v>
      </c>
      <c r="W32" s="309">
        <f t="shared" si="41"/>
        <v>2.5817074232158464E-3</v>
      </c>
      <c r="X32" s="309">
        <f t="shared" si="10"/>
        <v>1.1361574325805044</v>
      </c>
      <c r="Y32" s="309">
        <f t="shared" si="11"/>
        <v>6.7124393003612004E-2</v>
      </c>
      <c r="Z32" s="309">
        <f t="shared" si="12"/>
        <v>1.4872509565774975E-2</v>
      </c>
      <c r="AA32" s="309">
        <f t="shared" si="13"/>
        <v>1.4741191208439705E-2</v>
      </c>
      <c r="AB32" s="309">
        <f t="shared" si="14"/>
        <v>2.9071580409126539E-3</v>
      </c>
      <c r="AC32" s="309">
        <f t="shared" si="15"/>
        <v>0.10113880562480797</v>
      </c>
      <c r="AD32" s="309">
        <f t="shared" si="16"/>
        <v>1.8199194591155405</v>
      </c>
      <c r="AE32" s="309">
        <f t="shared" si="17"/>
        <v>3.3121068376674015E-2</v>
      </c>
      <c r="AF32" s="309">
        <f t="shared" si="18"/>
        <v>2.6558052796026736E-2</v>
      </c>
      <c r="AG32" s="309">
        <f t="shared" si="19"/>
        <v>5.9997067890782442E-2</v>
      </c>
      <c r="AH32" s="309">
        <f t="shared" si="20"/>
        <v>0</v>
      </c>
      <c r="AI32">
        <f t="shared" si="21"/>
        <v>0</v>
      </c>
      <c r="AJ32" s="310">
        <f t="shared" si="22"/>
        <v>0.22387874999999999</v>
      </c>
      <c r="AK32">
        <f t="shared" si="23"/>
        <v>3.6000000000000004E-2</v>
      </c>
      <c r="AL32" s="310">
        <f t="shared" si="24"/>
        <v>3.0374999999999999E-2</v>
      </c>
      <c r="AM32" s="310">
        <f t="shared" si="25"/>
        <v>5.5427027027027023E-2</v>
      </c>
      <c r="AN32" s="310">
        <f t="shared" si="42"/>
        <v>6.6375000000000003E-2</v>
      </c>
      <c r="AO32" s="310">
        <f t="shared" si="26"/>
        <v>0.68327758416747342</v>
      </c>
      <c r="AP32">
        <f t="shared" si="27"/>
        <v>8.625</v>
      </c>
      <c r="AQ32" s="9">
        <f t="shared" si="43"/>
        <v>0.92659462741746479</v>
      </c>
      <c r="AR32" s="51">
        <f t="shared" si="28"/>
        <v>5.5626343093644381</v>
      </c>
      <c r="AS32" s="51">
        <f t="shared" si="44"/>
        <v>2.3998827156312976</v>
      </c>
      <c r="AT32" s="9"/>
      <c r="AU32">
        <f t="shared" si="45"/>
        <v>92.659462741746481</v>
      </c>
      <c r="BD32">
        <v>9.9987290000000009</v>
      </c>
      <c r="BE32">
        <v>0.49059999999999998</v>
      </c>
      <c r="BF32">
        <v>5.1238169999999998</v>
      </c>
      <c r="BG32">
        <v>88.551850267052174</v>
      </c>
      <c r="BH32">
        <v>324.98153184230057</v>
      </c>
    </row>
    <row r="33" spans="1:60">
      <c r="A33" s="24" t="s">
        <v>467</v>
      </c>
      <c r="B33" s="4">
        <v>20</v>
      </c>
      <c r="C33" s="318" t="s">
        <v>220</v>
      </c>
      <c r="D33" s="23" t="s">
        <v>469</v>
      </c>
      <c r="G33">
        <v>24</v>
      </c>
      <c r="H33">
        <f t="shared" si="0"/>
        <v>1.7999999999999998</v>
      </c>
      <c r="I33" s="309">
        <f t="shared" si="1"/>
        <v>0.28055611345428572</v>
      </c>
      <c r="J33" s="310">
        <f t="shared" si="2"/>
        <v>4.4208842120069267</v>
      </c>
      <c r="K33" s="310">
        <f t="shared" si="31"/>
        <v>4.0104421060034632</v>
      </c>
      <c r="L33" s="310">
        <f t="shared" si="32"/>
        <v>-0.41044210600346354</v>
      </c>
      <c r="M33" s="51">
        <f t="shared" si="3"/>
        <v>12.648447026300881</v>
      </c>
      <c r="N33" s="309">
        <f t="shared" si="4"/>
        <v>2.2065096346940511</v>
      </c>
      <c r="O33" s="309">
        <f t="shared" si="5"/>
        <v>2.9280536304516259E-2</v>
      </c>
      <c r="P33">
        <f t="shared" si="6"/>
        <v>0.2</v>
      </c>
      <c r="Q33" s="309">
        <f t="shared" si="34"/>
        <v>0.22928053630451628</v>
      </c>
      <c r="R33" s="8">
        <f t="shared" si="39"/>
        <v>1.2761993449291829</v>
      </c>
      <c r="S33" s="8">
        <f t="shared" si="7"/>
        <v>1.6286847679976755E-3</v>
      </c>
      <c r="T33" s="8">
        <f t="shared" si="40"/>
        <v>1.6286847679976755E-3</v>
      </c>
      <c r="U33" s="309">
        <f t="shared" si="8"/>
        <v>1.1687340485086881</v>
      </c>
      <c r="V33" s="311">
        <f t="shared" si="9"/>
        <v>2.731878552287017E-3</v>
      </c>
      <c r="W33" s="309">
        <f t="shared" si="41"/>
        <v>2.731878552287017E-3</v>
      </c>
      <c r="X33" s="309">
        <f t="shared" si="10"/>
        <v>1.1687340485086881</v>
      </c>
      <c r="Y33" s="309">
        <f t="shared" si="11"/>
        <v>7.1028842359462441E-2</v>
      </c>
      <c r="Z33" s="309">
        <f t="shared" si="12"/>
        <v>1.5159471160693093E-2</v>
      </c>
      <c r="AA33" s="309">
        <f t="shared" si="13"/>
        <v>2.4928441127659681E-2</v>
      </c>
      <c r="AB33" s="309">
        <f t="shared" si="14"/>
        <v>2.4626526360207808E-3</v>
      </c>
      <c r="AC33" s="309">
        <f t="shared" si="15"/>
        <v>0.1153824127085689</v>
      </c>
      <c r="AD33" s="309">
        <f t="shared" si="16"/>
        <v>1.8715623131101369</v>
      </c>
      <c r="AE33" s="309">
        <f t="shared" si="17"/>
        <v>3.5027454918541659E-2</v>
      </c>
      <c r="AF33" s="309">
        <f t="shared" si="18"/>
        <v>2.7070484215523376E-2</v>
      </c>
      <c r="AG33" s="309">
        <f t="shared" si="19"/>
        <v>6.2447921816655358E-2</v>
      </c>
      <c r="AH33" s="309">
        <f t="shared" si="20"/>
        <v>0</v>
      </c>
      <c r="AI33">
        <f t="shared" si="21"/>
        <v>0</v>
      </c>
      <c r="AJ33" s="310">
        <f t="shared" si="22"/>
        <v>0.22383</v>
      </c>
      <c r="AK33">
        <f t="shared" si="23"/>
        <v>3.6000000000000004E-2</v>
      </c>
      <c r="AL33" s="310">
        <f t="shared" si="24"/>
        <v>3.0374999999999999E-2</v>
      </c>
      <c r="AM33" s="310">
        <f t="shared" si="25"/>
        <v>5.5427027027027023E-2</v>
      </c>
      <c r="AN33" s="310">
        <f t="shared" si="42"/>
        <v>6.6375000000000003E-2</v>
      </c>
      <c r="AO33" s="310">
        <f t="shared" si="26"/>
        <v>0.70167643415002523</v>
      </c>
      <c r="AP33">
        <f t="shared" si="27"/>
        <v>9</v>
      </c>
      <c r="AQ33" s="9">
        <f t="shared" si="43"/>
        <v>0.92767472313546606</v>
      </c>
      <c r="AR33" s="51">
        <f t="shared" si="28"/>
        <v>6.3460326989712899</v>
      </c>
      <c r="AS33" s="51">
        <f t="shared" si="44"/>
        <v>2.4979168726662144</v>
      </c>
      <c r="AT33" s="9"/>
      <c r="AU33">
        <f t="shared" si="45"/>
        <v>92.767472313546605</v>
      </c>
      <c r="BD33">
        <v>9.9986420000000003</v>
      </c>
      <c r="BE33">
        <v>0.64549999999999996</v>
      </c>
      <c r="BF33">
        <v>5.1237300000000001</v>
      </c>
      <c r="BG33">
        <v>90.41893857119905</v>
      </c>
      <c r="BH33">
        <v>350.45848473660021</v>
      </c>
    </row>
    <row r="34" spans="1:60">
      <c r="A34" s="26" t="s">
        <v>470</v>
      </c>
      <c r="B34" s="18" t="s">
        <v>714</v>
      </c>
      <c r="C34" s="26" t="s">
        <v>532</v>
      </c>
      <c r="D34" s="20" t="s">
        <v>130</v>
      </c>
      <c r="G34">
        <v>25</v>
      </c>
      <c r="H34">
        <f t="shared" si="0"/>
        <v>1.875</v>
      </c>
      <c r="I34" s="309">
        <f t="shared" si="1"/>
        <v>0.28067238613377976</v>
      </c>
      <c r="J34" s="310">
        <f t="shared" si="2"/>
        <v>4.4227163875625903</v>
      </c>
      <c r="K34" s="310">
        <f t="shared" si="31"/>
        <v>4.0863581937812956</v>
      </c>
      <c r="L34" s="310">
        <f t="shared" si="32"/>
        <v>-0.33635819378129517</v>
      </c>
      <c r="M34" s="51">
        <f t="shared" si="3"/>
        <v>10.365429700502164</v>
      </c>
      <c r="N34" s="309">
        <f t="shared" si="4"/>
        <v>2.2684047302898187</v>
      </c>
      <c r="O34" s="309">
        <f t="shared" si="5"/>
        <v>3.0950405048105555E-2</v>
      </c>
      <c r="P34">
        <f t="shared" si="6"/>
        <v>0.2</v>
      </c>
      <c r="Q34" s="309">
        <f t="shared" si="34"/>
        <v>0.23095040504810557</v>
      </c>
      <c r="R34" s="8">
        <f t="shared" si="39"/>
        <v>1.2767282484543154</v>
      </c>
      <c r="S34" s="8">
        <f t="shared" si="7"/>
        <v>1.6300350204012243E-3</v>
      </c>
      <c r="T34" s="8">
        <f t="shared" si="40"/>
        <v>1.6300350204012243E-3</v>
      </c>
      <c r="U34" s="309">
        <f t="shared" si="8"/>
        <v>1.2017673136506941</v>
      </c>
      <c r="V34" s="311">
        <f t="shared" si="9"/>
        <v>2.8884893523184116E-3</v>
      </c>
      <c r="W34" s="309">
        <f t="shared" si="41"/>
        <v>2.8884893523184116E-3</v>
      </c>
      <c r="X34" s="309">
        <f t="shared" si="10"/>
        <v>1.2017673136506941</v>
      </c>
      <c r="Y34" s="309">
        <f t="shared" si="11"/>
        <v>7.5100723160278701E-2</v>
      </c>
      <c r="Z34" s="309">
        <f t="shared" si="12"/>
        <v>1.5446433972493297E-2</v>
      </c>
      <c r="AA34" s="309">
        <f t="shared" si="13"/>
        <v>3.4449790856336066E-2</v>
      </c>
      <c r="AB34" s="309">
        <f t="shared" si="14"/>
        <v>2.0181491626877707E-3</v>
      </c>
      <c r="AC34" s="309">
        <f t="shared" si="15"/>
        <v>0.12914891609042234</v>
      </c>
      <c r="AD34" s="309">
        <f t="shared" si="16"/>
        <v>1.9239062722081912</v>
      </c>
      <c r="AE34" s="309">
        <f t="shared" si="17"/>
        <v>3.7014153442420192E-2</v>
      </c>
      <c r="AF34" s="309">
        <f t="shared" si="18"/>
        <v>2.7582917808023744E-2</v>
      </c>
      <c r="AG34" s="309">
        <f t="shared" si="19"/>
        <v>6.4981911320298541E-2</v>
      </c>
      <c r="AH34" s="309">
        <f t="shared" si="20"/>
        <v>0</v>
      </c>
      <c r="AI34">
        <f t="shared" si="21"/>
        <v>0</v>
      </c>
      <c r="AJ34" s="310">
        <f t="shared" si="22"/>
        <v>0.22378124999999999</v>
      </c>
      <c r="AK34">
        <f t="shared" si="23"/>
        <v>3.6000000000000004E-2</v>
      </c>
      <c r="AL34" s="310">
        <f t="shared" si="24"/>
        <v>3.0374999999999999E-2</v>
      </c>
      <c r="AM34" s="310">
        <f t="shared" si="25"/>
        <v>5.5427027027027023E-2</v>
      </c>
      <c r="AN34" s="310">
        <f t="shared" si="42"/>
        <v>6.6375000000000003E-2</v>
      </c>
      <c r="AO34" s="310">
        <f t="shared" si="26"/>
        <v>0.71975600683154595</v>
      </c>
      <c r="AP34">
        <f t="shared" si="27"/>
        <v>9.375</v>
      </c>
      <c r="AQ34" s="9">
        <f t="shared" si="43"/>
        <v>0.92870000955501486</v>
      </c>
      <c r="AR34" s="51">
        <f t="shared" si="28"/>
        <v>7.103190384973229</v>
      </c>
      <c r="AS34" s="51">
        <f t="shared" si="44"/>
        <v>2.5992764528119414</v>
      </c>
      <c r="AT34" s="9"/>
      <c r="AU34">
        <f t="shared" si="45"/>
        <v>92.870000955501482</v>
      </c>
      <c r="BD34">
        <v>9.9986049999999995</v>
      </c>
      <c r="BE34">
        <v>0.83240000000000003</v>
      </c>
      <c r="BF34">
        <v>5.1231559999999998</v>
      </c>
      <c r="BG34">
        <v>91.678946361105133</v>
      </c>
      <c r="BH34">
        <v>387.05996035199956</v>
      </c>
    </row>
    <row r="35" spans="1:60">
      <c r="A35" s="24" t="s">
        <v>471</v>
      </c>
      <c r="B35" s="4">
        <v>2</v>
      </c>
      <c r="C35" s="318" t="s">
        <v>747</v>
      </c>
      <c r="D35" s="23" t="s">
        <v>472</v>
      </c>
      <c r="G35">
        <v>26</v>
      </c>
      <c r="H35">
        <f t="shared" si="0"/>
        <v>1.9500000000000002</v>
      </c>
      <c r="I35" s="309">
        <f t="shared" si="1"/>
        <v>0.28078869969472214</v>
      </c>
      <c r="J35" s="310">
        <f t="shared" si="2"/>
        <v>4.4245492073107737</v>
      </c>
      <c r="K35" s="310">
        <f t="shared" si="31"/>
        <v>4.162274603655387</v>
      </c>
      <c r="L35" s="310">
        <f t="shared" si="32"/>
        <v>-0.26227460365538668</v>
      </c>
      <c r="M35" s="51">
        <f t="shared" si="3"/>
        <v>8.0824223006282505</v>
      </c>
      <c r="N35" s="309">
        <f t="shared" si="4"/>
        <v>2.3310697774468698</v>
      </c>
      <c r="O35" s="309">
        <f t="shared" si="5"/>
        <v>3.2688578332697039E-2</v>
      </c>
      <c r="P35">
        <f t="shared" si="6"/>
        <v>0.2</v>
      </c>
      <c r="Q35" s="309">
        <f t="shared" si="34"/>
        <v>0.23268857833269704</v>
      </c>
      <c r="R35" s="8">
        <f t="shared" si="39"/>
        <v>1.2772573379418104</v>
      </c>
      <c r="S35" s="8">
        <f t="shared" si="7"/>
        <v>1.6313863073262002E-3</v>
      </c>
      <c r="T35" s="8">
        <f t="shared" si="40"/>
        <v>1.6313863073262002E-3</v>
      </c>
      <c r="U35" s="309">
        <f t="shared" si="8"/>
        <v>1.2352221947986035</v>
      </c>
      <c r="V35" s="311">
        <f t="shared" si="9"/>
        <v>3.0515477410461584E-3</v>
      </c>
      <c r="W35" s="309">
        <f t="shared" si="41"/>
        <v>3.0515477410461584E-3</v>
      </c>
      <c r="X35" s="309">
        <f t="shared" si="10"/>
        <v>1.2352221947986035</v>
      </c>
      <c r="Y35" s="309">
        <f t="shared" si="11"/>
        <v>7.9340241267200115E-2</v>
      </c>
      <c r="Z35" s="309">
        <f t="shared" si="12"/>
        <v>1.5733398001817365E-2</v>
      </c>
      <c r="AA35" s="309">
        <f t="shared" si="13"/>
        <v>4.3305249055209785E-2</v>
      </c>
      <c r="AB35" s="309">
        <f t="shared" si="14"/>
        <v>1.5736476219323199E-3</v>
      </c>
      <c r="AC35" s="309">
        <f t="shared" si="15"/>
        <v>0.14243878399348656</v>
      </c>
      <c r="AD35" s="309">
        <f t="shared" si="16"/>
        <v>1.9768946448415303</v>
      </c>
      <c r="AE35" s="309">
        <f t="shared" si="17"/>
        <v>3.9081124368031205E-2</v>
      </c>
      <c r="AF35" s="309">
        <f t="shared" si="18"/>
        <v>2.8095353574673861E-2</v>
      </c>
      <c r="AG35" s="309">
        <f t="shared" si="19"/>
        <v>6.7599174220285732E-2</v>
      </c>
      <c r="AH35" s="309">
        <f t="shared" si="20"/>
        <v>0</v>
      </c>
      <c r="AI35">
        <f t="shared" si="21"/>
        <v>0</v>
      </c>
      <c r="AJ35" s="310">
        <f t="shared" si="22"/>
        <v>0.22373249999999997</v>
      </c>
      <c r="AK35">
        <f t="shared" si="23"/>
        <v>3.6000000000000004E-2</v>
      </c>
      <c r="AL35" s="310">
        <f t="shared" si="24"/>
        <v>3.0374999999999999E-2</v>
      </c>
      <c r="AM35" s="310">
        <f t="shared" si="25"/>
        <v>5.5427027027027023E-2</v>
      </c>
      <c r="AN35" s="310">
        <f t="shared" si="42"/>
        <v>6.6375000000000003E-2</v>
      </c>
      <c r="AO35" s="310">
        <f t="shared" si="26"/>
        <v>0.73751697059484167</v>
      </c>
      <c r="AP35">
        <f t="shared" si="27"/>
        <v>9.75</v>
      </c>
      <c r="AQ35" s="9">
        <f t="shared" si="43"/>
        <v>0.92967668394123137</v>
      </c>
      <c r="AR35" s="51">
        <f t="shared" si="28"/>
        <v>7.834133119641761</v>
      </c>
      <c r="AS35" s="51">
        <f t="shared" si="44"/>
        <v>2.7039669688114292</v>
      </c>
      <c r="AT35" s="9"/>
      <c r="AU35">
        <f t="shared" si="45"/>
        <v>92.967668394123137</v>
      </c>
      <c r="BD35">
        <v>9.9986049999999995</v>
      </c>
      <c r="BE35">
        <v>1.0528999999999999</v>
      </c>
      <c r="BF35">
        <v>5.1218219999999999</v>
      </c>
      <c r="BG35">
        <v>92.889938966292178</v>
      </c>
      <c r="BH35">
        <v>412.77762981700039</v>
      </c>
    </row>
    <row r="36" spans="1:60">
      <c r="A36" s="26" t="s">
        <v>473</v>
      </c>
      <c r="B36" s="18" t="s">
        <v>714</v>
      </c>
      <c r="C36" s="26" t="s">
        <v>532</v>
      </c>
      <c r="D36" s="20" t="s">
        <v>130</v>
      </c>
      <c r="G36">
        <v>27</v>
      </c>
      <c r="H36">
        <f t="shared" si="0"/>
        <v>2.0250000000000004</v>
      </c>
      <c r="I36" s="309">
        <f t="shared" si="1"/>
        <v>0.2809050541586775</v>
      </c>
      <c r="J36" s="310">
        <f t="shared" si="2"/>
        <v>4.4263826715912815</v>
      </c>
      <c r="K36" s="310">
        <f t="shared" si="31"/>
        <v>4.2381913357956407</v>
      </c>
      <c r="L36" s="310">
        <f t="shared" si="32"/>
        <v>-0.1881913357956404</v>
      </c>
      <c r="M36" s="51">
        <f t="shared" si="3"/>
        <v>5.7994248319149593</v>
      </c>
      <c r="N36" s="309">
        <f t="shared" si="4"/>
        <v>2.3944443258538364</v>
      </c>
      <c r="O36" s="309">
        <f t="shared" si="5"/>
        <v>3.4495112829824807E-2</v>
      </c>
      <c r="P36">
        <f t="shared" si="6"/>
        <v>0.2</v>
      </c>
      <c r="Q36" s="309">
        <f t="shared" si="34"/>
        <v>0.23449511282982483</v>
      </c>
      <c r="R36" s="8">
        <f t="shared" si="39"/>
        <v>1.2777866134897606</v>
      </c>
      <c r="S36" s="8">
        <f t="shared" si="7"/>
        <v>1.6327386296136311E-3</v>
      </c>
      <c r="T36" s="8">
        <f t="shared" si="40"/>
        <v>1.6327386296136311E-3</v>
      </c>
      <c r="U36" s="309">
        <f t="shared" si="8"/>
        <v>1.2690669095394496</v>
      </c>
      <c r="V36" s="311">
        <f t="shared" si="9"/>
        <v>3.2210616417760189E-3</v>
      </c>
      <c r="W36" s="309">
        <f t="shared" si="41"/>
        <v>3.2210616417760189E-3</v>
      </c>
      <c r="X36" s="309">
        <f t="shared" si="10"/>
        <v>1.2690669095394496</v>
      </c>
      <c r="Y36" s="309">
        <f t="shared" si="11"/>
        <v>8.3747602686176481E-2</v>
      </c>
      <c r="Z36" s="309">
        <f t="shared" si="12"/>
        <v>1.6020363249307522E-2</v>
      </c>
      <c r="AA36" s="309">
        <f t="shared" si="13"/>
        <v>5.1494824391075243E-2</v>
      </c>
      <c r="AB36" s="309">
        <f t="shared" si="14"/>
        <v>1.1291480147738423E-3</v>
      </c>
      <c r="AC36" s="309">
        <f t="shared" si="15"/>
        <v>0.15525238159063073</v>
      </c>
      <c r="AD36" s="309">
        <f t="shared" si="16"/>
        <v>2.0304760054542932</v>
      </c>
      <c r="AE36" s="309">
        <f t="shared" si="17"/>
        <v>4.1228328087256232E-2</v>
      </c>
      <c r="AF36" s="309">
        <f t="shared" si="18"/>
        <v>2.8607791516620573E-2</v>
      </c>
      <c r="AG36" s="309">
        <f t="shared" si="19"/>
        <v>7.0299854880919541E-2</v>
      </c>
      <c r="AH36" s="309">
        <f t="shared" si="20"/>
        <v>0</v>
      </c>
      <c r="AI36">
        <f t="shared" si="21"/>
        <v>0</v>
      </c>
      <c r="AJ36" s="310">
        <f t="shared" si="22"/>
        <v>0.22368374999999999</v>
      </c>
      <c r="AK36">
        <f t="shared" si="23"/>
        <v>3.6000000000000004E-2</v>
      </c>
      <c r="AL36" s="310">
        <f t="shared" si="24"/>
        <v>3.0374999999999999E-2</v>
      </c>
      <c r="AM36" s="310">
        <f t="shared" si="25"/>
        <v>5.5427027027027023E-2</v>
      </c>
      <c r="AN36" s="310">
        <f t="shared" si="42"/>
        <v>6.6375000000000003E-2</v>
      </c>
      <c r="AO36" s="310">
        <f t="shared" si="26"/>
        <v>0.75495989957276466</v>
      </c>
      <c r="AP36">
        <f t="shared" si="27"/>
        <v>10.125000000000002</v>
      </c>
      <c r="AQ36" s="9">
        <f t="shared" si="43"/>
        <v>0.93061004759747235</v>
      </c>
      <c r="AR36" s="51">
        <f t="shared" si="28"/>
        <v>8.5388809874846903</v>
      </c>
      <c r="AS36" s="51">
        <f t="shared" si="44"/>
        <v>2.8119941952367817</v>
      </c>
      <c r="AT36" s="9"/>
      <c r="AU36">
        <f t="shared" si="45"/>
        <v>93.061004759747235</v>
      </c>
      <c r="BD36">
        <v>9.9986669999999993</v>
      </c>
      <c r="BE36">
        <v>1.3092999999999999</v>
      </c>
      <c r="BF36">
        <v>5.1195649999999997</v>
      </c>
      <c r="BG36">
        <v>93.690364214923264</v>
      </c>
      <c r="BH36">
        <v>451.42072788069993</v>
      </c>
    </row>
    <row r="37" spans="1:60">
      <c r="A37" s="25" t="s">
        <v>474</v>
      </c>
      <c r="B37" s="4">
        <f>RdsonTop*1000</f>
        <v>52</v>
      </c>
      <c r="C37" s="318" t="s">
        <v>731</v>
      </c>
      <c r="D37" s="23" t="s">
        <v>475</v>
      </c>
      <c r="G37">
        <v>28</v>
      </c>
      <c r="H37">
        <f t="shared" si="0"/>
        <v>2.1</v>
      </c>
      <c r="I37" s="309">
        <f t="shared" si="1"/>
        <v>0.28102144954722585</v>
      </c>
      <c r="J37" s="310">
        <f t="shared" si="2"/>
        <v>4.4282167807441652</v>
      </c>
      <c r="K37" s="310">
        <f t="shared" si="31"/>
        <v>4.3141083903720823</v>
      </c>
      <c r="L37" s="310">
        <f t="shared" si="32"/>
        <v>-0.11410839037208254</v>
      </c>
      <c r="M37" s="51">
        <f t="shared" si="3"/>
        <v>3.5164372996019275</v>
      </c>
      <c r="N37" s="309">
        <f t="shared" si="4"/>
        <v>2.4584735077086659</v>
      </c>
      <c r="O37" s="309">
        <f t="shared" si="5"/>
        <v>3.6370067464649686E-2</v>
      </c>
      <c r="P37">
        <f t="shared" si="6"/>
        <v>0.2</v>
      </c>
      <c r="Q37" s="309">
        <f t="shared" si="34"/>
        <v>0.2363700674646497</v>
      </c>
      <c r="R37" s="8">
        <f t="shared" si="39"/>
        <v>1.2783160751963309</v>
      </c>
      <c r="S37" s="8">
        <f t="shared" si="7"/>
        <v>1.6340919881053517E-3</v>
      </c>
      <c r="T37" s="8">
        <f t="shared" si="40"/>
        <v>1.6340919881053517E-3</v>
      </c>
      <c r="U37" s="309">
        <f t="shared" si="8"/>
        <v>1.3032726083571848</v>
      </c>
      <c r="V37" s="311">
        <f t="shared" si="9"/>
        <v>3.3970389833882803E-3</v>
      </c>
      <c r="W37" s="309">
        <f t="shared" si="41"/>
        <v>3.3970389833882803E-3</v>
      </c>
      <c r="X37" s="309">
        <f t="shared" si="10"/>
        <v>1.3032726083571848</v>
      </c>
      <c r="Y37" s="309">
        <f t="shared" si="11"/>
        <v>8.8323013568095285E-2</v>
      </c>
      <c r="Z37" s="309">
        <f t="shared" si="12"/>
        <v>1.6307329715606472E-2</v>
      </c>
      <c r="AA37" s="309">
        <f t="shared" si="13"/>
        <v>5.9018525536785216E-2</v>
      </c>
      <c r="AB37" s="309">
        <f t="shared" si="14"/>
        <v>6.8465034223249524E-4</v>
      </c>
      <c r="AC37" s="309">
        <f t="shared" si="15"/>
        <v>0.16758997043387114</v>
      </c>
      <c r="AD37" s="309">
        <f t="shared" si="16"/>
        <v>2.0846036784989157</v>
      </c>
      <c r="AE37" s="309">
        <f t="shared" si="17"/>
        <v>4.3455724964112104E-2</v>
      </c>
      <c r="AF37" s="309">
        <f t="shared" si="18"/>
        <v>2.9120231635011554E-2</v>
      </c>
      <c r="AG37" s="309">
        <f t="shared" si="19"/>
        <v>7.3084104236394914E-2</v>
      </c>
      <c r="AH37" s="309">
        <f t="shared" si="20"/>
        <v>0</v>
      </c>
      <c r="AI37">
        <f t="shared" si="21"/>
        <v>0</v>
      </c>
      <c r="AJ37" s="310">
        <f t="shared" si="22"/>
        <v>0.22363499999999997</v>
      </c>
      <c r="AK37">
        <f t="shared" si="23"/>
        <v>3.6000000000000004E-2</v>
      </c>
      <c r="AL37" s="310">
        <f t="shared" si="24"/>
        <v>3.0374999999999999E-2</v>
      </c>
      <c r="AM37" s="310">
        <f t="shared" si="25"/>
        <v>5.5427027027027023E-2</v>
      </c>
      <c r="AN37" s="310">
        <f t="shared" si="42"/>
        <v>6.6375000000000003E-2</v>
      </c>
      <c r="AO37" s="310">
        <f t="shared" si="26"/>
        <v>0.77208527310640929</v>
      </c>
      <c r="AP37">
        <f t="shared" si="27"/>
        <v>10.5</v>
      </c>
      <c r="AQ37" s="9">
        <f t="shared" si="43"/>
        <v>0.93150466356491335</v>
      </c>
      <c r="AR37" s="51">
        <f t="shared" si="28"/>
        <v>9.2174483738629132</v>
      </c>
      <c r="AS37" s="51">
        <f t="shared" si="44"/>
        <v>2.9233641694557964</v>
      </c>
      <c r="AT37" s="9"/>
      <c r="AU37">
        <f t="shared" si="45"/>
        <v>93.150466356491336</v>
      </c>
      <c r="BD37">
        <v>9.9985429999999997</v>
      </c>
      <c r="BE37">
        <v>1.6020000000000001</v>
      </c>
      <c r="BF37">
        <v>5.1182809999999996</v>
      </c>
      <c r="BG37">
        <v>93.864473327748414</v>
      </c>
      <c r="BH37">
        <v>535.96589716749952</v>
      </c>
    </row>
    <row r="38" spans="1:60">
      <c r="A38" s="24" t="s">
        <v>476</v>
      </c>
      <c r="B38" s="4">
        <v>4500</v>
      </c>
      <c r="C38" s="318" t="s">
        <v>748</v>
      </c>
      <c r="D38" s="23" t="s">
        <v>477</v>
      </c>
      <c r="G38">
        <v>29</v>
      </c>
      <c r="H38">
        <f t="shared" si="0"/>
        <v>2.1749999999999998</v>
      </c>
      <c r="I38" s="309">
        <f t="shared" si="1"/>
        <v>0.28113788588196204</v>
      </c>
      <c r="J38" s="310">
        <f t="shared" si="2"/>
        <v>4.4300515351097047</v>
      </c>
      <c r="K38" s="310">
        <f t="shared" si="31"/>
        <v>4.3900257675548522</v>
      </c>
      <c r="L38" s="310">
        <f t="shared" si="32"/>
        <v>-4.0025767554852543E-2</v>
      </c>
      <c r="M38" s="51">
        <f t="shared" si="3"/>
        <v>1.2334597089322819</v>
      </c>
      <c r="N38" s="309">
        <f t="shared" si="4"/>
        <v>2.5231074855510984</v>
      </c>
      <c r="O38" s="309">
        <f t="shared" si="5"/>
        <v>3.8313503420776308E-2</v>
      </c>
      <c r="P38">
        <f t="shared" si="6"/>
        <v>0.2</v>
      </c>
      <c r="Q38" s="309">
        <f t="shared" si="34"/>
        <v>0.23831350342077631</v>
      </c>
      <c r="R38" s="8">
        <f t="shared" si="39"/>
        <v>1.2788457231597514</v>
      </c>
      <c r="S38" s="8">
        <f t="shared" si="7"/>
        <v>1.6354463836439877E-3</v>
      </c>
      <c r="T38" s="8">
        <f t="shared" si="40"/>
        <v>1.6354463836439877E-3</v>
      </c>
      <c r="U38" s="309">
        <f t="shared" si="8"/>
        <v>1.3378130849155747</v>
      </c>
      <c r="V38" s="311">
        <f t="shared" si="9"/>
        <v>3.5794877003426538E-3</v>
      </c>
      <c r="W38" s="309">
        <f t="shared" si="41"/>
        <v>3.5794877003426538E-3</v>
      </c>
      <c r="X38" s="309">
        <f t="shared" si="10"/>
        <v>1.3378130849155747</v>
      </c>
      <c r="Y38" s="309">
        <f t="shared" si="11"/>
        <v>9.3066680208908986E-2</v>
      </c>
      <c r="Z38" s="309">
        <f t="shared" si="12"/>
        <v>1.6594297401357341E-2</v>
      </c>
      <c r="AA38" s="309">
        <f t="shared" si="13"/>
        <v>6.5876361171257267E-2</v>
      </c>
      <c r="AB38" s="309">
        <f t="shared" si="14"/>
        <v>2.4015460532911525E-4</v>
      </c>
      <c r="AC38" s="309">
        <f t="shared" si="15"/>
        <v>0.17945170782190967</v>
      </c>
      <c r="AD38" s="309">
        <f t="shared" si="16"/>
        <v>2.1392352683780853</v>
      </c>
      <c r="AE38" s="309">
        <f t="shared" si="17"/>
        <v>4.5763275334726593E-2</v>
      </c>
      <c r="AF38" s="309">
        <f t="shared" si="18"/>
        <v>2.9632673930995251E-2</v>
      </c>
      <c r="AG38" s="309">
        <f t="shared" si="19"/>
        <v>7.5952079816262133E-2</v>
      </c>
      <c r="AH38" s="309">
        <f t="shared" si="20"/>
        <v>0</v>
      </c>
      <c r="AI38">
        <f t="shared" si="21"/>
        <v>0</v>
      </c>
      <c r="AJ38" s="310">
        <f t="shared" si="22"/>
        <v>0.22358624999999999</v>
      </c>
      <c r="AK38">
        <f t="shared" si="23"/>
        <v>3.6000000000000004E-2</v>
      </c>
      <c r="AL38" s="310">
        <f t="shared" si="24"/>
        <v>3.0374999999999999E-2</v>
      </c>
      <c r="AM38" s="310">
        <f t="shared" si="25"/>
        <v>5.5427027027027023E-2</v>
      </c>
      <c r="AN38" s="310">
        <f t="shared" si="42"/>
        <v>6.6375000000000003E-2</v>
      </c>
      <c r="AO38" s="310">
        <f t="shared" si="26"/>
        <v>0.78889347514293473</v>
      </c>
      <c r="AP38">
        <f t="shared" si="27"/>
        <v>10.875</v>
      </c>
      <c r="AQ38" s="9">
        <f t="shared" si="43"/>
        <v>0.93236448216676915</v>
      </c>
      <c r="AR38" s="51">
        <f t="shared" si="28"/>
        <v>9.8698439302050325</v>
      </c>
      <c r="AS38" s="51">
        <f t="shared" si="44"/>
        <v>3.0380831926504852</v>
      </c>
      <c r="AT38" s="9"/>
      <c r="AU38">
        <f t="shared" si="45"/>
        <v>93.236448216676919</v>
      </c>
      <c r="BD38">
        <v>9.9985429999999997</v>
      </c>
      <c r="BE38">
        <v>1.9350000000000001</v>
      </c>
      <c r="BF38">
        <v>5.117146</v>
      </c>
      <c r="BG38">
        <v>94.224527198076927</v>
      </c>
      <c r="BH38">
        <v>606.92116405899924</v>
      </c>
    </row>
    <row r="39" spans="1:60">
      <c r="A39" s="25" t="s">
        <v>478</v>
      </c>
      <c r="B39" s="4">
        <f>QgTop*1000000000</f>
        <v>3.2</v>
      </c>
      <c r="C39" s="318" t="s">
        <v>105</v>
      </c>
      <c r="D39" s="23" t="s">
        <v>480</v>
      </c>
      <c r="G39">
        <v>30</v>
      </c>
      <c r="H39">
        <f t="shared" si="0"/>
        <v>2.25</v>
      </c>
      <c r="I39" s="309">
        <f t="shared" si="1"/>
        <v>0.28125436318449637</v>
      </c>
      <c r="J39" s="310">
        <f t="shared" si="2"/>
        <v>4.4318869350284276</v>
      </c>
      <c r="K39" s="310">
        <f t="shared" si="31"/>
        <v>4.4659434675142133</v>
      </c>
      <c r="L39" s="310">
        <f t="shared" si="32"/>
        <v>3.4056532485786217E-2</v>
      </c>
      <c r="M39" s="51">
        <f t="shared" si="3"/>
        <v>0</v>
      </c>
      <c r="N39" s="309">
        <f t="shared" si="4"/>
        <v>2.5883009517969451</v>
      </c>
      <c r="O39" s="309">
        <f t="shared" si="5"/>
        <v>4.0325484145257995E-2</v>
      </c>
      <c r="P39">
        <f t="shared" si="6"/>
        <v>0.2</v>
      </c>
      <c r="Q39" s="309">
        <f t="shared" si="34"/>
        <v>0.24032548414525801</v>
      </c>
      <c r="R39" s="8">
        <f t="shared" si="39"/>
        <v>1.2793755574783241</v>
      </c>
      <c r="S39" s="8">
        <f t="shared" si="7"/>
        <v>1.6368018170729727E-3</v>
      </c>
      <c r="T39" s="8">
        <f t="shared" si="40"/>
        <v>1.6368018170729727E-3</v>
      </c>
      <c r="U39" s="309">
        <f t="shared" si="8"/>
        <v>1.3726645133977924</v>
      </c>
      <c r="V39" s="311">
        <f t="shared" si="9"/>
        <v>3.7684157326831965E-3</v>
      </c>
      <c r="W39" s="309">
        <f t="shared" si="41"/>
        <v>3.7684157326831965E-3</v>
      </c>
      <c r="X39" s="309">
        <f t="shared" si="10"/>
        <v>1.3726645133977924</v>
      </c>
      <c r="Y39" s="309">
        <f t="shared" si="11"/>
        <v>9.7978809049763096E-2</v>
      </c>
      <c r="Z39" s="309">
        <f t="shared" si="12"/>
        <v>1.7198149243317629E-2</v>
      </c>
      <c r="AA39" s="309">
        <f t="shared" si="13"/>
        <v>6.9304499999999991E-2</v>
      </c>
      <c r="AB39" s="309">
        <f t="shared" si="14"/>
        <v>0</v>
      </c>
      <c r="AC39" s="309">
        <f t="shared" si="15"/>
        <v>0.18854562292187554</v>
      </c>
      <c r="AD39" s="309">
        <f t="shared" si="16"/>
        <v>2.1943322334440092</v>
      </c>
      <c r="AE39" s="309">
        <f t="shared" si="17"/>
        <v>4.8150939507313736E-2</v>
      </c>
      <c r="AF39" s="309">
        <f t="shared" si="18"/>
        <v>3.0374999999999999E-2</v>
      </c>
      <c r="AG39" s="309">
        <f t="shared" si="19"/>
        <v>7.9135612159145621E-2</v>
      </c>
      <c r="AH39" s="309">
        <f t="shared" si="20"/>
        <v>0</v>
      </c>
      <c r="AI39">
        <f t="shared" si="21"/>
        <v>0</v>
      </c>
      <c r="AJ39" s="310">
        <f t="shared" si="22"/>
        <v>0.22353749999999997</v>
      </c>
      <c r="AK39">
        <f t="shared" si="23"/>
        <v>3.6000000000000004E-2</v>
      </c>
      <c r="AL39" s="310">
        <f t="shared" si="24"/>
        <v>3.0374999999999999E-2</v>
      </c>
      <c r="AM39" s="310">
        <f t="shared" si="25"/>
        <v>5.5427027027027023E-2</v>
      </c>
      <c r="AN39" s="310">
        <f t="shared" si="42"/>
        <v>6.6375000000000003E-2</v>
      </c>
      <c r="AO39" s="310">
        <f t="shared" si="26"/>
        <v>0.80332443677603527</v>
      </c>
      <c r="AP39">
        <f t="shared" si="27"/>
        <v>11.25</v>
      </c>
      <c r="AQ39" s="9">
        <f t="shared" si="43"/>
        <v>0.93335245881833206</v>
      </c>
      <c r="AR39" s="51">
        <f t="shared" si="28"/>
        <v>10.370009260703155</v>
      </c>
      <c r="AS39" s="51">
        <f t="shared" si="44"/>
        <v>3.1654244863658247</v>
      </c>
      <c r="AT39" s="9"/>
      <c r="AU39">
        <f t="shared" si="45"/>
        <v>93.335245881833202</v>
      </c>
      <c r="BD39">
        <v>9.9985060000000008</v>
      </c>
      <c r="BE39">
        <v>2.31</v>
      </c>
      <c r="BF39">
        <v>5.1166349999999996</v>
      </c>
      <c r="BG39">
        <v>94.492663502717292</v>
      </c>
      <c r="BH39">
        <v>688.87413060200208</v>
      </c>
    </row>
    <row r="40" spans="1:60">
      <c r="A40" s="25" t="s">
        <v>481</v>
      </c>
      <c r="B40" s="4">
        <f>QgdTop*1000000000</f>
        <v>0.8</v>
      </c>
      <c r="C40" s="318" t="s">
        <v>105</v>
      </c>
      <c r="D40" s="23" t="s">
        <v>482</v>
      </c>
      <c r="G40">
        <v>31</v>
      </c>
      <c r="H40">
        <f t="shared" si="0"/>
        <v>2.3250000000000002</v>
      </c>
      <c r="I40" s="309">
        <f t="shared" si="1"/>
        <v>0.28137088147645417</v>
      </c>
      <c r="J40" s="310">
        <f t="shared" si="2"/>
        <v>4.4337229808410967</v>
      </c>
      <c r="K40" s="310">
        <f t="shared" si="31"/>
        <v>4.5418614904205485</v>
      </c>
      <c r="L40" s="310">
        <f t="shared" si="32"/>
        <v>0.10813850957945181</v>
      </c>
      <c r="M40" s="51">
        <f t="shared" si="3"/>
        <v>0</v>
      </c>
      <c r="N40" s="309">
        <f t="shared" si="4"/>
        <v>2.6540126769170751</v>
      </c>
      <c r="O40" s="309">
        <f t="shared" si="5"/>
        <v>4.240607535379002E-2</v>
      </c>
      <c r="P40">
        <f t="shared" si="6"/>
        <v>0.2</v>
      </c>
      <c r="Q40" s="309">
        <f t="shared" si="34"/>
        <v>0.24240607535379002</v>
      </c>
      <c r="R40" s="8">
        <f t="shared" si="39"/>
        <v>1.2799055782504187</v>
      </c>
      <c r="S40" s="8">
        <f t="shared" si="7"/>
        <v>1.6381582892365388E-3</v>
      </c>
      <c r="T40" s="8">
        <f t="shared" si="40"/>
        <v>1.6381582892365388E-3</v>
      </c>
      <c r="U40" s="309">
        <f t="shared" si="8"/>
        <v>1.4078052113206581</v>
      </c>
      <c r="V40" s="311">
        <f t="shared" si="9"/>
        <v>3.963831026043205E-3</v>
      </c>
      <c r="W40" s="309">
        <f t="shared" si="41"/>
        <v>3.963831026043205E-3</v>
      </c>
      <c r="X40" s="309">
        <f t="shared" si="10"/>
        <v>1.4078052113206581</v>
      </c>
      <c r="Y40" s="309">
        <f t="shared" si="11"/>
        <v>0.10305960667712333</v>
      </c>
      <c r="Z40" s="309">
        <f t="shared" si="12"/>
        <v>1.8174423673692021E-2</v>
      </c>
      <c r="AA40" s="309">
        <f t="shared" si="13"/>
        <v>6.9304499999999991E-2</v>
      </c>
      <c r="AB40" s="309">
        <f t="shared" si="14"/>
        <v>0</v>
      </c>
      <c r="AC40" s="309">
        <f t="shared" si="15"/>
        <v>0.19495885458254525</v>
      </c>
      <c r="AD40" s="309">
        <f t="shared" si="16"/>
        <v>2.2498595014389093</v>
      </c>
      <c r="AE40" s="309">
        <f t="shared" si="17"/>
        <v>5.0618677762149379E-2</v>
      </c>
      <c r="AF40" s="309">
        <f t="shared" si="18"/>
        <v>3.1387499999999999E-2</v>
      </c>
      <c r="AG40" s="309">
        <f t="shared" si="19"/>
        <v>8.2675767850398596E-2</v>
      </c>
      <c r="AH40" s="309">
        <f t="shared" si="20"/>
        <v>0</v>
      </c>
      <c r="AI40">
        <f t="shared" si="21"/>
        <v>0</v>
      </c>
      <c r="AJ40" s="310">
        <f t="shared" si="22"/>
        <v>0.22348874999999999</v>
      </c>
      <c r="AK40">
        <f t="shared" si="23"/>
        <v>3.6000000000000004E-2</v>
      </c>
      <c r="AL40" s="310">
        <f t="shared" si="24"/>
        <v>3.0374999999999999E-2</v>
      </c>
      <c r="AM40" s="310">
        <f t="shared" si="25"/>
        <v>5.5427027027027023E-2</v>
      </c>
      <c r="AN40" s="310">
        <f t="shared" si="42"/>
        <v>6.6375000000000003E-2</v>
      </c>
      <c r="AO40" s="310">
        <f t="shared" si="26"/>
        <v>0.81550643710201365</v>
      </c>
      <c r="AP40">
        <f t="shared" si="27"/>
        <v>11.625</v>
      </c>
      <c r="AQ40" s="9">
        <f t="shared" si="43"/>
        <v>0.93444748883615514</v>
      </c>
      <c r="AR40" s="51">
        <f t="shared" si="28"/>
        <v>10.722737002039988</v>
      </c>
      <c r="AS40" s="51">
        <f t="shared" si="44"/>
        <v>3.3070307140159438</v>
      </c>
      <c r="AT40" s="9"/>
      <c r="AU40">
        <f t="shared" si="45"/>
        <v>93.444748883615517</v>
      </c>
      <c r="BD40">
        <v>9.9984319999999993</v>
      </c>
      <c r="BE40">
        <v>2.7269999999999999</v>
      </c>
      <c r="BF40">
        <v>5.115812</v>
      </c>
      <c r="BG40">
        <v>94.558770424517263</v>
      </c>
      <c r="BH40">
        <v>802.77694931200062</v>
      </c>
    </row>
    <row r="41" spans="1:60">
      <c r="A41" s="25" t="s">
        <v>483</v>
      </c>
      <c r="B41" s="4">
        <f>QgsTop*1000000000</f>
        <v>1.6</v>
      </c>
      <c r="C41" s="318" t="s">
        <v>105</v>
      </c>
      <c r="D41" s="318" t="s">
        <v>484</v>
      </c>
      <c r="G41">
        <v>32</v>
      </c>
      <c r="H41">
        <f t="shared" si="0"/>
        <v>2.4</v>
      </c>
      <c r="I41" s="309">
        <f t="shared" si="1"/>
        <v>0.28148744077947618</v>
      </c>
      <c r="J41" s="310">
        <f t="shared" si="2"/>
        <v>4.4355596728887159</v>
      </c>
      <c r="K41" s="310">
        <f t="shared" si="31"/>
        <v>4.6177798364443579</v>
      </c>
      <c r="L41" s="310">
        <f t="shared" si="32"/>
        <v>0.18222016355564197</v>
      </c>
      <c r="M41" s="51">
        <f t="shared" si="3"/>
        <v>0</v>
      </c>
      <c r="N41" s="309">
        <f t="shared" ref="N41:N72" si="46">SQRT(H41^2+(J41^2)/12)</f>
        <v>2.7202051027412844</v>
      </c>
      <c r="O41" s="309">
        <f t="shared" si="5"/>
        <v>4.4555345036092417E-2</v>
      </c>
      <c r="P41">
        <f t="shared" si="6"/>
        <v>0.2</v>
      </c>
      <c r="Q41" s="309">
        <f t="shared" si="34"/>
        <v>0.24455534503609244</v>
      </c>
      <c r="R41" s="8">
        <f t="shared" si="39"/>
        <v>1.2804357855744743</v>
      </c>
      <c r="S41" s="8">
        <f t="shared" si="7"/>
        <v>1.6395158009797214E-3</v>
      </c>
      <c r="T41" s="8">
        <f t="shared" si="40"/>
        <v>1.6395158009797214E-3</v>
      </c>
      <c r="U41" s="309">
        <f t="shared" ref="U41:U72" si="47">SQRT(I41)*SQRT(H41^2+(J41^2)/12)</f>
        <v>1.4432154259933192</v>
      </c>
      <c r="V41" s="311">
        <f t="shared" si="9"/>
        <v>4.1657415316501559E-3</v>
      </c>
      <c r="W41" s="309">
        <f t="shared" si="41"/>
        <v>4.1657415316501559E-3</v>
      </c>
      <c r="X41" s="309">
        <f t="shared" ref="X41:X72" si="48">SQRT(I41)*SQRT(H41^2+(J41^2)/12)</f>
        <v>1.4432154259933192</v>
      </c>
      <c r="Y41" s="309">
        <f t="shared" si="11"/>
        <v>0.10830927982290404</v>
      </c>
      <c r="Z41" s="309">
        <f t="shared" si="12"/>
        <v>1.9150696318966633E-2</v>
      </c>
      <c r="AA41" s="309">
        <f t="shared" si="13"/>
        <v>6.9304499999999991E-2</v>
      </c>
      <c r="AB41" s="309">
        <f t="shared" si="14"/>
        <v>0</v>
      </c>
      <c r="AC41" s="309">
        <f t="shared" ref="AC41:AC72" si="49">(AB41+AA41+Z41+Y41*(1+RdsonTopTc*Ta-RdsonTopTc*25))/(1-Y41*RdsonTopTc*ThetaJaTop)</f>
        <v>0.20156743332038063</v>
      </c>
      <c r="AD41" s="309">
        <f t="shared" ref="AD41:AD72" si="50">SQRT(1-I41)*SQRT(H41^2+(J41^2)/12)</f>
        <v>2.3057851233700517</v>
      </c>
      <c r="AE41" s="309">
        <f t="shared" si="17"/>
        <v>5.3166450351546449E-2</v>
      </c>
      <c r="AF41" s="309">
        <f t="shared" si="18"/>
        <v>3.2399999999999998E-2</v>
      </c>
      <c r="AG41" s="309">
        <f t="shared" ref="AG41:AG72" si="51">(AF41+AE41*(1+RdsonBotTc*Ta-RdsonBotTc*25))/(1-AE41*RdsonBotTc*ThetaJaBot)</f>
        <v>8.6300577611529358E-2</v>
      </c>
      <c r="AH41" s="309">
        <f t="shared" ref="AH41:AH72" si="52">IF(RDSON_sense=1, 0, AD41^2*Rshunt)</f>
        <v>0</v>
      </c>
      <c r="AI41">
        <f t="shared" si="21"/>
        <v>0</v>
      </c>
      <c r="AJ41" s="310">
        <f t="shared" si="22"/>
        <v>0.22343999999999997</v>
      </c>
      <c r="AK41">
        <f t="shared" si="23"/>
        <v>3.6000000000000004E-2</v>
      </c>
      <c r="AL41" s="310">
        <f t="shared" si="24"/>
        <v>3.0374999999999999E-2</v>
      </c>
      <c r="AM41" s="310">
        <f t="shared" si="25"/>
        <v>5.5427027027027023E-2</v>
      </c>
      <c r="AN41" s="310">
        <f t="shared" si="42"/>
        <v>6.6375000000000003E-2</v>
      </c>
      <c r="AO41" s="310">
        <f t="shared" ref="AO41:AO72" si="53">SUM(Q41,T41,W41,AC41,AJ41,AI41,AG41,AN41, AH41)</f>
        <v>0.82804361330063225</v>
      </c>
      <c r="AP41">
        <f t="shared" si="27"/>
        <v>12</v>
      </c>
      <c r="AQ41" s="9">
        <f t="shared" si="43"/>
        <v>0.93545051464885232</v>
      </c>
      <c r="AR41" s="51">
        <f t="shared" ref="AR41:AR72" si="54">ThetaJaTop*AC41</f>
        <v>11.086208832620935</v>
      </c>
      <c r="AS41" s="51">
        <f t="shared" si="44"/>
        <v>3.4520231044611744</v>
      </c>
      <c r="AT41" s="9"/>
      <c r="AU41">
        <f t="shared" si="45"/>
        <v>93.545051464885233</v>
      </c>
      <c r="BD41">
        <v>9.9985180000000007</v>
      </c>
      <c r="BE41">
        <v>3.1859999999999999</v>
      </c>
      <c r="BF41">
        <v>5.1148889999999998</v>
      </c>
      <c r="BG41">
        <v>94.58411932633652</v>
      </c>
      <c r="BH41">
        <v>933.10990806000302</v>
      </c>
    </row>
    <row r="42" spans="1:60">
      <c r="A42" s="25" t="s">
        <v>487</v>
      </c>
      <c r="B42" s="4">
        <f>RGateTop</f>
        <v>4.5999999999999996</v>
      </c>
      <c r="C42" s="317" t="s">
        <v>30</v>
      </c>
      <c r="D42" s="23" t="s">
        <v>511</v>
      </c>
      <c r="G42">
        <v>33</v>
      </c>
      <c r="H42">
        <f t="shared" si="0"/>
        <v>2.4750000000000001</v>
      </c>
      <c r="I42" s="309">
        <f t="shared" si="1"/>
        <v>0.28160404111521814</v>
      </c>
      <c r="J42" s="310">
        <f t="shared" si="2"/>
        <v>4.4373970115125285</v>
      </c>
      <c r="K42" s="310">
        <f t="shared" si="31"/>
        <v>4.6936985057562648</v>
      </c>
      <c r="L42" s="310">
        <f t="shared" si="32"/>
        <v>0.25630149424373583</v>
      </c>
      <c r="M42" s="51">
        <f t="shared" si="3"/>
        <v>0</v>
      </c>
      <c r="N42" s="309">
        <f t="shared" si="46"/>
        <v>2.7868439771807032</v>
      </c>
      <c r="O42" s="309">
        <f t="shared" si="5"/>
        <v>4.6773363461482885E-2</v>
      </c>
      <c r="P42">
        <f t="shared" si="6"/>
        <v>0.2</v>
      </c>
      <c r="Q42" s="309">
        <f t="shared" si="34"/>
        <v>0.2467733634614829</v>
      </c>
      <c r="R42" s="8">
        <f t="shared" si="39"/>
        <v>1.2809661795489997</v>
      </c>
      <c r="S42" s="8">
        <f t="shared" si="7"/>
        <v>1.6408743531483602E-3</v>
      </c>
      <c r="T42" s="8">
        <f t="shared" si="40"/>
        <v>1.6408743531483602E-3</v>
      </c>
      <c r="U42" s="309">
        <f t="shared" si="47"/>
        <v>1.4788771426880956</v>
      </c>
      <c r="V42" s="311">
        <f t="shared" si="9"/>
        <v>4.3741552063306117E-3</v>
      </c>
      <c r="W42" s="309">
        <f t="shared" si="41"/>
        <v>4.3741552063306117E-3</v>
      </c>
      <c r="X42" s="309">
        <f t="shared" si="48"/>
        <v>1.4788771426880956</v>
      </c>
      <c r="Y42" s="309">
        <f t="shared" si="11"/>
        <v>0.11372803536459589</v>
      </c>
      <c r="Z42" s="309">
        <f t="shared" si="12"/>
        <v>2.0126967178198858E-2</v>
      </c>
      <c r="AA42" s="309">
        <f t="shared" si="13"/>
        <v>6.9304499999999991E-2</v>
      </c>
      <c r="AB42" s="309">
        <f t="shared" si="14"/>
        <v>0</v>
      </c>
      <c r="AC42" s="309">
        <f t="shared" si="49"/>
        <v>0.20837303073259536</v>
      </c>
      <c r="AD42" s="309">
        <f t="shared" si="50"/>
        <v>2.3620799626564413</v>
      </c>
      <c r="AE42" s="309">
        <f t="shared" si="17"/>
        <v>5.5794217499830552E-2</v>
      </c>
      <c r="AF42" s="309">
        <f t="shared" si="18"/>
        <v>3.3412500000000005E-2</v>
      </c>
      <c r="AG42" s="309">
        <f t="shared" si="51"/>
        <v>9.0010245695921989E-2</v>
      </c>
      <c r="AH42" s="309">
        <f t="shared" si="52"/>
        <v>0</v>
      </c>
      <c r="AI42">
        <f t="shared" si="21"/>
        <v>0</v>
      </c>
      <c r="AJ42" s="310">
        <f t="shared" si="22"/>
        <v>0.22339125000000001</v>
      </c>
      <c r="AK42">
        <f t="shared" si="23"/>
        <v>3.6000000000000004E-2</v>
      </c>
      <c r="AL42" s="310">
        <f t="shared" si="24"/>
        <v>3.0374999999999999E-2</v>
      </c>
      <c r="AM42" s="310">
        <f t="shared" si="25"/>
        <v>5.5427027027027023E-2</v>
      </c>
      <c r="AN42" s="310">
        <f t="shared" si="42"/>
        <v>6.6375000000000003E-2</v>
      </c>
      <c r="AO42" s="310">
        <f t="shared" si="53"/>
        <v>0.84093791944947927</v>
      </c>
      <c r="AP42">
        <f t="shared" si="27"/>
        <v>12.375</v>
      </c>
      <c r="AQ42" s="9">
        <f t="shared" si="43"/>
        <v>0.93636941058781031</v>
      </c>
      <c r="AR42" s="51">
        <f t="shared" si="54"/>
        <v>11.460516690292744</v>
      </c>
      <c r="AS42" s="51">
        <f t="shared" si="44"/>
        <v>3.6004098278368795</v>
      </c>
      <c r="AT42" s="9"/>
      <c r="AU42">
        <f t="shared" si="45"/>
        <v>93.636941058781034</v>
      </c>
      <c r="BD42">
        <v>9.9984190000000002</v>
      </c>
      <c r="BE42">
        <v>3.6920000000000002</v>
      </c>
      <c r="BF42">
        <v>5.1137540000000001</v>
      </c>
      <c r="BG42">
        <v>94.441363374789603</v>
      </c>
      <c r="BH42">
        <v>1111.2391205219994</v>
      </c>
    </row>
    <row r="43" spans="1:60">
      <c r="A43" s="25" t="s">
        <v>489</v>
      </c>
      <c r="B43" s="4">
        <f>GmTop</f>
        <v>45</v>
      </c>
      <c r="C43" s="318" t="s">
        <v>111</v>
      </c>
      <c r="D43" s="23" t="s">
        <v>490</v>
      </c>
      <c r="G43">
        <v>34</v>
      </c>
      <c r="H43">
        <f t="shared" si="0"/>
        <v>2.5500000000000003</v>
      </c>
      <c r="I43" s="309">
        <f t="shared" si="1"/>
        <v>0.28172068250535126</v>
      </c>
      <c r="J43" s="310">
        <f t="shared" si="2"/>
        <v>4.4392349970540197</v>
      </c>
      <c r="K43" s="310">
        <f t="shared" si="31"/>
        <v>4.7696174985270101</v>
      </c>
      <c r="L43" s="310">
        <f t="shared" si="32"/>
        <v>0.33038250147299042</v>
      </c>
      <c r="M43" s="51">
        <f t="shared" si="3"/>
        <v>0</v>
      </c>
      <c r="N43" s="309">
        <f t="shared" si="46"/>
        <v>2.8538980266626734</v>
      </c>
      <c r="O43" s="309">
        <f t="shared" si="5"/>
        <v>4.9060203184640772E-2</v>
      </c>
      <c r="P43">
        <f t="shared" si="6"/>
        <v>0.2</v>
      </c>
      <c r="Q43" s="309">
        <f t="shared" si="34"/>
        <v>0.24906020318464078</v>
      </c>
      <c r="R43" s="8">
        <f t="shared" si="39"/>
        <v>1.2814967602725731</v>
      </c>
      <c r="S43" s="8">
        <f t="shared" si="7"/>
        <v>1.6422339465891008E-3</v>
      </c>
      <c r="T43" s="8">
        <f t="shared" si="40"/>
        <v>1.6422339465891008E-3</v>
      </c>
      <c r="U43" s="309">
        <f t="shared" si="47"/>
        <v>1.5147739125881408</v>
      </c>
      <c r="V43" s="311">
        <f t="shared" si="9"/>
        <v>4.5890800125151683E-3</v>
      </c>
      <c r="W43" s="309">
        <f t="shared" si="41"/>
        <v>4.5890800125151683E-3</v>
      </c>
      <c r="X43" s="309">
        <f t="shared" si="48"/>
        <v>1.5147739125881408</v>
      </c>
      <c r="Y43" s="309">
        <f t="shared" si="11"/>
        <v>0.11931608032539437</v>
      </c>
      <c r="Z43" s="309">
        <f t="shared" si="12"/>
        <v>2.1103236250445405E-2</v>
      </c>
      <c r="AA43" s="309">
        <f t="shared" si="13"/>
        <v>6.9304499999999991E-2</v>
      </c>
      <c r="AB43" s="309">
        <f t="shared" si="14"/>
        <v>0</v>
      </c>
      <c r="AC43" s="309">
        <f t="shared" si="49"/>
        <v>0.21537737304314317</v>
      </c>
      <c r="AD43" s="309">
        <f t="shared" si="50"/>
        <v>2.418717416386527</v>
      </c>
      <c r="AE43" s="309">
        <f t="shared" si="17"/>
        <v>5.8501939403315169E-2</v>
      </c>
      <c r="AF43" s="309">
        <f t="shared" si="18"/>
        <v>3.4425000000000004E-2</v>
      </c>
      <c r="AG43" s="309">
        <f t="shared" si="51"/>
        <v>9.3804983153745483E-2</v>
      </c>
      <c r="AH43" s="309">
        <f t="shared" si="52"/>
        <v>0</v>
      </c>
      <c r="AI43">
        <f t="shared" si="21"/>
        <v>0</v>
      </c>
      <c r="AJ43" s="310">
        <f t="shared" si="22"/>
        <v>0.22334249999999997</v>
      </c>
      <c r="AK43">
        <f t="shared" si="23"/>
        <v>3.6000000000000004E-2</v>
      </c>
      <c r="AL43" s="310">
        <f t="shared" si="24"/>
        <v>3.0374999999999999E-2</v>
      </c>
      <c r="AM43" s="310">
        <f t="shared" si="25"/>
        <v>5.5427027027027023E-2</v>
      </c>
      <c r="AN43" s="310">
        <f t="shared" si="42"/>
        <v>6.6375000000000003E-2</v>
      </c>
      <c r="AO43" s="310">
        <f t="shared" si="53"/>
        <v>0.85419137334063366</v>
      </c>
      <c r="AP43">
        <f t="shared" si="27"/>
        <v>12.750000000000002</v>
      </c>
      <c r="AQ43" s="9">
        <f t="shared" si="43"/>
        <v>0.93721116162666285</v>
      </c>
      <c r="AR43" s="51">
        <f t="shared" si="54"/>
        <v>11.845755517372874</v>
      </c>
      <c r="AS43" s="51">
        <f t="shared" si="44"/>
        <v>3.7521993261498192</v>
      </c>
      <c r="AT43" s="9"/>
      <c r="AU43">
        <f t="shared" si="45"/>
        <v>93.721116162666291</v>
      </c>
      <c r="BD43">
        <v>9.998246</v>
      </c>
      <c r="BE43">
        <v>4.2430000000000003</v>
      </c>
      <c r="BF43">
        <v>5.1120590000000004</v>
      </c>
      <c r="BG43">
        <v>94.267178615859891</v>
      </c>
      <c r="BH43">
        <v>1319.0970775599953</v>
      </c>
    </row>
    <row r="44" spans="1:60">
      <c r="A44" s="25" t="s">
        <v>491</v>
      </c>
      <c r="B44" s="4">
        <f>VthTop</f>
        <v>5</v>
      </c>
      <c r="C44" s="318" t="s">
        <v>8</v>
      </c>
      <c r="D44" s="23" t="s">
        <v>492</v>
      </c>
      <c r="G44">
        <v>35</v>
      </c>
      <c r="H44">
        <f t="shared" si="0"/>
        <v>2.625</v>
      </c>
      <c r="I44" s="309">
        <f t="shared" si="1"/>
        <v>0.28183736497156192</v>
      </c>
      <c r="J44" s="310">
        <f t="shared" si="2"/>
        <v>4.4410736298549152</v>
      </c>
      <c r="K44" s="310">
        <f t="shared" si="31"/>
        <v>4.845536814927458</v>
      </c>
      <c r="L44" s="310">
        <f t="shared" si="32"/>
        <v>0.40446318507254242</v>
      </c>
      <c r="M44" s="51">
        <f t="shared" si="3"/>
        <v>0</v>
      </c>
      <c r="N44" s="309">
        <f t="shared" si="46"/>
        <v>2.9213386626937643</v>
      </c>
      <c r="O44" s="309">
        <f t="shared" si="5"/>
        <v>5.141593905156281E-2</v>
      </c>
      <c r="P44">
        <f t="shared" si="6"/>
        <v>0.2</v>
      </c>
      <c r="Q44" s="309">
        <f t="shared" si="34"/>
        <v>0.25141593905156284</v>
      </c>
      <c r="R44" s="8">
        <f t="shared" si="39"/>
        <v>1.282027527843842</v>
      </c>
      <c r="S44" s="8">
        <f t="shared" si="7"/>
        <v>1.6435945821493931E-3</v>
      </c>
      <c r="T44" s="8">
        <f t="shared" si="40"/>
        <v>1.6435945821493931E-3</v>
      </c>
      <c r="U44" s="309">
        <f t="shared" si="47"/>
        <v>1.5508906986379436</v>
      </c>
      <c r="V44" s="311">
        <f t="shared" si="9"/>
        <v>4.8105239182433777E-3</v>
      </c>
      <c r="W44" s="309">
        <f t="shared" si="41"/>
        <v>4.8105239182433777E-3</v>
      </c>
      <c r="X44" s="309">
        <f t="shared" si="48"/>
        <v>1.5508906986379436</v>
      </c>
      <c r="Y44" s="309">
        <f t="shared" si="11"/>
        <v>0.1250736218743278</v>
      </c>
      <c r="Z44" s="309">
        <f t="shared" si="12"/>
        <v>2.2079503534762311E-2</v>
      </c>
      <c r="AA44" s="309">
        <f t="shared" si="13"/>
        <v>6.9304499999999991E-2</v>
      </c>
      <c r="AB44" s="309">
        <f t="shared" si="14"/>
        <v>0</v>
      </c>
      <c r="AC44" s="309">
        <f t="shared" si="49"/>
        <v>0.22258224219218489</v>
      </c>
      <c r="AD44" s="309">
        <f t="shared" si="50"/>
        <v>2.4756731656314614</v>
      </c>
      <c r="AE44" s="309">
        <f t="shared" si="17"/>
        <v>6.1289576230277011E-2</v>
      </c>
      <c r="AF44" s="309">
        <f t="shared" si="18"/>
        <v>3.5437499999999997E-2</v>
      </c>
      <c r="AG44" s="309">
        <f t="shared" si="51"/>
        <v>9.768500786808279E-2</v>
      </c>
      <c r="AH44" s="309">
        <f t="shared" si="52"/>
        <v>0</v>
      </c>
      <c r="AI44">
        <f t="shared" si="21"/>
        <v>0</v>
      </c>
      <c r="AJ44" s="310">
        <f t="shared" si="22"/>
        <v>0.22329374999999996</v>
      </c>
      <c r="AK44">
        <f t="shared" si="23"/>
        <v>3.6000000000000004E-2</v>
      </c>
      <c r="AL44" s="310">
        <f t="shared" si="24"/>
        <v>3.0374999999999999E-2</v>
      </c>
      <c r="AM44" s="310">
        <f t="shared" si="25"/>
        <v>5.5427027027027023E-2</v>
      </c>
      <c r="AN44" s="310">
        <f t="shared" si="42"/>
        <v>6.6375000000000003E-2</v>
      </c>
      <c r="AO44" s="310">
        <f t="shared" si="53"/>
        <v>0.86780605761222318</v>
      </c>
      <c r="AP44">
        <f t="shared" si="27"/>
        <v>13.125</v>
      </c>
      <c r="AQ44" s="9">
        <f t="shared" si="43"/>
        <v>0.93798198488285867</v>
      </c>
      <c r="AR44" s="51">
        <f t="shared" si="54"/>
        <v>12.242023320570169</v>
      </c>
      <c r="AS44" s="51">
        <f t="shared" si="44"/>
        <v>3.9074003147233114</v>
      </c>
      <c r="AT44" s="9"/>
      <c r="AU44">
        <f t="shared" si="45"/>
        <v>93.798198488285863</v>
      </c>
      <c r="BD44">
        <v>9.9981469999999995</v>
      </c>
      <c r="BE44">
        <v>4.8490000000000002</v>
      </c>
      <c r="BF44">
        <v>5.1107740000000002</v>
      </c>
      <c r="BG44">
        <v>93.953815994681278</v>
      </c>
      <c r="BH44">
        <v>1594.7983209009985</v>
      </c>
    </row>
    <row r="45" spans="1:60">
      <c r="A45" s="29" t="s">
        <v>493</v>
      </c>
      <c r="B45" s="4">
        <f>VspTop</f>
        <v>5.333333333333333</v>
      </c>
      <c r="C45" s="319" t="s">
        <v>8</v>
      </c>
      <c r="G45">
        <v>36</v>
      </c>
      <c r="H45">
        <f t="shared" si="0"/>
        <v>2.6999999999999997</v>
      </c>
      <c r="I45" s="309">
        <f t="shared" si="1"/>
        <v>0.28195408853555176</v>
      </c>
      <c r="J45" s="310">
        <f t="shared" si="2"/>
        <v>4.4429129102571796</v>
      </c>
      <c r="K45" s="310">
        <f t="shared" si="31"/>
        <v>4.92145645512859</v>
      </c>
      <c r="L45" s="310">
        <f t="shared" si="32"/>
        <v>0.47854354487140993</v>
      </c>
      <c r="M45" s="51">
        <f t="shared" si="3"/>
        <v>0</v>
      </c>
      <c r="N45" s="309">
        <f t="shared" si="46"/>
        <v>2.9891397191629387</v>
      </c>
      <c r="O45" s="309">
        <f t="shared" si="5"/>
        <v>5.3840648205711938E-2</v>
      </c>
      <c r="P45">
        <f t="shared" si="6"/>
        <v>0.2</v>
      </c>
      <c r="Q45" s="309">
        <f t="shared" si="34"/>
        <v>0.25384064820571195</v>
      </c>
      <c r="R45" s="8">
        <f t="shared" si="39"/>
        <v>1.2825584823615233</v>
      </c>
      <c r="S45" s="8">
        <f t="shared" si="7"/>
        <v>1.6449562606774936E-3</v>
      </c>
      <c r="T45" s="8">
        <f t="shared" si="40"/>
        <v>1.6449562606774936E-3</v>
      </c>
      <c r="U45" s="309">
        <f t="shared" si="47"/>
        <v>1.5872137375238233</v>
      </c>
      <c r="V45" s="311">
        <f t="shared" si="9"/>
        <v>5.0384948971686884E-3</v>
      </c>
      <c r="W45" s="309">
        <f t="shared" si="41"/>
        <v>5.0384948971686884E-3</v>
      </c>
      <c r="X45" s="309">
        <f t="shared" si="48"/>
        <v>1.5872137375238233</v>
      </c>
      <c r="Y45" s="309">
        <f t="shared" si="11"/>
        <v>0.13100086732638591</v>
      </c>
      <c r="Z45" s="309">
        <f t="shared" si="12"/>
        <v>2.3055769030204978E-2</v>
      </c>
      <c r="AA45" s="309">
        <f t="shared" si="13"/>
        <v>6.9304499999999991E-2</v>
      </c>
      <c r="AB45" s="309">
        <f t="shared" si="14"/>
        <v>0</v>
      </c>
      <c r="AC45" s="309">
        <f t="shared" si="49"/>
        <v>0.22998947696750147</v>
      </c>
      <c r="AD45" s="309">
        <f t="shared" si="50"/>
        <v>2.5329249519267538</v>
      </c>
      <c r="AE45" s="309">
        <f t="shared" si="17"/>
        <v>6.4157088120931474E-2</v>
      </c>
      <c r="AF45" s="309">
        <f t="shared" si="18"/>
        <v>3.6450000000000003E-2</v>
      </c>
      <c r="AG45" s="309">
        <f t="shared" si="51"/>
        <v>0.10165054459244477</v>
      </c>
      <c r="AH45" s="309">
        <f t="shared" si="52"/>
        <v>0</v>
      </c>
      <c r="AI45">
        <f t="shared" si="21"/>
        <v>0</v>
      </c>
      <c r="AJ45" s="310">
        <f t="shared" si="22"/>
        <v>0.223245</v>
      </c>
      <c r="AK45">
        <f t="shared" si="23"/>
        <v>3.6000000000000004E-2</v>
      </c>
      <c r="AL45" s="310">
        <f t="shared" si="24"/>
        <v>3.0374999999999999E-2</v>
      </c>
      <c r="AM45" s="310">
        <f t="shared" si="25"/>
        <v>5.5427027027027023E-2</v>
      </c>
      <c r="AN45" s="310">
        <f t="shared" si="42"/>
        <v>6.6375000000000003E-2</v>
      </c>
      <c r="AO45" s="310">
        <f t="shared" si="53"/>
        <v>0.88178412092350433</v>
      </c>
      <c r="AP45">
        <f t="shared" si="27"/>
        <v>13.499999999999998</v>
      </c>
      <c r="AQ45" s="9">
        <f t="shared" si="43"/>
        <v>0.93868743171852853</v>
      </c>
      <c r="AR45" s="51">
        <f t="shared" si="54"/>
        <v>12.64942123321258</v>
      </c>
      <c r="AS45" s="51">
        <f t="shared" si="44"/>
        <v>4.0660217836977903</v>
      </c>
      <c r="AT45" s="9"/>
      <c r="AU45">
        <f t="shared" si="45"/>
        <v>93.868743171852856</v>
      </c>
      <c r="BD45">
        <v>9.9979859999999992</v>
      </c>
      <c r="BE45">
        <v>5.4960000000000004</v>
      </c>
      <c r="BF45">
        <v>5.1097890000000001</v>
      </c>
      <c r="BG45">
        <v>93.599771362833366</v>
      </c>
      <c r="BH45">
        <v>1920.3056923499939</v>
      </c>
    </row>
    <row r="46" spans="1:60">
      <c r="A46" s="94" t="s">
        <v>495</v>
      </c>
      <c r="B46" s="4">
        <f>VsdTop</f>
        <v>0.8</v>
      </c>
      <c r="C46" s="319" t="s">
        <v>8</v>
      </c>
      <c r="G46">
        <v>37</v>
      </c>
      <c r="H46">
        <f t="shared" si="0"/>
        <v>2.7749999999999999</v>
      </c>
      <c r="I46" s="309">
        <f t="shared" si="1"/>
        <v>0.28207085321903774</v>
      </c>
      <c r="J46" s="310">
        <f t="shared" si="2"/>
        <v>4.4447528386030193</v>
      </c>
      <c r="K46" s="310">
        <f t="shared" si="31"/>
        <v>4.99737641930151</v>
      </c>
      <c r="L46" s="310">
        <f t="shared" si="32"/>
        <v>0.55262358069849027</v>
      </c>
      <c r="M46" s="51">
        <f t="shared" si="3"/>
        <v>0</v>
      </c>
      <c r="N46" s="309">
        <f t="shared" si="46"/>
        <v>3.0572772172347187</v>
      </c>
      <c r="O46" s="309">
        <f t="shared" si="5"/>
        <v>5.6334410094359716E-2</v>
      </c>
      <c r="P46">
        <f t="shared" si="6"/>
        <v>0.2</v>
      </c>
      <c r="Q46" s="309">
        <f t="shared" si="34"/>
        <v>0.25633441009435975</v>
      </c>
      <c r="R46" s="8">
        <f t="shared" si="39"/>
        <v>1.2830896239244032</v>
      </c>
      <c r="S46" s="8">
        <f t="shared" si="7"/>
        <v>1.6463189830224665E-3</v>
      </c>
      <c r="T46" s="8">
        <f t="shared" si="40"/>
        <v>1.6463189830224665E-3</v>
      </c>
      <c r="U46" s="309">
        <f t="shared" si="47"/>
        <v>1.6237304161349251</v>
      </c>
      <c r="V46" s="311">
        <f t="shared" si="9"/>
        <v>5.2730009285633936E-3</v>
      </c>
      <c r="W46" s="309">
        <f t="shared" si="41"/>
        <v>5.2730009285633936E-3</v>
      </c>
      <c r="X46" s="309">
        <f t="shared" si="48"/>
        <v>1.6237304161349251</v>
      </c>
      <c r="Y46" s="309">
        <f t="shared" si="11"/>
        <v>0.13709802414264824</v>
      </c>
      <c r="Z46" s="309">
        <f t="shared" si="12"/>
        <v>2.4032032735828126E-2</v>
      </c>
      <c r="AA46" s="309">
        <f t="shared" si="13"/>
        <v>6.9304499999999991E-2</v>
      </c>
      <c r="AB46" s="309">
        <f t="shared" si="14"/>
        <v>0</v>
      </c>
      <c r="AC46" s="309">
        <f t="shared" si="49"/>
        <v>0.23760097417923137</v>
      </c>
      <c r="AD46" s="309">
        <f t="shared" si="50"/>
        <v>2.5904523772385333</v>
      </c>
      <c r="AE46" s="309">
        <f t="shared" si="17"/>
        <v>6.7104435187407691E-2</v>
      </c>
      <c r="AF46" s="309">
        <f t="shared" si="18"/>
        <v>3.7462500000000003E-2</v>
      </c>
      <c r="AG46" s="309">
        <f t="shared" si="51"/>
        <v>0.10570182498968142</v>
      </c>
      <c r="AH46" s="309">
        <f t="shared" si="52"/>
        <v>0</v>
      </c>
      <c r="AI46">
        <f t="shared" si="21"/>
        <v>0</v>
      </c>
      <c r="AJ46" s="310">
        <f t="shared" si="22"/>
        <v>0.22319624999999996</v>
      </c>
      <c r="AK46">
        <f t="shared" si="23"/>
        <v>3.6000000000000004E-2</v>
      </c>
      <c r="AL46" s="310">
        <f t="shared" si="24"/>
        <v>3.0374999999999999E-2</v>
      </c>
      <c r="AM46" s="310">
        <f t="shared" si="25"/>
        <v>5.5427027027027023E-2</v>
      </c>
      <c r="AN46" s="310">
        <f t="shared" si="42"/>
        <v>6.6375000000000003E-2</v>
      </c>
      <c r="AO46" s="310">
        <f t="shared" si="53"/>
        <v>0.89612777917485831</v>
      </c>
      <c r="AP46">
        <f t="shared" si="27"/>
        <v>13.875</v>
      </c>
      <c r="AQ46" s="9">
        <f t="shared" si="43"/>
        <v>0.93933247396056874</v>
      </c>
      <c r="AR46" s="51">
        <f t="shared" si="54"/>
        <v>13.068053579857725</v>
      </c>
      <c r="AS46" s="51">
        <f t="shared" si="44"/>
        <v>4.2280729995872566</v>
      </c>
      <c r="AT46" s="9"/>
      <c r="AU46">
        <f t="shared" si="45"/>
        <v>93.933247396056871</v>
      </c>
      <c r="BD46">
        <v>9.9978999999999996</v>
      </c>
      <c r="BE46">
        <v>6.1950000000000003</v>
      </c>
      <c r="BF46">
        <v>5.109191</v>
      </c>
      <c r="BG46">
        <v>93.156651672159526</v>
      </c>
      <c r="BH46">
        <v>2325.1351758999972</v>
      </c>
    </row>
    <row r="47" spans="1:60">
      <c r="A47" s="25" t="s">
        <v>497</v>
      </c>
      <c r="B47" s="4">
        <f>ThetaJaTop</f>
        <v>55</v>
      </c>
      <c r="C47" s="318" t="s">
        <v>115</v>
      </c>
      <c r="D47" s="23" t="s">
        <v>498</v>
      </c>
      <c r="G47">
        <v>38</v>
      </c>
      <c r="H47">
        <f t="shared" si="0"/>
        <v>2.85</v>
      </c>
      <c r="I47" s="309">
        <f t="shared" si="1"/>
        <v>0.28218765904375204</v>
      </c>
      <c r="J47" s="310">
        <f t="shared" si="2"/>
        <v>4.4465934152348812</v>
      </c>
      <c r="K47" s="310">
        <f t="shared" si="31"/>
        <v>5.0732967076174411</v>
      </c>
      <c r="L47" s="310">
        <f t="shared" si="32"/>
        <v>0.62670329238255951</v>
      </c>
      <c r="M47" s="51">
        <f t="shared" si="3"/>
        <v>0</v>
      </c>
      <c r="N47" s="309">
        <f t="shared" si="46"/>
        <v>3.1257291549387616</v>
      </c>
      <c r="O47" s="309">
        <f t="shared" si="5"/>
        <v>5.8897306475123534E-2</v>
      </c>
      <c r="P47">
        <f t="shared" si="6"/>
        <v>0.2</v>
      </c>
      <c r="Q47" s="309">
        <f t="shared" si="34"/>
        <v>0.25889730647512355</v>
      </c>
      <c r="R47" s="8">
        <f t="shared" si="39"/>
        <v>1.283620952631338</v>
      </c>
      <c r="S47" s="8">
        <f t="shared" si="7"/>
        <v>1.6476827500341838E-3</v>
      </c>
      <c r="T47" s="8">
        <f t="shared" si="40"/>
        <v>1.6476827500341838E-3</v>
      </c>
      <c r="U47" s="309">
        <f t="shared" si="47"/>
        <v>1.6604291609887469</v>
      </c>
      <c r="V47" s="311">
        <f t="shared" si="9"/>
        <v>5.5140499973235883E-3</v>
      </c>
      <c r="W47" s="309">
        <f t="shared" si="41"/>
        <v>5.5140499973235883E-3</v>
      </c>
      <c r="X47" s="309">
        <f t="shared" si="48"/>
        <v>1.6604291609887469</v>
      </c>
      <c r="Y47" s="309">
        <f t="shared" si="11"/>
        <v>0.14336529993041328</v>
      </c>
      <c r="Z47" s="309">
        <f t="shared" si="12"/>
        <v>2.5008294650685808E-2</v>
      </c>
      <c r="AA47" s="309">
        <f t="shared" si="13"/>
        <v>6.9304499999999991E-2</v>
      </c>
      <c r="AB47" s="309">
        <f t="shared" si="14"/>
        <v>0</v>
      </c>
      <c r="AC47" s="309">
        <f t="shared" si="49"/>
        <v>0.24541868987937801</v>
      </c>
      <c r="AD47" s="309">
        <f t="shared" si="50"/>
        <v>2.6482367249497147</v>
      </c>
      <c r="AE47" s="309">
        <f t="shared" si="17"/>
        <v>7.0131577513723911E-2</v>
      </c>
      <c r="AF47" s="309">
        <f t="shared" si="18"/>
        <v>3.8475000000000009E-2</v>
      </c>
      <c r="AG47" s="309">
        <f t="shared" si="51"/>
        <v>0.10983908767230423</v>
      </c>
      <c r="AH47" s="309">
        <f t="shared" si="52"/>
        <v>0</v>
      </c>
      <c r="AI47">
        <f t="shared" si="21"/>
        <v>0</v>
      </c>
      <c r="AJ47" s="310">
        <f t="shared" si="22"/>
        <v>0.2231475</v>
      </c>
      <c r="AK47">
        <f t="shared" si="23"/>
        <v>3.6000000000000004E-2</v>
      </c>
      <c r="AL47" s="310">
        <f t="shared" si="24"/>
        <v>3.0374999999999999E-2</v>
      </c>
      <c r="AM47" s="310">
        <f t="shared" si="25"/>
        <v>5.5427027027027023E-2</v>
      </c>
      <c r="AN47" s="310">
        <f t="shared" si="42"/>
        <v>6.6375000000000003E-2</v>
      </c>
      <c r="AO47" s="310">
        <f t="shared" si="53"/>
        <v>0.91083931677416352</v>
      </c>
      <c r="AP47">
        <f t="shared" si="27"/>
        <v>14.25</v>
      </c>
      <c r="AQ47" s="9">
        <f t="shared" si="43"/>
        <v>0.93992157704841595</v>
      </c>
      <c r="AR47" s="51">
        <f t="shared" si="54"/>
        <v>13.498027943365791</v>
      </c>
      <c r="AS47" s="51">
        <f t="shared" si="44"/>
        <v>4.3935635068921695</v>
      </c>
      <c r="AT47" s="9"/>
      <c r="AU47">
        <f t="shared" si="45"/>
        <v>93.992157704841588</v>
      </c>
      <c r="BD47">
        <v>9.9976269999999996</v>
      </c>
      <c r="BE47">
        <v>6.9470000000000001</v>
      </c>
      <c r="BF47">
        <v>5.1086669999999996</v>
      </c>
      <c r="BG47">
        <v>92.656807634751772</v>
      </c>
      <c r="BH47">
        <v>2812.6290012010018</v>
      </c>
    </row>
    <row r="48" spans="1:60">
      <c r="A48" s="26" t="s">
        <v>499</v>
      </c>
      <c r="B48" s="18" t="s">
        <v>714</v>
      </c>
      <c r="C48" s="26" t="s">
        <v>532</v>
      </c>
      <c r="D48" s="20" t="s">
        <v>130</v>
      </c>
      <c r="G48">
        <v>39</v>
      </c>
      <c r="H48">
        <f t="shared" si="0"/>
        <v>2.9250000000000003</v>
      </c>
      <c r="I48" s="309">
        <f t="shared" si="1"/>
        <v>0.28230450603144236</v>
      </c>
      <c r="J48" s="310">
        <f t="shared" si="2"/>
        <v>4.4484346404954556</v>
      </c>
      <c r="K48" s="310">
        <f t="shared" si="31"/>
        <v>5.149217320247728</v>
      </c>
      <c r="L48" s="310">
        <f t="shared" si="32"/>
        <v>0.70078267975227249</v>
      </c>
      <c r="M48" s="51">
        <f t="shared" si="3"/>
        <v>0</v>
      </c>
      <c r="N48" s="309">
        <f t="shared" si="46"/>
        <v>3.194475318822064</v>
      </c>
      <c r="O48" s="309">
        <f t="shared" si="5"/>
        <v>6.1529421422699626E-2</v>
      </c>
      <c r="P48">
        <f t="shared" si="6"/>
        <v>0.2</v>
      </c>
      <c r="Q48" s="309">
        <f t="shared" si="34"/>
        <v>0.26152942142269964</v>
      </c>
      <c r="R48" s="8">
        <f t="shared" si="39"/>
        <v>1.2841524685812538</v>
      </c>
      <c r="S48" s="8">
        <f t="shared" si="7"/>
        <v>1.6490475625633278E-3</v>
      </c>
      <c r="T48" s="8">
        <f t="shared" si="40"/>
        <v>1.6490475625633278E-3</v>
      </c>
      <c r="U48" s="309">
        <f t="shared" si="47"/>
        <v>1.6972993392407403</v>
      </c>
      <c r="V48" s="311">
        <f t="shared" si="9"/>
        <v>5.7616500939741072E-3</v>
      </c>
      <c r="W48" s="309">
        <f t="shared" si="41"/>
        <v>5.7616500939741072E-3</v>
      </c>
      <c r="X48" s="309">
        <f t="shared" si="48"/>
        <v>1.6972993392407403</v>
      </c>
      <c r="Y48" s="309">
        <f t="shared" si="11"/>
        <v>0.14980290244332678</v>
      </c>
      <c r="Z48" s="309">
        <f t="shared" si="12"/>
        <v>2.5984554773831409E-2</v>
      </c>
      <c r="AA48" s="309">
        <f t="shared" si="13"/>
        <v>6.9304499999999991E-2</v>
      </c>
      <c r="AB48" s="309">
        <f t="shared" si="14"/>
        <v>0</v>
      </c>
      <c r="AC48" s="309">
        <f t="shared" si="49"/>
        <v>0.25344464062759658</v>
      </c>
      <c r="AD48" s="309">
        <f t="shared" si="50"/>
        <v>2.7062607996230286</v>
      </c>
      <c r="AE48" s="309">
        <f t="shared" si="17"/>
        <v>7.3238475155762747E-2</v>
      </c>
      <c r="AF48" s="309">
        <f t="shared" si="18"/>
        <v>3.9487500000000002E-2</v>
      </c>
      <c r="AG48" s="309">
        <f t="shared" si="51"/>
        <v>0.11406257824423355</v>
      </c>
      <c r="AH48" s="309">
        <f t="shared" si="52"/>
        <v>0</v>
      </c>
      <c r="AI48">
        <f t="shared" si="21"/>
        <v>0</v>
      </c>
      <c r="AJ48" s="310">
        <f t="shared" si="22"/>
        <v>0.22309874999999998</v>
      </c>
      <c r="AK48">
        <f t="shared" si="23"/>
        <v>3.6000000000000004E-2</v>
      </c>
      <c r="AL48" s="310">
        <f t="shared" si="24"/>
        <v>3.0374999999999999E-2</v>
      </c>
      <c r="AM48" s="310">
        <f t="shared" si="25"/>
        <v>5.5427027027027023E-2</v>
      </c>
      <c r="AN48" s="310">
        <f t="shared" si="42"/>
        <v>6.6375000000000003E-2</v>
      </c>
      <c r="AO48" s="310">
        <f t="shared" si="53"/>
        <v>0.9259210879510672</v>
      </c>
      <c r="AP48">
        <f t="shared" si="27"/>
        <v>14.625000000000002</v>
      </c>
      <c r="AQ48" s="9">
        <f t="shared" si="43"/>
        <v>0.94045876236434156</v>
      </c>
      <c r="AR48" s="51">
        <f t="shared" si="54"/>
        <v>13.939455234517812</v>
      </c>
      <c r="AS48" s="51">
        <f t="shared" si="44"/>
        <v>4.5625031297693415</v>
      </c>
      <c r="AT48" s="9"/>
      <c r="AU48">
        <f t="shared" si="45"/>
        <v>94.045876236434154</v>
      </c>
      <c r="BD48">
        <v>9.9975280000000009</v>
      </c>
      <c r="BE48">
        <v>7.7530000000000001</v>
      </c>
      <c r="BF48">
        <v>5.10853</v>
      </c>
      <c r="BG48">
        <v>92.034336419785248</v>
      </c>
      <c r="BH48">
        <v>3427.976173640001</v>
      </c>
    </row>
    <row r="49" spans="1:60">
      <c r="A49" s="25" t="s">
        <v>500</v>
      </c>
      <c r="B49" s="4">
        <f>RdsonBot*1000</f>
        <v>10</v>
      </c>
      <c r="C49" s="318" t="s">
        <v>731</v>
      </c>
      <c r="D49" s="23" t="s">
        <v>501</v>
      </c>
      <c r="G49">
        <v>40</v>
      </c>
      <c r="H49">
        <f t="shared" si="0"/>
        <v>3</v>
      </c>
      <c r="I49" s="309">
        <f t="shared" si="1"/>
        <v>0.28242139420387152</v>
      </c>
      <c r="J49" s="310">
        <f t="shared" si="2"/>
        <v>4.4502765147276726</v>
      </c>
      <c r="K49" s="310">
        <f t="shared" si="31"/>
        <v>5.2251382573638363</v>
      </c>
      <c r="L49" s="310">
        <f t="shared" si="32"/>
        <v>0.7748617426361637</v>
      </c>
      <c r="M49" s="51">
        <f t="shared" si="3"/>
        <v>0</v>
      </c>
      <c r="N49" s="309">
        <f t="shared" si="46"/>
        <v>3.2634971152831422</v>
      </c>
      <c r="O49" s="309">
        <f t="shared" si="5"/>
        <v>6.4230841335792904E-2</v>
      </c>
      <c r="P49">
        <f t="shared" si="6"/>
        <v>0.2</v>
      </c>
      <c r="Q49" s="309">
        <f t="shared" si="34"/>
        <v>0.26423084133579289</v>
      </c>
      <c r="R49" s="8">
        <f t="shared" si="39"/>
        <v>1.2846841718731457</v>
      </c>
      <c r="S49" s="8">
        <f t="shared" si="7"/>
        <v>1.6504134214613902E-3</v>
      </c>
      <c r="T49" s="8">
        <f t="shared" si="40"/>
        <v>1.6504134214613902E-3</v>
      </c>
      <c r="U49" s="309">
        <f t="shared" si="47"/>
        <v>1.734331170029747</v>
      </c>
      <c r="V49" s="311">
        <f t="shared" si="9"/>
        <v>6.0158092146735034E-3</v>
      </c>
      <c r="W49" s="309">
        <f t="shared" si="41"/>
        <v>6.0158092146735034E-3</v>
      </c>
      <c r="X49" s="309">
        <f t="shared" si="48"/>
        <v>1.734331170029747</v>
      </c>
      <c r="Y49" s="309">
        <f t="shared" si="11"/>
        <v>0.15641103958151106</v>
      </c>
      <c r="Z49" s="309">
        <f t="shared" si="12"/>
        <v>2.6960813104317641E-2</v>
      </c>
      <c r="AA49" s="309">
        <f t="shared" si="13"/>
        <v>6.9304499999999991E-2</v>
      </c>
      <c r="AB49" s="309">
        <f t="shared" si="14"/>
        <v>0</v>
      </c>
      <c r="AC49" s="309">
        <f t="shared" si="49"/>
        <v>0.26168090480484296</v>
      </c>
      <c r="AD49" s="309">
        <f t="shared" si="50"/>
        <v>2.7645087835137434</v>
      </c>
      <c r="AE49" s="309">
        <f t="shared" si="17"/>
        <v>7.6425088141246378E-2</v>
      </c>
      <c r="AF49" s="309">
        <f t="shared" si="18"/>
        <v>4.0500000000000001E-2</v>
      </c>
      <c r="AG49" s="309">
        <f t="shared" si="51"/>
        <v>0.11837254934398529</v>
      </c>
      <c r="AH49" s="309">
        <f t="shared" si="52"/>
        <v>0</v>
      </c>
      <c r="AI49">
        <f t="shared" si="21"/>
        <v>0</v>
      </c>
      <c r="AJ49" s="310">
        <f t="shared" si="22"/>
        <v>0.22305</v>
      </c>
      <c r="AK49">
        <f t="shared" si="23"/>
        <v>3.6000000000000004E-2</v>
      </c>
      <c r="AL49" s="310">
        <f t="shared" si="24"/>
        <v>3.0374999999999999E-2</v>
      </c>
      <c r="AM49" s="310">
        <f t="shared" si="25"/>
        <v>5.5427027027027023E-2</v>
      </c>
      <c r="AN49" s="310">
        <f t="shared" si="42"/>
        <v>6.6375000000000003E-2</v>
      </c>
      <c r="AO49" s="310">
        <f t="shared" si="53"/>
        <v>0.94137551812075604</v>
      </c>
      <c r="AP49">
        <f t="shared" si="27"/>
        <v>15</v>
      </c>
      <c r="AQ49" s="9">
        <f t="shared" si="43"/>
        <v>0.9409476605672652</v>
      </c>
      <c r="AR49" s="51">
        <f t="shared" si="54"/>
        <v>14.392449764266363</v>
      </c>
      <c r="AS49" s="51">
        <f t="shared" si="44"/>
        <v>4.7349019737594116</v>
      </c>
      <c r="AT49" s="9"/>
      <c r="AU49">
        <f t="shared" si="45"/>
        <v>94.094766056726513</v>
      </c>
      <c r="BD49">
        <v>9.9970090000000003</v>
      </c>
      <c r="BE49">
        <v>8.6120000000000001</v>
      </c>
      <c r="BF49">
        <v>5.1085419999999999</v>
      </c>
      <c r="BG49">
        <v>91.346378256658895</v>
      </c>
      <c r="BH49">
        <v>4167.8065612820019</v>
      </c>
    </row>
    <row r="50" spans="1:60">
      <c r="A50" s="25" t="s">
        <v>502</v>
      </c>
      <c r="B50" s="4">
        <v>4500</v>
      </c>
      <c r="C50" s="318" t="s">
        <v>748</v>
      </c>
      <c r="D50" s="23" t="s">
        <v>503</v>
      </c>
      <c r="G50">
        <v>41</v>
      </c>
      <c r="H50">
        <f t="shared" si="0"/>
        <v>3.0749999999999997</v>
      </c>
      <c r="I50" s="309">
        <f t="shared" si="1"/>
        <v>0.28253832358281783</v>
      </c>
      <c r="J50" s="310">
        <f t="shared" si="2"/>
        <v>4.4521190382747058</v>
      </c>
      <c r="K50" s="310">
        <f t="shared" si="31"/>
        <v>5.3010595191373522</v>
      </c>
      <c r="L50" s="310">
        <f t="shared" si="32"/>
        <v>0.84894048086264684</v>
      </c>
      <c r="M50" s="51">
        <f t="shared" si="3"/>
        <v>0</v>
      </c>
      <c r="N50" s="309">
        <f t="shared" si="46"/>
        <v>3.3327774194477304</v>
      </c>
      <c r="O50" s="309">
        <f t="shared" si="5"/>
        <v>6.7001654944244565E-2</v>
      </c>
      <c r="P50">
        <f t="shared" si="6"/>
        <v>0.2</v>
      </c>
      <c r="Q50" s="309">
        <f t="shared" si="34"/>
        <v>0.26700165494424455</v>
      </c>
      <c r="R50" s="8">
        <f t="shared" si="39"/>
        <v>1.2852160626060796</v>
      </c>
      <c r="S50" s="8">
        <f t="shared" si="7"/>
        <v>1.6517803275806742E-3</v>
      </c>
      <c r="T50" s="8">
        <f t="shared" si="40"/>
        <v>1.6517803275806742E-3</v>
      </c>
      <c r="U50" s="309">
        <f t="shared" si="47"/>
        <v>1.7715156450366174</v>
      </c>
      <c r="V50" s="311">
        <f t="shared" si="9"/>
        <v>6.276535361219005E-3</v>
      </c>
      <c r="W50" s="309">
        <f t="shared" si="41"/>
        <v>6.276535361219005E-3</v>
      </c>
      <c r="X50" s="309">
        <f t="shared" si="48"/>
        <v>1.7715156450366174</v>
      </c>
      <c r="Y50" s="309">
        <f t="shared" si="11"/>
        <v>0.16318991939169411</v>
      </c>
      <c r="Z50" s="309">
        <f t="shared" si="12"/>
        <v>2.793706964119656E-2</v>
      </c>
      <c r="AA50" s="309">
        <f t="shared" si="13"/>
        <v>6.9304499999999991E-2</v>
      </c>
      <c r="AB50" s="309">
        <f t="shared" si="14"/>
        <v>0</v>
      </c>
      <c r="AC50" s="309">
        <f t="shared" si="49"/>
        <v>0.27012962397653945</v>
      </c>
      <c r="AD50" s="309">
        <f t="shared" si="50"/>
        <v>2.8229661080096533</v>
      </c>
      <c r="AE50" s="309">
        <f t="shared" si="17"/>
        <v>7.9691376469711694E-2</v>
      </c>
      <c r="AF50" s="309">
        <f t="shared" si="18"/>
        <v>4.1512499999999987E-2</v>
      </c>
      <c r="AG50" s="309">
        <f t="shared" si="51"/>
        <v>0.12276926068931168</v>
      </c>
      <c r="AH50" s="309">
        <f t="shared" si="52"/>
        <v>0</v>
      </c>
      <c r="AI50">
        <f t="shared" si="21"/>
        <v>0</v>
      </c>
      <c r="AJ50" s="310">
        <f t="shared" si="22"/>
        <v>0.22300124999999998</v>
      </c>
      <c r="AK50">
        <f t="shared" si="23"/>
        <v>3.6000000000000004E-2</v>
      </c>
      <c r="AL50" s="310">
        <f t="shared" si="24"/>
        <v>3.0374999999999999E-2</v>
      </c>
      <c r="AM50" s="310">
        <f t="shared" si="25"/>
        <v>5.5427027027027023E-2</v>
      </c>
      <c r="AN50" s="310">
        <f t="shared" si="42"/>
        <v>6.6375000000000003E-2</v>
      </c>
      <c r="AO50" s="310">
        <f t="shared" si="53"/>
        <v>0.95720510529889546</v>
      </c>
      <c r="AP50">
        <f t="shared" si="27"/>
        <v>15.374999999999998</v>
      </c>
      <c r="AQ50" s="9">
        <f t="shared" si="43"/>
        <v>0.94139155740896652</v>
      </c>
      <c r="AR50" s="51">
        <f t="shared" si="54"/>
        <v>14.857129318709669</v>
      </c>
      <c r="AS50" s="51">
        <f t="shared" si="44"/>
        <v>4.9107704275724675</v>
      </c>
      <c r="AT50" s="9"/>
      <c r="AU50">
        <f t="shared" si="45"/>
        <v>94.139155740896655</v>
      </c>
      <c r="BD50">
        <v>9.9969590000000004</v>
      </c>
      <c r="BE50">
        <v>9.5229999999999997</v>
      </c>
      <c r="BF50">
        <v>5.1087540000000002</v>
      </c>
      <c r="BG50">
        <v>90.547826191651922</v>
      </c>
      <c r="BH50">
        <v>5078.5816240809982</v>
      </c>
    </row>
    <row r="51" spans="1:60">
      <c r="A51" s="25" t="s">
        <v>504</v>
      </c>
      <c r="B51" s="4">
        <f>QgBot*1000000000</f>
        <v>13</v>
      </c>
      <c r="C51" s="318" t="s">
        <v>105</v>
      </c>
      <c r="D51" s="23" t="s">
        <v>480</v>
      </c>
      <c r="G51">
        <v>42</v>
      </c>
      <c r="H51">
        <f t="shared" si="0"/>
        <v>3.15</v>
      </c>
      <c r="I51" s="309">
        <f t="shared" si="1"/>
        <v>0.28265529419007485</v>
      </c>
      <c r="J51" s="310">
        <f t="shared" si="2"/>
        <v>4.4539622114799675</v>
      </c>
      <c r="K51" s="310">
        <f t="shared" si="31"/>
        <v>5.3769811057399837</v>
      </c>
      <c r="L51" s="310">
        <f t="shared" si="32"/>
        <v>0.92301889426001615</v>
      </c>
      <c r="M51" s="51">
        <f t="shared" si="3"/>
        <v>0</v>
      </c>
      <c r="N51" s="309">
        <f t="shared" si="46"/>
        <v>3.4023004396693559</v>
      </c>
      <c r="O51" s="309">
        <f t="shared" si="5"/>
        <v>6.984195331635884E-2</v>
      </c>
      <c r="P51">
        <f t="shared" si="6"/>
        <v>0.2</v>
      </c>
      <c r="Q51" s="309">
        <f t="shared" si="34"/>
        <v>0.26984195331635885</v>
      </c>
      <c r="R51" s="8">
        <f t="shared" si="39"/>
        <v>1.2857481408791902</v>
      </c>
      <c r="S51" s="8">
        <f t="shared" si="7"/>
        <v>1.6531482817742939E-3</v>
      </c>
      <c r="T51" s="8">
        <f t="shared" si="40"/>
        <v>1.6531482817742939E-3</v>
      </c>
      <c r="U51" s="309">
        <f t="shared" si="47"/>
        <v>1.8088444572504698</v>
      </c>
      <c r="V51" s="311">
        <f t="shared" si="9"/>
        <v>6.5438365410514935E-3</v>
      </c>
      <c r="W51" s="309">
        <f t="shared" si="41"/>
        <v>6.5438365410514935E-3</v>
      </c>
      <c r="X51" s="309">
        <f t="shared" si="48"/>
        <v>1.8088444572504698</v>
      </c>
      <c r="Y51" s="309">
        <f t="shared" si="11"/>
        <v>0.17013975006733881</v>
      </c>
      <c r="Z51" s="309">
        <f t="shared" si="12"/>
        <v>2.8913324383519567E-2</v>
      </c>
      <c r="AA51" s="309">
        <f t="shared" si="13"/>
        <v>6.9304499999999991E-2</v>
      </c>
      <c r="AB51" s="309">
        <f t="shared" si="14"/>
        <v>0</v>
      </c>
      <c r="AC51" s="309">
        <f t="shared" si="49"/>
        <v>0.27879300430698734</v>
      </c>
      <c r="AD51" s="309">
        <f t="shared" si="50"/>
        <v>2.8816193383666322</v>
      </c>
      <c r="AE51" s="309">
        <f t="shared" si="17"/>
        <v>8.3037300112485474E-2</v>
      </c>
      <c r="AF51" s="309">
        <f t="shared" si="18"/>
        <v>4.2525E-2</v>
      </c>
      <c r="AG51" s="309">
        <f t="shared" si="51"/>
        <v>0.12725297912331274</v>
      </c>
      <c r="AH51" s="309">
        <f t="shared" si="52"/>
        <v>0</v>
      </c>
      <c r="AI51">
        <f t="shared" si="21"/>
        <v>0</v>
      </c>
      <c r="AJ51" s="310">
        <f t="shared" si="22"/>
        <v>0.2229525</v>
      </c>
      <c r="AK51">
        <f t="shared" si="23"/>
        <v>3.6000000000000004E-2</v>
      </c>
      <c r="AL51" s="310">
        <f t="shared" si="24"/>
        <v>3.0374999999999999E-2</v>
      </c>
      <c r="AM51" s="310">
        <f t="shared" si="25"/>
        <v>5.5427027027027023E-2</v>
      </c>
      <c r="AN51" s="310">
        <f t="shared" si="42"/>
        <v>6.6375000000000003E-2</v>
      </c>
      <c r="AO51" s="310">
        <f t="shared" si="53"/>
        <v>0.97341242156948471</v>
      </c>
      <c r="AP51">
        <f t="shared" si="27"/>
        <v>15.75</v>
      </c>
      <c r="AQ51" s="9">
        <f t="shared" si="43"/>
        <v>0.94179343324009646</v>
      </c>
      <c r="AR51" s="51">
        <f t="shared" si="54"/>
        <v>15.333615236884304</v>
      </c>
      <c r="AS51" s="51">
        <f t="shared" si="44"/>
        <v>5.0901191649325099</v>
      </c>
      <c r="AT51" s="9"/>
      <c r="AU51">
        <f t="shared" si="45"/>
        <v>94.17934332400965</v>
      </c>
      <c r="BD51">
        <v>9.9964639999999996</v>
      </c>
      <c r="BE51">
        <v>10.493</v>
      </c>
      <c r="BF51">
        <v>5.1092279999999999</v>
      </c>
      <c r="BG51">
        <v>89.626660259106615</v>
      </c>
      <c r="BH51">
        <v>6204.9221585439973</v>
      </c>
    </row>
    <row r="52" spans="1:60">
      <c r="A52" s="25" t="s">
        <v>510</v>
      </c>
      <c r="B52" s="4">
        <f>RGateBot</f>
        <v>1</v>
      </c>
      <c r="C52" s="317" t="s">
        <v>30</v>
      </c>
      <c r="D52" s="23" t="s">
        <v>511</v>
      </c>
      <c r="G52">
        <v>43</v>
      </c>
      <c r="H52">
        <f t="shared" si="0"/>
        <v>3.2250000000000001</v>
      </c>
      <c r="I52" s="309">
        <f t="shared" si="1"/>
        <v>0.28277230604745152</v>
      </c>
      <c r="J52" s="310">
        <f t="shared" si="2"/>
        <v>4.4558060346871153</v>
      </c>
      <c r="K52" s="310">
        <f t="shared" si="31"/>
        <v>5.4529030173435578</v>
      </c>
      <c r="L52" s="310">
        <f t="shared" si="32"/>
        <v>0.99709698265644242</v>
      </c>
      <c r="M52" s="51">
        <f t="shared" si="3"/>
        <v>0</v>
      </c>
      <c r="N52" s="309">
        <f t="shared" si="46"/>
        <v>3.4720515959438414</v>
      </c>
      <c r="O52" s="309">
        <f t="shared" si="5"/>
        <v>7.275182986642971E-2</v>
      </c>
      <c r="P52">
        <f t="shared" si="6"/>
        <v>0.2</v>
      </c>
      <c r="Q52" s="309">
        <f t="shared" si="34"/>
        <v>0.27275182986642971</v>
      </c>
      <c r="R52" s="8">
        <f t="shared" si="39"/>
        <v>1.2862804067916827</v>
      </c>
      <c r="S52" s="8">
        <f t="shared" si="7"/>
        <v>1.6545172848961766E-3</v>
      </c>
      <c r="T52" s="8">
        <f t="shared" si="40"/>
        <v>1.6545172848961766E-3</v>
      </c>
      <c r="U52" s="309">
        <f t="shared" si="47"/>
        <v>1.8463099370447629</v>
      </c>
      <c r="V52" s="311">
        <f t="shared" si="9"/>
        <v>6.8177207672604724E-3</v>
      </c>
      <c r="W52" s="309">
        <f t="shared" si="41"/>
        <v>6.8177207672604724E-3</v>
      </c>
      <c r="X52" s="309">
        <f t="shared" si="48"/>
        <v>1.8463099370447629</v>
      </c>
      <c r="Y52" s="309">
        <f t="shared" si="11"/>
        <v>0.17726073994877228</v>
      </c>
      <c r="Z52" s="309">
        <f t="shared" si="12"/>
        <v>2.9889577330337362E-2</v>
      </c>
      <c r="AA52" s="309">
        <f t="shared" si="13"/>
        <v>6.9304499999999991E-2</v>
      </c>
      <c r="AB52" s="309">
        <f t="shared" si="14"/>
        <v>0</v>
      </c>
      <c r="AC52" s="309">
        <f t="shared" si="49"/>
        <v>0.28767331802683999</v>
      </c>
      <c r="AD52" s="309">
        <f t="shared" si="50"/>
        <v>2.9404560702833056</v>
      </c>
      <c r="AE52" s="309">
        <f t="shared" si="17"/>
        <v>8.6462819012659398E-2</v>
      </c>
      <c r="AF52" s="309">
        <f t="shared" si="18"/>
        <v>4.35375E-2</v>
      </c>
      <c r="AG52" s="309">
        <f t="shared" si="51"/>
        <v>0.13182397866203285</v>
      </c>
      <c r="AH52" s="309">
        <f t="shared" si="52"/>
        <v>0</v>
      </c>
      <c r="AI52">
        <f t="shared" si="21"/>
        <v>0</v>
      </c>
      <c r="AJ52" s="310">
        <f t="shared" si="22"/>
        <v>0.22290374999999998</v>
      </c>
      <c r="AK52">
        <f t="shared" si="23"/>
        <v>3.6000000000000004E-2</v>
      </c>
      <c r="AL52" s="310">
        <f t="shared" si="24"/>
        <v>3.0374999999999999E-2</v>
      </c>
      <c r="AM52" s="310">
        <f t="shared" si="25"/>
        <v>5.5427027027027023E-2</v>
      </c>
      <c r="AN52" s="310">
        <f t="shared" si="42"/>
        <v>6.6375000000000003E-2</v>
      </c>
      <c r="AO52" s="310">
        <f t="shared" si="53"/>
        <v>0.99000011460745907</v>
      </c>
      <c r="AP52">
        <f t="shared" si="27"/>
        <v>16.125</v>
      </c>
      <c r="AQ52" s="9">
        <f t="shared" si="43"/>
        <v>0.94215599719672194</v>
      </c>
      <c r="AR52" s="51">
        <f t="shared" si="54"/>
        <v>15.822032491476199</v>
      </c>
      <c r="AS52" s="51">
        <f t="shared" si="44"/>
        <v>5.2729591464813144</v>
      </c>
      <c r="AT52" s="9"/>
      <c r="AU52">
        <f t="shared" si="45"/>
        <v>94.215599719672198</v>
      </c>
      <c r="BD52">
        <v>9.9959819999999997</v>
      </c>
      <c r="BE52">
        <v>11.519</v>
      </c>
      <c r="BF52">
        <v>5.1101260000000002</v>
      </c>
      <c r="BG52">
        <v>88.591390420220321</v>
      </c>
      <c r="BH52">
        <v>7580.3207309739973</v>
      </c>
    </row>
    <row r="53" spans="1:60">
      <c r="A53" s="25" t="s">
        <v>512</v>
      </c>
      <c r="B53" s="4">
        <f>VsdBot</f>
        <v>0.9</v>
      </c>
      <c r="C53" s="318" t="s">
        <v>8</v>
      </c>
      <c r="D53" s="23" t="s">
        <v>513</v>
      </c>
      <c r="G53">
        <v>44</v>
      </c>
      <c r="H53">
        <f t="shared" si="0"/>
        <v>3.3</v>
      </c>
      <c r="I53" s="309">
        <f t="shared" si="1"/>
        <v>0.28288935917677227</v>
      </c>
      <c r="J53" s="310">
        <f t="shared" si="2"/>
        <v>4.4576505082400484</v>
      </c>
      <c r="K53" s="310">
        <f t="shared" si="31"/>
        <v>5.528825254120024</v>
      </c>
      <c r="L53" s="310">
        <f t="shared" si="32"/>
        <v>1.0711747458799756</v>
      </c>
      <c r="M53" s="51">
        <f t="shared" si="3"/>
        <v>0</v>
      </c>
      <c r="N53" s="309">
        <f t="shared" si="46"/>
        <v>3.5420174107139935</v>
      </c>
      <c r="O53" s="309">
        <f t="shared" si="5"/>
        <v>7.5731380362468959E-2</v>
      </c>
      <c r="P53">
        <f t="shared" si="6"/>
        <v>0.2</v>
      </c>
      <c r="Q53" s="309">
        <f t="shared" si="34"/>
        <v>0.27573138036246897</v>
      </c>
      <c r="R53" s="8">
        <f t="shared" si="39"/>
        <v>1.2868128604428322</v>
      </c>
      <c r="S53" s="8">
        <f t="shared" si="7"/>
        <v>1.655887337801064E-3</v>
      </c>
      <c r="T53" s="8">
        <f t="shared" si="40"/>
        <v>1.655887337801064E-3</v>
      </c>
      <c r="U53" s="309">
        <f t="shared" si="47"/>
        <v>1.8839049947634099</v>
      </c>
      <c r="V53" s="311">
        <f t="shared" si="9"/>
        <v>7.098196058589047E-3</v>
      </c>
      <c r="W53" s="309">
        <f t="shared" si="41"/>
        <v>7.098196058589047E-3</v>
      </c>
      <c r="X53" s="309">
        <f t="shared" si="48"/>
        <v>1.8839049947634099</v>
      </c>
      <c r="Y53" s="309">
        <f t="shared" si="11"/>
        <v>0.18455309752331522</v>
      </c>
      <c r="Z53" s="309">
        <f t="shared" si="12"/>
        <v>3.0865828480699992E-2</v>
      </c>
      <c r="AA53" s="309">
        <f t="shared" si="13"/>
        <v>6.9304499999999991E-2</v>
      </c>
      <c r="AB53" s="309">
        <f t="shared" si="14"/>
        <v>0</v>
      </c>
      <c r="AC53" s="309">
        <f t="shared" si="49"/>
        <v>0.29677290495553316</v>
      </c>
      <c r="AD53" s="309">
        <f t="shared" si="50"/>
        <v>2.9994648370178534</v>
      </c>
      <c r="AE53" s="309">
        <f t="shared" si="17"/>
        <v>8.9967893085065379E-2</v>
      </c>
      <c r="AF53" s="309">
        <f t="shared" si="18"/>
        <v>4.4549999999999999E-2</v>
      </c>
      <c r="AG53" s="309">
        <f t="shared" si="51"/>
        <v>0.13648254054356157</v>
      </c>
      <c r="AH53" s="309">
        <f t="shared" si="52"/>
        <v>0</v>
      </c>
      <c r="AI53">
        <f t="shared" si="21"/>
        <v>0</v>
      </c>
      <c r="AJ53" s="310">
        <f t="shared" si="22"/>
        <v>0.22285499999999997</v>
      </c>
      <c r="AK53">
        <f t="shared" si="23"/>
        <v>3.6000000000000004E-2</v>
      </c>
      <c r="AL53" s="310">
        <f t="shared" si="24"/>
        <v>3.0374999999999999E-2</v>
      </c>
      <c r="AM53" s="310">
        <f t="shared" si="25"/>
        <v>5.5427027027027023E-2</v>
      </c>
      <c r="AN53" s="310">
        <f t="shared" si="42"/>
        <v>6.6375000000000003E-2</v>
      </c>
      <c r="AO53" s="310">
        <f t="shared" si="53"/>
        <v>1.0069709092579537</v>
      </c>
      <c r="AP53">
        <f t="shared" si="27"/>
        <v>16.5</v>
      </c>
      <c r="AQ53" s="9">
        <f t="shared" si="43"/>
        <v>0.94248171688424676</v>
      </c>
      <c r="AR53" s="51">
        <f t="shared" si="54"/>
        <v>16.322509772554323</v>
      </c>
      <c r="AS53" s="51">
        <f t="shared" si="44"/>
        <v>5.4593016217424628</v>
      </c>
      <c r="AT53" s="9"/>
      <c r="AU53">
        <f t="shared" si="45"/>
        <v>94.248171688424677</v>
      </c>
      <c r="BD53">
        <v>9.9955739999999995</v>
      </c>
      <c r="BE53">
        <v>12.605</v>
      </c>
      <c r="BF53">
        <v>5.1111979999999999</v>
      </c>
      <c r="BG53">
        <v>87.386508098290477</v>
      </c>
      <c r="BH53">
        <v>9299.4335961019988</v>
      </c>
    </row>
    <row r="54" spans="1:60">
      <c r="A54" s="25" t="s">
        <v>514</v>
      </c>
      <c r="B54" s="4">
        <f>QrrBot*1000000000</f>
        <v>50</v>
      </c>
      <c r="C54" s="318" t="s">
        <v>105</v>
      </c>
      <c r="D54" s="23" t="s">
        <v>515</v>
      </c>
      <c r="G54">
        <v>45</v>
      </c>
      <c r="H54">
        <f t="shared" si="0"/>
        <v>3.375</v>
      </c>
      <c r="I54" s="309">
        <f t="shared" si="1"/>
        <v>0.28300645359987681</v>
      </c>
      <c r="J54" s="310">
        <f t="shared" si="2"/>
        <v>4.4594956324829074</v>
      </c>
      <c r="K54" s="310">
        <f t="shared" si="31"/>
        <v>5.6047478162414537</v>
      </c>
      <c r="L54" s="310">
        <f t="shared" si="32"/>
        <v>1.1452521837585463</v>
      </c>
      <c r="M54" s="51">
        <f t="shared" si="3"/>
        <v>0</v>
      </c>
      <c r="N54" s="309">
        <f t="shared" si="46"/>
        <v>3.61218541070977</v>
      </c>
      <c r="O54" s="309">
        <f t="shared" si="5"/>
        <v>7.878070293413672E-2</v>
      </c>
      <c r="P54">
        <f t="shared" si="6"/>
        <v>0.2</v>
      </c>
      <c r="Q54" s="309">
        <f t="shared" si="34"/>
        <v>0.2787807029341367</v>
      </c>
      <c r="R54" s="8">
        <f t="shared" si="39"/>
        <v>1.2873455019319835</v>
      </c>
      <c r="S54" s="8">
        <f t="shared" si="7"/>
        <v>1.6572584413445106E-3</v>
      </c>
      <c r="T54" s="8">
        <f t="shared" si="40"/>
        <v>1.6572584413445106E-3</v>
      </c>
      <c r="U54" s="309">
        <f t="shared" si="47"/>
        <v>1.9216230691057667</v>
      </c>
      <c r="V54" s="311">
        <f t="shared" si="9"/>
        <v>7.3852704394389325E-3</v>
      </c>
      <c r="W54" s="309">
        <f t="shared" si="41"/>
        <v>7.3852704394389325E-3</v>
      </c>
      <c r="X54" s="309">
        <f t="shared" si="48"/>
        <v>1.9216230691057667</v>
      </c>
      <c r="Y54" s="309">
        <f t="shared" si="11"/>
        <v>0.19201703142541224</v>
      </c>
      <c r="Z54" s="309">
        <f t="shared" si="12"/>
        <v>3.1842077833656827E-2</v>
      </c>
      <c r="AA54" s="309">
        <f t="shared" si="13"/>
        <v>6.9304499999999991E-2</v>
      </c>
      <c r="AB54" s="309">
        <f t="shared" si="14"/>
        <v>0</v>
      </c>
      <c r="AC54" s="309">
        <f t="shared" si="49"/>
        <v>0.30609417408065687</v>
      </c>
      <c r="AD54" s="309">
        <f t="shared" si="50"/>
        <v>3.0586350258939108</v>
      </c>
      <c r="AE54" s="309">
        <f t="shared" si="17"/>
        <v>9.3552482216250454E-2</v>
      </c>
      <c r="AF54" s="309">
        <f t="shared" si="18"/>
        <v>4.5562499999999999E-2</v>
      </c>
      <c r="AG54" s="309">
        <f t="shared" si="51"/>
        <v>0.14122895327865381</v>
      </c>
      <c r="AH54" s="309">
        <f t="shared" si="52"/>
        <v>0</v>
      </c>
      <c r="AI54">
        <f t="shared" si="21"/>
        <v>0</v>
      </c>
      <c r="AJ54" s="310">
        <f t="shared" si="22"/>
        <v>0.22280624999999998</v>
      </c>
      <c r="AK54">
        <f t="shared" si="23"/>
        <v>3.6000000000000004E-2</v>
      </c>
      <c r="AL54" s="310">
        <f t="shared" si="24"/>
        <v>3.0374999999999999E-2</v>
      </c>
      <c r="AM54" s="310">
        <f t="shared" si="25"/>
        <v>5.5427027027027023E-2</v>
      </c>
      <c r="AN54" s="310">
        <f t="shared" si="42"/>
        <v>6.6375000000000003E-2</v>
      </c>
      <c r="AO54" s="310">
        <f t="shared" si="53"/>
        <v>1.0243276091742308</v>
      </c>
      <c r="AP54">
        <f t="shared" si="27"/>
        <v>16.875</v>
      </c>
      <c r="AQ54" s="9">
        <f t="shared" si="43"/>
        <v>0.94277284423526519</v>
      </c>
      <c r="AR54" s="51">
        <f t="shared" si="54"/>
        <v>16.835179574436129</v>
      </c>
      <c r="AS54" s="51">
        <f t="shared" si="44"/>
        <v>5.6491581311461525</v>
      </c>
      <c r="AT54" s="9"/>
      <c r="AU54">
        <f t="shared" si="45"/>
        <v>94.277284423526524</v>
      </c>
      <c r="BD54">
        <v>9.9949670000000008</v>
      </c>
      <c r="BE54">
        <v>13.75</v>
      </c>
      <c r="BF54">
        <v>5.1122329999999998</v>
      </c>
      <c r="BG54">
        <v>85.985113444924963</v>
      </c>
      <c r="BH54">
        <v>11457.230537720005</v>
      </c>
    </row>
    <row r="55" spans="1:60">
      <c r="A55" s="25" t="s">
        <v>516</v>
      </c>
      <c r="B55" s="4">
        <f>TrrBot*1000000000</f>
        <v>40</v>
      </c>
      <c r="C55" s="318" t="s">
        <v>220</v>
      </c>
      <c r="D55" s="23" t="s">
        <v>517</v>
      </c>
      <c r="G55">
        <v>46</v>
      </c>
      <c r="H55">
        <f t="shared" si="0"/>
        <v>3.45</v>
      </c>
      <c r="I55" s="309">
        <f t="shared" si="1"/>
        <v>0.28312358933862036</v>
      </c>
      <c r="J55" s="310">
        <f t="shared" si="2"/>
        <v>4.461341407760079</v>
      </c>
      <c r="K55" s="310">
        <f t="shared" si="31"/>
        <v>5.6806707038800397</v>
      </c>
      <c r="L55" s="310">
        <f t="shared" si="32"/>
        <v>1.2193292961199607</v>
      </c>
      <c r="M55" s="51">
        <f t="shared" si="3"/>
        <v>0</v>
      </c>
      <c r="N55" s="309">
        <f t="shared" si="46"/>
        <v>3.6825440386209767</v>
      </c>
      <c r="O55" s="309">
        <f t="shared" si="5"/>
        <v>8.189989808087586E-2</v>
      </c>
      <c r="P55">
        <f t="shared" si="6"/>
        <v>0.2</v>
      </c>
      <c r="Q55" s="309">
        <f t="shared" si="34"/>
        <v>0.2818998980808759</v>
      </c>
      <c r="R55" s="8">
        <f t="shared" si="39"/>
        <v>1.2878783313585529</v>
      </c>
      <c r="S55" s="8">
        <f t="shared" si="7"/>
        <v>1.6586305963828907E-3</v>
      </c>
      <c r="T55" s="8">
        <f t="shared" si="40"/>
        <v>1.6586305963828907E-3</v>
      </c>
      <c r="U55" s="309">
        <f t="shared" si="47"/>
        <v>1.9594580806788673</v>
      </c>
      <c r="V55" s="311">
        <f t="shared" si="9"/>
        <v>7.6789519398754212E-3</v>
      </c>
      <c r="W55" s="309">
        <f t="shared" si="41"/>
        <v>7.6789519398754212E-3</v>
      </c>
      <c r="X55" s="309">
        <f t="shared" si="48"/>
        <v>1.9594580806788673</v>
      </c>
      <c r="Y55" s="309">
        <f t="shared" si="11"/>
        <v>0.19965275043676092</v>
      </c>
      <c r="Z55" s="309">
        <f t="shared" si="12"/>
        <v>3.2818325388256589E-2</v>
      </c>
      <c r="AA55" s="309">
        <f t="shared" si="13"/>
        <v>6.9304499999999991E-2</v>
      </c>
      <c r="AB55" s="309">
        <f t="shared" si="14"/>
        <v>0</v>
      </c>
      <c r="AC55" s="309">
        <f t="shared" si="49"/>
        <v>0.31563960519634676</v>
      </c>
      <c r="AD55" s="309">
        <f t="shared" si="50"/>
        <v>3.1179568031717797</v>
      </c>
      <c r="AE55" s="309">
        <f t="shared" si="17"/>
        <v>9.721654626445185E-2</v>
      </c>
      <c r="AF55" s="309">
        <f t="shared" si="18"/>
        <v>4.6575000000000005E-2</v>
      </c>
      <c r="AG55" s="309">
        <f t="shared" si="51"/>
        <v>0.14606351270288842</v>
      </c>
      <c r="AH55" s="309">
        <f t="shared" si="52"/>
        <v>0</v>
      </c>
      <c r="AI55">
        <f t="shared" si="21"/>
        <v>0</v>
      </c>
      <c r="AJ55" s="310">
        <f t="shared" si="22"/>
        <v>0.22275749999999997</v>
      </c>
      <c r="AK55">
        <f t="shared" si="23"/>
        <v>3.6000000000000004E-2</v>
      </c>
      <c r="AL55" s="310">
        <f t="shared" si="24"/>
        <v>3.0374999999999999E-2</v>
      </c>
      <c r="AM55" s="310">
        <f t="shared" si="25"/>
        <v>5.5427027027027023E-2</v>
      </c>
      <c r="AN55" s="310">
        <f t="shared" si="42"/>
        <v>6.6375000000000003E-2</v>
      </c>
      <c r="AO55" s="310">
        <f t="shared" si="53"/>
        <v>1.0420730985163693</v>
      </c>
      <c r="AP55">
        <f t="shared" si="27"/>
        <v>17.25</v>
      </c>
      <c r="AQ55" s="9">
        <f t="shared" si="43"/>
        <v>0.94303143810414314</v>
      </c>
      <c r="AR55" s="51">
        <f t="shared" si="54"/>
        <v>17.360178285799073</v>
      </c>
      <c r="AS55" s="51">
        <f t="shared" si="44"/>
        <v>5.8425405081155368</v>
      </c>
      <c r="AT55" s="9"/>
      <c r="AU55">
        <f t="shared" si="45"/>
        <v>94.303143810414312</v>
      </c>
      <c r="BD55">
        <v>9.9943860000000004</v>
      </c>
      <c r="BE55">
        <v>14.954000000000001</v>
      </c>
      <c r="BF55">
        <v>5.1130310000000003</v>
      </c>
      <c r="BG55">
        <v>84.352650264578628</v>
      </c>
      <c r="BH55">
        <v>14183.318533699994</v>
      </c>
    </row>
    <row r="56" spans="1:60">
      <c r="A56" s="25" t="s">
        <v>518</v>
      </c>
      <c r="B56" s="4">
        <f>ThetaJaBot</f>
        <v>40</v>
      </c>
      <c r="C56" s="318" t="s">
        <v>115</v>
      </c>
      <c r="D56" s="23" t="s">
        <v>498</v>
      </c>
      <c r="E56" s="2"/>
      <c r="G56">
        <v>47</v>
      </c>
      <c r="H56">
        <f t="shared" si="0"/>
        <v>3.5249999999999999</v>
      </c>
      <c r="I56" s="309">
        <f t="shared" si="1"/>
        <v>0.28324076641487334</v>
      </c>
      <c r="J56" s="310">
        <f t="shared" si="2"/>
        <v>4.4631878344161864</v>
      </c>
      <c r="K56" s="310">
        <f t="shared" si="31"/>
        <v>5.7565939172080931</v>
      </c>
      <c r="L56" s="310">
        <f t="shared" si="32"/>
        <v>1.2934060827919067</v>
      </c>
      <c r="M56" s="51">
        <f t="shared" si="3"/>
        <v>0</v>
      </c>
      <c r="N56" s="309">
        <f t="shared" si="46"/>
        <v>3.7530825735351718</v>
      </c>
      <c r="O56" s="309">
        <f t="shared" si="5"/>
        <v>8.5089068680250957E-2</v>
      </c>
      <c r="P56">
        <f t="shared" si="6"/>
        <v>0.2</v>
      </c>
      <c r="Q56" s="309">
        <f t="shared" si="34"/>
        <v>0.28508906868025097</v>
      </c>
      <c r="R56" s="8">
        <f t="shared" si="39"/>
        <v>1.2884113488220241</v>
      </c>
      <c r="S56" s="8">
        <f t="shared" si="7"/>
        <v>1.6600038037733876E-3</v>
      </c>
      <c r="T56" s="8">
        <f t="shared" si="40"/>
        <v>1.6600038037733876E-3</v>
      </c>
      <c r="U56" s="309">
        <f t="shared" si="47"/>
        <v>1.9974043901564325</v>
      </c>
      <c r="V56" s="311">
        <f t="shared" si="9"/>
        <v>7.9792485956323798E-3</v>
      </c>
      <c r="W56" s="309">
        <f t="shared" si="41"/>
        <v>7.9792485956323798E-3</v>
      </c>
      <c r="X56" s="309">
        <f t="shared" si="48"/>
        <v>1.9974043901564325</v>
      </c>
      <c r="Y56" s="309">
        <f t="shared" si="11"/>
        <v>0.20746046348644187</v>
      </c>
      <c r="Z56" s="309">
        <f t="shared" si="12"/>
        <v>3.3794571143547288E-2</v>
      </c>
      <c r="AA56" s="309">
        <f t="shared" si="13"/>
        <v>6.9304499999999991E-2</v>
      </c>
      <c r="AB56" s="309">
        <f t="shared" si="14"/>
        <v>0</v>
      </c>
      <c r="AC56" s="309">
        <f t="shared" si="49"/>
        <v>0.32541175060287042</v>
      </c>
      <c r="AD56" s="309">
        <f t="shared" si="50"/>
        <v>3.1774210463766366</v>
      </c>
      <c r="AE56" s="309">
        <f t="shared" si="17"/>
        <v>0.10096004505957201</v>
      </c>
      <c r="AF56" s="309">
        <f t="shared" si="18"/>
        <v>4.7587499999999998E-2</v>
      </c>
      <c r="AG56" s="309">
        <f t="shared" si="51"/>
        <v>0.15098652203038412</v>
      </c>
      <c r="AH56" s="309">
        <f t="shared" si="52"/>
        <v>0</v>
      </c>
      <c r="AI56">
        <f t="shared" si="21"/>
        <v>0</v>
      </c>
      <c r="AJ56" s="310">
        <f t="shared" si="22"/>
        <v>0.22270874999999998</v>
      </c>
      <c r="AK56">
        <f t="shared" si="23"/>
        <v>3.6000000000000004E-2</v>
      </c>
      <c r="AL56" s="310">
        <f t="shared" si="24"/>
        <v>3.0374999999999999E-2</v>
      </c>
      <c r="AM56" s="310">
        <f t="shared" si="25"/>
        <v>5.5427027027027023E-2</v>
      </c>
      <c r="AN56" s="310">
        <f t="shared" si="42"/>
        <v>6.6375000000000003E-2</v>
      </c>
      <c r="AO56" s="310">
        <f t="shared" si="53"/>
        <v>1.0602103437129113</v>
      </c>
      <c r="AP56">
        <f t="shared" si="27"/>
        <v>17.625</v>
      </c>
      <c r="AQ56" s="9">
        <f t="shared" si="43"/>
        <v>0.94325938406844623</v>
      </c>
      <c r="AR56" s="51">
        <f t="shared" si="54"/>
        <v>17.897646283157872</v>
      </c>
      <c r="AS56" s="51">
        <f t="shared" si="44"/>
        <v>6.0394608812153647</v>
      </c>
      <c r="AT56" s="9"/>
      <c r="AU56">
        <f t="shared" si="45"/>
        <v>94.325938406844628</v>
      </c>
      <c r="BE56" s="540"/>
      <c r="BF56" s="21"/>
    </row>
    <row r="57" spans="1:60">
      <c r="A57" s="26" t="s">
        <v>749</v>
      </c>
      <c r="B57" s="18" t="s">
        <v>714</v>
      </c>
      <c r="C57" s="26" t="s">
        <v>532</v>
      </c>
      <c r="D57" s="375" t="s">
        <v>750</v>
      </c>
      <c r="G57">
        <v>48</v>
      </c>
      <c r="H57">
        <f t="shared" si="0"/>
        <v>3.5999999999999996</v>
      </c>
      <c r="I57" s="309">
        <f t="shared" si="1"/>
        <v>0.28335798485052216</v>
      </c>
      <c r="J57" s="310">
        <f t="shared" si="2"/>
        <v>4.4650349127961073</v>
      </c>
      <c r="K57" s="310">
        <f t="shared" si="31"/>
        <v>5.8325174563980529</v>
      </c>
      <c r="L57" s="310">
        <f t="shared" si="32"/>
        <v>1.367482543601946</v>
      </c>
      <c r="M57" s="51">
        <f t="shared" si="3"/>
        <v>0</v>
      </c>
      <c r="N57" s="309">
        <f t="shared" si="46"/>
        <v>3.8237910591942663</v>
      </c>
      <c r="O57" s="309">
        <f t="shared" si="5"/>
        <v>8.8348319996494146E-2</v>
      </c>
      <c r="P57">
        <f t="shared" si="6"/>
        <v>0.2</v>
      </c>
      <c r="Q57" s="309">
        <f t="shared" si="34"/>
        <v>0.28834831999649413</v>
      </c>
      <c r="R57" s="8">
        <f t="shared" si="39"/>
        <v>1.2889445544219549</v>
      </c>
      <c r="S57" s="8">
        <f t="shared" si="7"/>
        <v>1.6613780643740118E-3</v>
      </c>
      <c r="T57" s="8">
        <f t="shared" si="40"/>
        <v>1.6613780643740118E-3</v>
      </c>
      <c r="U57" s="309">
        <f t="shared" si="47"/>
        <v>2.0354567605475307</v>
      </c>
      <c r="V57" s="311">
        <f t="shared" si="9"/>
        <v>8.286168448117295E-3</v>
      </c>
      <c r="W57" s="309">
        <f t="shared" si="41"/>
        <v>8.286168448117295E-3</v>
      </c>
      <c r="X57" s="309">
        <f t="shared" si="48"/>
        <v>2.0354567605475307</v>
      </c>
      <c r="Y57" s="309">
        <f t="shared" si="11"/>
        <v>0.21544037965104965</v>
      </c>
      <c r="Z57" s="309">
        <f t="shared" si="12"/>
        <v>3.4770815098576283E-2</v>
      </c>
      <c r="AA57" s="309">
        <f t="shared" si="13"/>
        <v>6.9304499999999991E-2</v>
      </c>
      <c r="AB57" s="309">
        <f t="shared" si="14"/>
        <v>0</v>
      </c>
      <c r="AC57" s="309">
        <f t="shared" si="49"/>
        <v>0.33541323686968844</v>
      </c>
      <c r="AD57" s="309">
        <f t="shared" si="50"/>
        <v>3.2370192832782698</v>
      </c>
      <c r="AE57" s="309">
        <f t="shared" si="17"/>
        <v>0.10478293840315363</v>
      </c>
      <c r="AF57" s="309">
        <f t="shared" si="18"/>
        <v>4.8599999999999997E-2</v>
      </c>
      <c r="AG57" s="309">
        <f t="shared" si="51"/>
        <v>0.15599829190909081</v>
      </c>
      <c r="AH57" s="309">
        <f t="shared" si="52"/>
        <v>0</v>
      </c>
      <c r="AI57">
        <f t="shared" si="21"/>
        <v>0</v>
      </c>
      <c r="AJ57" s="310">
        <f t="shared" si="22"/>
        <v>0.22265999999999997</v>
      </c>
      <c r="AK57">
        <f t="shared" si="23"/>
        <v>3.6000000000000004E-2</v>
      </c>
      <c r="AL57" s="310">
        <f t="shared" si="24"/>
        <v>3.0374999999999999E-2</v>
      </c>
      <c r="AM57" s="310">
        <f t="shared" si="25"/>
        <v>5.5427027027027023E-2</v>
      </c>
      <c r="AN57" s="310">
        <f t="shared" si="42"/>
        <v>6.6375000000000003E-2</v>
      </c>
      <c r="AO57" s="310">
        <f t="shared" si="53"/>
        <v>1.0787423952877648</v>
      </c>
      <c r="AP57">
        <f t="shared" si="27"/>
        <v>18</v>
      </c>
      <c r="AQ57" s="9">
        <f t="shared" si="43"/>
        <v>0.94345841183147361</v>
      </c>
      <c r="AR57" s="51">
        <f t="shared" si="54"/>
        <v>18.447728027832863</v>
      </c>
      <c r="AS57" s="51">
        <f t="shared" si="44"/>
        <v>6.2399316763636321</v>
      </c>
      <c r="AT57" s="9"/>
      <c r="AU57">
        <f t="shared" si="45"/>
        <v>94.345841183147357</v>
      </c>
      <c r="BE57" s="540"/>
      <c r="BF57" s="21"/>
    </row>
    <row r="58" spans="1:60">
      <c r="A58" s="25" t="s">
        <v>520</v>
      </c>
      <c r="B58" s="91">
        <f>VfdSky</f>
        <v>0</v>
      </c>
      <c r="C58" s="318" t="s">
        <v>8</v>
      </c>
      <c r="D58" s="23" t="s">
        <v>521</v>
      </c>
      <c r="G58">
        <v>49</v>
      </c>
      <c r="H58">
        <f t="shared" si="0"/>
        <v>3.6749999999999998</v>
      </c>
      <c r="I58" s="309">
        <f t="shared" si="1"/>
        <v>0.28347524466746793</v>
      </c>
      <c r="J58" s="310">
        <f t="shared" si="2"/>
        <v>4.4668826432449498</v>
      </c>
      <c r="K58" s="310">
        <f t="shared" si="31"/>
        <v>5.9084413216224743</v>
      </c>
      <c r="L58" s="310">
        <f t="shared" si="32"/>
        <v>1.4415586783775249</v>
      </c>
      <c r="M58" s="51">
        <f t="shared" si="3"/>
        <v>0</v>
      </c>
      <c r="N58" s="309">
        <f t="shared" si="46"/>
        <v>3.8946602392305776</v>
      </c>
      <c r="O58" s="309">
        <f t="shared" si="5"/>
        <v>9.1677759689258134E-2</v>
      </c>
      <c r="P58">
        <f t="shared" si="6"/>
        <v>0.2</v>
      </c>
      <c r="Q58" s="309">
        <f t="shared" si="34"/>
        <v>0.29167775968925813</v>
      </c>
      <c r="R58" s="8">
        <f t="shared" si="39"/>
        <v>1.2894779482579695</v>
      </c>
      <c r="S58" s="8">
        <f t="shared" si="7"/>
        <v>1.6627533790435826E-3</v>
      </c>
      <c r="T58" s="8">
        <f t="shared" si="40"/>
        <v>1.6627533790435826E-3</v>
      </c>
      <c r="U58" s="309">
        <f t="shared" si="47"/>
        <v>2.0736103231340524</v>
      </c>
      <c r="V58" s="311">
        <f t="shared" si="9"/>
        <v>8.5997195444162174E-3</v>
      </c>
      <c r="W58" s="309">
        <f t="shared" si="41"/>
        <v>8.5997195444162174E-3</v>
      </c>
      <c r="X58" s="309">
        <f t="shared" si="48"/>
        <v>2.0736103231340524</v>
      </c>
      <c r="Y58" s="309">
        <f t="shared" si="11"/>
        <v>0.22359270815482163</v>
      </c>
      <c r="Z58" s="309">
        <f t="shared" si="12"/>
        <v>3.5747057252390295E-2</v>
      </c>
      <c r="AA58" s="309">
        <f t="shared" si="13"/>
        <v>6.9304499999999991E-2</v>
      </c>
      <c r="AB58" s="309">
        <f t="shared" si="14"/>
        <v>0</v>
      </c>
      <c r="AC58" s="309">
        <f t="shared" si="49"/>
        <v>0.34564676666436961</v>
      </c>
      <c r="AD58" s="309">
        <f t="shared" si="50"/>
        <v>3.296743636808217</v>
      </c>
      <c r="AE58" s="309">
        <f t="shared" si="17"/>
        <v>0.10868518606835469</v>
      </c>
      <c r="AF58" s="309">
        <f t="shared" si="18"/>
        <v>4.9612499999999997E-2</v>
      </c>
      <c r="AG58" s="309">
        <f t="shared" si="51"/>
        <v>0.16109914047767762</v>
      </c>
      <c r="AH58" s="309">
        <f t="shared" si="52"/>
        <v>0</v>
      </c>
      <c r="AI58">
        <f t="shared" si="21"/>
        <v>0</v>
      </c>
      <c r="AJ58" s="310">
        <f t="shared" si="22"/>
        <v>0.22261125000000001</v>
      </c>
      <c r="AK58">
        <f t="shared" si="23"/>
        <v>3.6000000000000004E-2</v>
      </c>
      <c r="AL58" s="310">
        <f t="shared" si="24"/>
        <v>3.0374999999999999E-2</v>
      </c>
      <c r="AM58" s="310">
        <f t="shared" si="25"/>
        <v>5.5427027027027023E-2</v>
      </c>
      <c r="AN58" s="310">
        <f t="shared" si="42"/>
        <v>6.6375000000000003E-2</v>
      </c>
      <c r="AO58" s="310">
        <f t="shared" si="53"/>
        <v>1.0976723897547653</v>
      </c>
      <c r="AP58">
        <f t="shared" si="27"/>
        <v>18.375</v>
      </c>
      <c r="AQ58" s="9">
        <f t="shared" si="43"/>
        <v>0.94363011055779433</v>
      </c>
      <c r="AR58" s="51">
        <f t="shared" si="54"/>
        <v>19.010572166540328</v>
      </c>
      <c r="AS58" s="51">
        <f t="shared" si="44"/>
        <v>6.4439656191071046</v>
      </c>
      <c r="AT58" s="9"/>
      <c r="AU58">
        <f t="shared" si="45"/>
        <v>94.363011055779438</v>
      </c>
      <c r="BE58" s="540"/>
      <c r="BF58" s="21"/>
    </row>
    <row r="59" spans="1:60">
      <c r="A59" s="25" t="s">
        <v>522</v>
      </c>
      <c r="B59" s="91">
        <f>QrrSky</f>
        <v>0</v>
      </c>
      <c r="C59" s="318" t="s">
        <v>105</v>
      </c>
      <c r="D59" s="23" t="s">
        <v>523</v>
      </c>
      <c r="G59">
        <v>50</v>
      </c>
      <c r="H59">
        <f t="shared" si="0"/>
        <v>3.75</v>
      </c>
      <c r="I59" s="309">
        <f t="shared" si="1"/>
        <v>0.28359254588762783</v>
      </c>
      <c r="J59" s="310">
        <f t="shared" si="2"/>
        <v>4.4687310261080757</v>
      </c>
      <c r="K59" s="310">
        <f t="shared" si="31"/>
        <v>5.9843655130540379</v>
      </c>
      <c r="L59" s="310">
        <f t="shared" si="32"/>
        <v>1.5156344869459621</v>
      </c>
      <c r="M59" s="51">
        <f t="shared" si="3"/>
        <v>0</v>
      </c>
      <c r="N59" s="309">
        <f t="shared" si="46"/>
        <v>3.9656814986382538</v>
      </c>
      <c r="O59" s="309">
        <f t="shared" si="5"/>
        <v>9.5077497822578322E-2</v>
      </c>
      <c r="P59">
        <f t="shared" si="6"/>
        <v>0.2</v>
      </c>
      <c r="Q59" s="309">
        <f t="shared" si="34"/>
        <v>0.29507749782257831</v>
      </c>
      <c r="R59" s="8">
        <f t="shared" si="39"/>
        <v>1.290011530429765</v>
      </c>
      <c r="S59" s="8">
        <f t="shared" si="7"/>
        <v>1.6641297486417446E-3</v>
      </c>
      <c r="T59" s="8">
        <f t="shared" si="40"/>
        <v>1.6641297486417446E-3</v>
      </c>
      <c r="U59" s="309">
        <f t="shared" si="47"/>
        <v>2.1118605466861249</v>
      </c>
      <c r="V59" s="311">
        <f t="shared" si="9"/>
        <v>8.9199099372988359E-3</v>
      </c>
      <c r="W59" s="309">
        <f t="shared" si="41"/>
        <v>8.9199099372988359E-3</v>
      </c>
      <c r="X59" s="309">
        <f t="shared" si="48"/>
        <v>2.1118605466861249</v>
      </c>
      <c r="Y59" s="309">
        <f t="shared" si="11"/>
        <v>0.23191765836976974</v>
      </c>
      <c r="Z59" s="309">
        <f t="shared" si="12"/>
        <v>3.672329760403531E-2</v>
      </c>
      <c r="AA59" s="309">
        <f t="shared" si="13"/>
        <v>6.9304499999999991E-2</v>
      </c>
      <c r="AB59" s="309">
        <f t="shared" si="14"/>
        <v>0</v>
      </c>
      <c r="AC59" s="309">
        <f t="shared" si="49"/>
        <v>0.35611512064986572</v>
      </c>
      <c r="AD59" s="309">
        <f t="shared" si="50"/>
        <v>3.3565867752811531</v>
      </c>
      <c r="AE59" s="309">
        <f t="shared" si="17"/>
        <v>0.11266674779992331</v>
      </c>
      <c r="AF59" s="309">
        <f t="shared" si="18"/>
        <v>5.0624999999999996E-2</v>
      </c>
      <c r="AG59" s="309">
        <f t="shared" si="51"/>
        <v>0.16628939342403662</v>
      </c>
      <c r="AH59" s="309">
        <f t="shared" si="52"/>
        <v>0</v>
      </c>
      <c r="AI59">
        <f t="shared" si="21"/>
        <v>0</v>
      </c>
      <c r="AJ59" s="310">
        <f t="shared" si="22"/>
        <v>0.22256249999999997</v>
      </c>
      <c r="AK59">
        <f t="shared" si="23"/>
        <v>3.6000000000000004E-2</v>
      </c>
      <c r="AL59" s="310">
        <f t="shared" si="24"/>
        <v>3.0374999999999999E-2</v>
      </c>
      <c r="AM59" s="310">
        <f t="shared" si="25"/>
        <v>5.5427027027027023E-2</v>
      </c>
      <c r="AN59" s="310">
        <f t="shared" si="42"/>
        <v>6.6375000000000003E-2</v>
      </c>
      <c r="AO59" s="310">
        <f t="shared" si="53"/>
        <v>1.1170035515824213</v>
      </c>
      <c r="AP59">
        <f t="shared" si="27"/>
        <v>18.75</v>
      </c>
      <c r="AQ59" s="9">
        <f t="shared" si="43"/>
        <v>0.94377594242220531</v>
      </c>
      <c r="AR59" s="51">
        <f t="shared" si="54"/>
        <v>19.586331635742614</v>
      </c>
      <c r="AS59" s="51">
        <f t="shared" si="44"/>
        <v>6.6515757369614645</v>
      </c>
      <c r="AT59" s="9"/>
      <c r="AU59">
        <f t="shared" si="45"/>
        <v>94.377594242220525</v>
      </c>
      <c r="BE59" s="540"/>
      <c r="BF59" s="21"/>
    </row>
    <row r="60" spans="1:60">
      <c r="A60" s="25" t="s">
        <v>524</v>
      </c>
      <c r="B60" s="91">
        <f>Ireverse</f>
        <v>0</v>
      </c>
      <c r="C60" s="318" t="s">
        <v>747</v>
      </c>
      <c r="D60" s="23" t="s">
        <v>525</v>
      </c>
      <c r="E60" s="2"/>
      <c r="G60">
        <v>51</v>
      </c>
      <c r="H60">
        <f t="shared" si="0"/>
        <v>3.8250000000000002</v>
      </c>
      <c r="I60" s="309">
        <f t="shared" si="1"/>
        <v>0.28370988853293416</v>
      </c>
      <c r="J60" s="310">
        <f t="shared" si="2"/>
        <v>4.4705800617310842</v>
      </c>
      <c r="K60" s="310">
        <f t="shared" si="31"/>
        <v>6.0602900308655423</v>
      </c>
      <c r="L60" s="310">
        <f t="shared" si="32"/>
        <v>1.5897099691344581</v>
      </c>
      <c r="M60" s="51">
        <f t="shared" si="3"/>
        <v>0</v>
      </c>
      <c r="N60" s="309">
        <f t="shared" si="46"/>
        <v>4.0368468108201681</v>
      </c>
      <c r="O60" s="309">
        <f t="shared" si="5"/>
        <v>9.8547646874045283E-2</v>
      </c>
      <c r="P60">
        <f t="shared" si="6"/>
        <v>0.2</v>
      </c>
      <c r="Q60" s="309">
        <f t="shared" si="34"/>
        <v>0.29854764687404528</v>
      </c>
      <c r="R60" s="8">
        <f t="shared" si="39"/>
        <v>1.2905453010371077</v>
      </c>
      <c r="S60" s="8">
        <f t="shared" si="7"/>
        <v>1.6655071740289591E-3</v>
      </c>
      <c r="T60" s="8">
        <f t="shared" si="40"/>
        <v>1.6655071740289591E-3</v>
      </c>
      <c r="U60" s="309">
        <f t="shared" si="47"/>
        <v>2.1502032096087382</v>
      </c>
      <c r="V60" s="311">
        <f t="shared" si="9"/>
        <v>9.2467476852234401E-3</v>
      </c>
      <c r="W60" s="309">
        <f t="shared" si="41"/>
        <v>9.2467476852234401E-3</v>
      </c>
      <c r="X60" s="309">
        <f t="shared" si="48"/>
        <v>2.1502032096087382</v>
      </c>
      <c r="Y60" s="309">
        <f t="shared" si="11"/>
        <v>0.24041543981580943</v>
      </c>
      <c r="Z60" s="309">
        <f t="shared" si="12"/>
        <v>3.7699536152556681E-2</v>
      </c>
      <c r="AA60" s="309">
        <f t="shared" si="13"/>
        <v>6.9304499999999991E-2</v>
      </c>
      <c r="AB60" s="309">
        <f t="shared" si="14"/>
        <v>0</v>
      </c>
      <c r="AC60" s="309">
        <f t="shared" si="49"/>
        <v>0.36682115945275345</v>
      </c>
      <c r="AD60" s="309">
        <f t="shared" si="50"/>
        <v>3.4165418673590473</v>
      </c>
      <c r="AE60" s="309">
        <f t="shared" si="17"/>
        <v>0.11672758331417246</v>
      </c>
      <c r="AF60" s="309">
        <f t="shared" si="18"/>
        <v>5.1637500000000003E-2</v>
      </c>
      <c r="AG60" s="309">
        <f t="shared" si="51"/>
        <v>0.17156938404542424</v>
      </c>
      <c r="AH60" s="309">
        <f t="shared" si="52"/>
        <v>0</v>
      </c>
      <c r="AI60">
        <f t="shared" si="21"/>
        <v>0</v>
      </c>
      <c r="AJ60" s="310">
        <f t="shared" si="22"/>
        <v>0.22251375000000001</v>
      </c>
      <c r="AK60">
        <f t="shared" si="23"/>
        <v>3.6000000000000004E-2</v>
      </c>
      <c r="AL60" s="310">
        <f t="shared" si="24"/>
        <v>3.0374999999999999E-2</v>
      </c>
      <c r="AM60" s="310">
        <f t="shared" si="25"/>
        <v>5.5427027027027023E-2</v>
      </c>
      <c r="AN60" s="310">
        <f t="shared" si="42"/>
        <v>6.6375000000000003E-2</v>
      </c>
      <c r="AO60" s="310">
        <f t="shared" si="53"/>
        <v>1.1367391952314754</v>
      </c>
      <c r="AP60">
        <f t="shared" si="27"/>
        <v>19.125</v>
      </c>
      <c r="AQ60" s="9">
        <f t="shared" si="43"/>
        <v>0.94389725460986085</v>
      </c>
      <c r="AR60" s="51">
        <f t="shared" si="54"/>
        <v>20.175163769901442</v>
      </c>
      <c r="AS60" s="51">
        <f t="shared" si="44"/>
        <v>6.8627753618169693</v>
      </c>
      <c r="AT60" s="9"/>
      <c r="AU60">
        <f t="shared" si="45"/>
        <v>94.389725460986085</v>
      </c>
      <c r="BE60" s="540"/>
      <c r="BF60" s="21"/>
    </row>
    <row r="61" spans="1:60">
      <c r="A61" s="26" t="s">
        <v>526</v>
      </c>
      <c r="B61" s="18" t="s">
        <v>714</v>
      </c>
      <c r="C61" s="26" t="s">
        <v>532</v>
      </c>
      <c r="D61" s="375" t="s">
        <v>750</v>
      </c>
      <c r="G61">
        <v>52</v>
      </c>
      <c r="H61">
        <f t="shared" si="0"/>
        <v>3.9000000000000004</v>
      </c>
      <c r="I61" s="309">
        <f t="shared" si="1"/>
        <v>0.28382727262533491</v>
      </c>
      <c r="J61" s="310">
        <f t="shared" si="2"/>
        <v>4.4724297504598232</v>
      </c>
      <c r="K61" s="310">
        <f t="shared" si="31"/>
        <v>6.1362148752299124</v>
      </c>
      <c r="L61" s="310">
        <f t="shared" si="32"/>
        <v>1.6637851247700888</v>
      </c>
      <c r="M61" s="51">
        <f t="shared" si="3"/>
        <v>0</v>
      </c>
      <c r="N61" s="309">
        <f t="shared" si="46"/>
        <v>4.1081486896248673</v>
      </c>
      <c r="O61" s="309">
        <f t="shared" si="5"/>
        <v>0.10208832174418937</v>
      </c>
      <c r="P61">
        <f t="shared" si="6"/>
        <v>0.2</v>
      </c>
      <c r="Q61" s="309">
        <f t="shared" si="34"/>
        <v>0.30208832174418937</v>
      </c>
      <c r="R61" s="8">
        <f t="shared" si="39"/>
        <v>1.2910792601798349</v>
      </c>
      <c r="S61" s="8">
        <f t="shared" si="7"/>
        <v>1.6668856560665098E-3</v>
      </c>
      <c r="T61" s="8">
        <f t="shared" si="40"/>
        <v>1.6668856560665098E-3</v>
      </c>
      <c r="U61" s="309">
        <f t="shared" si="47"/>
        <v>2.1886343747120018</v>
      </c>
      <c r="V61" s="311">
        <f t="shared" si="9"/>
        <v>9.5802408523419907E-3</v>
      </c>
      <c r="W61" s="309">
        <f t="shared" si="41"/>
        <v>9.5802408523419907E-3</v>
      </c>
      <c r="X61" s="309">
        <f t="shared" si="48"/>
        <v>2.1886343747120018</v>
      </c>
      <c r="Y61" s="309">
        <f t="shared" si="11"/>
        <v>0.24908626216089175</v>
      </c>
      <c r="Z61" s="309">
        <f t="shared" si="12"/>
        <v>3.8675772896999062E-2</v>
      </c>
      <c r="AA61" s="309">
        <f t="shared" si="13"/>
        <v>6.9304499999999991E-2</v>
      </c>
      <c r="AB61" s="309">
        <f t="shared" si="14"/>
        <v>0</v>
      </c>
      <c r="AC61" s="309">
        <f t="shared" si="49"/>
        <v>0.37776782570519257</v>
      </c>
      <c r="AD61" s="309">
        <f t="shared" si="50"/>
        <v>3.4766025412600041</v>
      </c>
      <c r="AE61" s="309">
        <f t="shared" si="17"/>
        <v>0.1208676522989552</v>
      </c>
      <c r="AF61" s="309">
        <f t="shared" si="18"/>
        <v>5.2650000000000002E-2</v>
      </c>
      <c r="AG61" s="309">
        <f t="shared" si="51"/>
        <v>0.17693945331026276</v>
      </c>
      <c r="AH61" s="309">
        <f t="shared" si="52"/>
        <v>0</v>
      </c>
      <c r="AI61">
        <f t="shared" si="21"/>
        <v>0</v>
      </c>
      <c r="AJ61" s="310">
        <f t="shared" si="22"/>
        <v>0.222465</v>
      </c>
      <c r="AK61">
        <f t="shared" si="23"/>
        <v>3.6000000000000004E-2</v>
      </c>
      <c r="AL61" s="310">
        <f t="shared" si="24"/>
        <v>3.0374999999999999E-2</v>
      </c>
      <c r="AM61" s="310">
        <f t="shared" si="25"/>
        <v>5.5427027027027023E-2</v>
      </c>
      <c r="AN61" s="310">
        <f t="shared" si="42"/>
        <v>6.6375000000000003E-2</v>
      </c>
      <c r="AO61" s="310">
        <f t="shared" si="53"/>
        <v>1.1568827272680533</v>
      </c>
      <c r="AP61">
        <f t="shared" si="27"/>
        <v>19.5</v>
      </c>
      <c r="AQ61" s="9">
        <f t="shared" si="43"/>
        <v>0.94399528996982129</v>
      </c>
      <c r="AR61" s="51">
        <f t="shared" si="54"/>
        <v>20.777230413785592</v>
      </c>
      <c r="AS61" s="51">
        <f t="shared" si="44"/>
        <v>7.07757813241051</v>
      </c>
      <c r="AT61" s="9"/>
      <c r="AU61">
        <f t="shared" si="45"/>
        <v>94.399528996982127</v>
      </c>
      <c r="BE61" s="540"/>
      <c r="BF61" s="21"/>
    </row>
    <row r="62" spans="1:60">
      <c r="A62" s="25" t="s">
        <v>751</v>
      </c>
      <c r="B62" s="92">
        <v>20</v>
      </c>
      <c r="C62" s="318" t="s">
        <v>115</v>
      </c>
      <c r="D62" s="23" t="s">
        <v>498</v>
      </c>
      <c r="G62">
        <v>53</v>
      </c>
      <c r="H62">
        <f t="shared" si="0"/>
        <v>3.9750000000000001</v>
      </c>
      <c r="I62" s="309">
        <f t="shared" si="1"/>
        <v>0.28394469818679363</v>
      </c>
      <c r="J62" s="310">
        <f t="shared" si="2"/>
        <v>4.4742800926403845</v>
      </c>
      <c r="K62" s="310">
        <f t="shared" si="31"/>
        <v>6.2121400463201919</v>
      </c>
      <c r="L62" s="310">
        <f t="shared" si="32"/>
        <v>1.7378599536798078</v>
      </c>
      <c r="M62" s="51">
        <f t="shared" si="3"/>
        <v>0</v>
      </c>
      <c r="N62" s="309">
        <f t="shared" si="46"/>
        <v>4.1795801458539472</v>
      </c>
      <c r="O62" s="309">
        <f t="shared" si="5"/>
        <v>0.10569963976607813</v>
      </c>
      <c r="P62">
        <f t="shared" si="6"/>
        <v>0.2</v>
      </c>
      <c r="Q62" s="309">
        <f t="shared" si="34"/>
        <v>0.30569963976607817</v>
      </c>
      <c r="R62" s="8">
        <f t="shared" si="39"/>
        <v>1.291613407957855</v>
      </c>
      <c r="S62" s="8">
        <f t="shared" si="7"/>
        <v>1.6682651956165043E-3</v>
      </c>
      <c r="T62" s="8">
        <f t="shared" si="40"/>
        <v>1.6682651956165043E-3</v>
      </c>
      <c r="U62" s="309">
        <f t="shared" si="47"/>
        <v>2.2271503663319563</v>
      </c>
      <c r="V62" s="311">
        <f t="shared" si="9"/>
        <v>9.9203975085051348E-3</v>
      </c>
      <c r="W62" s="309">
        <f t="shared" si="41"/>
        <v>9.9203975085051348E-3</v>
      </c>
      <c r="X62" s="309">
        <f t="shared" si="48"/>
        <v>2.2271503663319563</v>
      </c>
      <c r="Y62" s="309">
        <f t="shared" si="11"/>
        <v>0.25793033522113346</v>
      </c>
      <c r="Z62" s="309">
        <f t="shared" si="12"/>
        <v>3.9652007836406447E-2</v>
      </c>
      <c r="AA62" s="309">
        <f t="shared" si="13"/>
        <v>6.9304499999999991E-2</v>
      </c>
      <c r="AB62" s="309">
        <f t="shared" si="14"/>
        <v>0</v>
      </c>
      <c r="AC62" s="309">
        <f t="shared" si="49"/>
        <v>0.38895814616346519</v>
      </c>
      <c r="AD62" s="309">
        <f t="shared" si="50"/>
        <v>3.5367628477696855</v>
      </c>
      <c r="AE62" s="309">
        <f t="shared" si="17"/>
        <v>0.12508691441363937</v>
      </c>
      <c r="AF62" s="309">
        <f t="shared" si="18"/>
        <v>5.3662499999999995E-2</v>
      </c>
      <c r="AG62" s="309">
        <f t="shared" si="51"/>
        <v>0.18239994992162306</v>
      </c>
      <c r="AH62" s="309">
        <f t="shared" si="52"/>
        <v>0</v>
      </c>
      <c r="AI62">
        <f t="shared" si="21"/>
        <v>0</v>
      </c>
      <c r="AJ62" s="310">
        <f t="shared" si="22"/>
        <v>0.22241624999999995</v>
      </c>
      <c r="AK62">
        <f t="shared" si="23"/>
        <v>3.6000000000000004E-2</v>
      </c>
      <c r="AL62" s="310">
        <f t="shared" si="24"/>
        <v>3.0374999999999999E-2</v>
      </c>
      <c r="AM62" s="310">
        <f t="shared" si="25"/>
        <v>5.5427027027027023E-2</v>
      </c>
      <c r="AN62" s="310">
        <f t="shared" si="42"/>
        <v>6.6375000000000003E-2</v>
      </c>
      <c r="AO62" s="310">
        <f t="shared" si="53"/>
        <v>1.1774376485552882</v>
      </c>
      <c r="AP62">
        <f t="shared" si="27"/>
        <v>19.875</v>
      </c>
      <c r="AQ62" s="9">
        <f t="shared" si="43"/>
        <v>0.94407119649462123</v>
      </c>
      <c r="AR62" s="51">
        <f t="shared" si="54"/>
        <v>21.392698038990584</v>
      </c>
      <c r="AS62" s="51">
        <f t="shared" si="44"/>
        <v>7.2959979968649229</v>
      </c>
      <c r="AT62" s="9"/>
      <c r="AU62">
        <f t="shared" si="45"/>
        <v>94.407119649462118</v>
      </c>
      <c r="BE62" s="540"/>
      <c r="BF62" s="21"/>
    </row>
    <row r="63" spans="1:60">
      <c r="A63" s="25" t="s">
        <v>751</v>
      </c>
      <c r="B63" s="92">
        <v>2</v>
      </c>
      <c r="C63" s="318" t="s">
        <v>63</v>
      </c>
      <c r="D63" s="23" t="s">
        <v>498</v>
      </c>
      <c r="G63">
        <v>54</v>
      </c>
      <c r="H63">
        <f t="shared" si="0"/>
        <v>4.0500000000000007</v>
      </c>
      <c r="I63" s="309">
        <f t="shared" si="1"/>
        <v>0.28406216523928901</v>
      </c>
      <c r="J63" s="310">
        <f t="shared" si="2"/>
        <v>4.4761310886191001</v>
      </c>
      <c r="K63" s="310">
        <f t="shared" si="31"/>
        <v>6.2880655443095508</v>
      </c>
      <c r="L63" s="310">
        <f t="shared" si="32"/>
        <v>1.8119344556904506</v>
      </c>
      <c r="M63" s="51">
        <f t="shared" si="3"/>
        <v>0</v>
      </c>
      <c r="N63" s="309">
        <f t="shared" si="46"/>
        <v>4.2511346477783878</v>
      </c>
      <c r="O63" s="309">
        <f t="shared" si="5"/>
        <v>0.10938172071512917</v>
      </c>
      <c r="P63">
        <f t="shared" si="6"/>
        <v>0.2</v>
      </c>
      <c r="Q63" s="309">
        <f t="shared" si="34"/>
        <v>0.30938172071512915</v>
      </c>
      <c r="R63" s="8">
        <f t="shared" si="39"/>
        <v>1.2921477444711451</v>
      </c>
      <c r="S63" s="8">
        <f t="shared" si="7"/>
        <v>1.6696457935418678E-3</v>
      </c>
      <c r="T63" s="8">
        <f t="shared" si="40"/>
        <v>1.6696457935418678E-3</v>
      </c>
      <c r="U63" s="309">
        <f t="shared" si="47"/>
        <v>2.2657477495594285</v>
      </c>
      <c r="V63" s="311">
        <f t="shared" si="9"/>
        <v>1.026722572926723E-2</v>
      </c>
      <c r="W63" s="309">
        <f t="shared" si="41"/>
        <v>1.026722572926723E-2</v>
      </c>
      <c r="X63" s="309">
        <f t="shared" si="48"/>
        <v>2.2657477495594285</v>
      </c>
      <c r="Y63" s="309">
        <f t="shared" si="11"/>
        <v>0.26694786896094796</v>
      </c>
      <c r="Z63" s="309">
        <f t="shared" si="12"/>
        <v>4.0628240969822177E-2</v>
      </c>
      <c r="AA63" s="309">
        <f t="shared" si="13"/>
        <v>6.9304499999999991E-2</v>
      </c>
      <c r="AB63" s="309">
        <f t="shared" si="14"/>
        <v>0</v>
      </c>
      <c r="AC63" s="309">
        <f t="shared" si="49"/>
        <v>0.40039523390610843</v>
      </c>
      <c r="AD63" s="309">
        <f t="shared" si="50"/>
        <v>3.5970172266627061</v>
      </c>
      <c r="AE63" s="309">
        <f t="shared" si="17"/>
        <v>0.12938532928908267</v>
      </c>
      <c r="AF63" s="309">
        <f t="shared" si="18"/>
        <v>5.4675000000000008E-2</v>
      </c>
      <c r="AG63" s="309">
        <f t="shared" si="51"/>
        <v>0.18795123038241335</v>
      </c>
      <c r="AH63" s="309">
        <f t="shared" si="52"/>
        <v>0</v>
      </c>
      <c r="AI63">
        <f t="shared" si="21"/>
        <v>0</v>
      </c>
      <c r="AJ63" s="310">
        <f t="shared" si="22"/>
        <v>0.2223675</v>
      </c>
      <c r="AK63">
        <f t="shared" si="23"/>
        <v>3.6000000000000004E-2</v>
      </c>
      <c r="AL63" s="310">
        <f t="shared" si="24"/>
        <v>3.0374999999999999E-2</v>
      </c>
      <c r="AM63" s="310">
        <f t="shared" si="25"/>
        <v>5.5427027027027023E-2</v>
      </c>
      <c r="AN63" s="310">
        <f t="shared" si="42"/>
        <v>6.6375000000000003E-2</v>
      </c>
      <c r="AO63" s="310">
        <f t="shared" si="53"/>
        <v>1.19840755652646</v>
      </c>
      <c r="AP63">
        <f t="shared" si="27"/>
        <v>20.250000000000004</v>
      </c>
      <c r="AQ63" s="9">
        <f t="shared" si="43"/>
        <v>0.94412603577360699</v>
      </c>
      <c r="AR63" s="51">
        <f t="shared" si="54"/>
        <v>22.021737864835963</v>
      </c>
      <c r="AS63" s="51">
        <f t="shared" si="44"/>
        <v>7.5180492152965339</v>
      </c>
      <c r="AT63" s="9"/>
      <c r="AU63">
        <f t="shared" si="45"/>
        <v>94.412603577360699</v>
      </c>
      <c r="BE63" s="540"/>
      <c r="BF63" s="21"/>
    </row>
    <row r="64" spans="1:60">
      <c r="A64" s="93"/>
      <c r="B64" s="31"/>
      <c r="G64">
        <v>55</v>
      </c>
      <c r="H64">
        <f t="shared" si="0"/>
        <v>4.125</v>
      </c>
      <c r="I64" s="309">
        <f t="shared" si="1"/>
        <v>0.28417967380481579</v>
      </c>
      <c r="J64" s="310">
        <f t="shared" si="2"/>
        <v>4.4779827387425524</v>
      </c>
      <c r="K64" s="310">
        <f t="shared" si="31"/>
        <v>6.3639913693712762</v>
      </c>
      <c r="L64" s="310">
        <f t="shared" si="32"/>
        <v>1.8860086306287238</v>
      </c>
      <c r="M64" s="51">
        <f t="shared" si="3"/>
        <v>0</v>
      </c>
      <c r="N64" s="309">
        <f t="shared" si="46"/>
        <v>4.3228060852536929</v>
      </c>
      <c r="O64" s="309">
        <f t="shared" si="5"/>
        <v>0.11313468681913835</v>
      </c>
      <c r="P64">
        <f t="shared" si="6"/>
        <v>0.2</v>
      </c>
      <c r="Q64" s="309">
        <f t="shared" si="34"/>
        <v>0.31313468681913836</v>
      </c>
      <c r="R64" s="8">
        <f t="shared" si="39"/>
        <v>1.2926822698197551</v>
      </c>
      <c r="S64" s="8">
        <f t="shared" si="7"/>
        <v>1.671027450706354E-3</v>
      </c>
      <c r="T64" s="8">
        <f t="shared" si="40"/>
        <v>1.671027450706354E-3</v>
      </c>
      <c r="U64" s="309">
        <f t="shared" si="47"/>
        <v>2.3044233113613686</v>
      </c>
      <c r="V64" s="311">
        <f t="shared" si="9"/>
        <v>1.062073359589139E-2</v>
      </c>
      <c r="W64" s="309">
        <f t="shared" si="41"/>
        <v>1.062073359589139E-2</v>
      </c>
      <c r="X64" s="309">
        <f t="shared" si="48"/>
        <v>2.3044233113613686</v>
      </c>
      <c r="Y64" s="309">
        <f t="shared" si="11"/>
        <v>0.27613907349317612</v>
      </c>
      <c r="Z64" s="309">
        <f t="shared" si="12"/>
        <v>4.1604472296288844E-2</v>
      </c>
      <c r="AA64" s="309">
        <f t="shared" si="13"/>
        <v>6.9304499999999991E-2</v>
      </c>
      <c r="AB64" s="309">
        <f t="shared" si="14"/>
        <v>0</v>
      </c>
      <c r="AC64" s="309">
        <f t="shared" si="49"/>
        <v>0.41208229061479423</v>
      </c>
      <c r="AD64" s="309">
        <f t="shared" si="50"/>
        <v>3.6573604761850675</v>
      </c>
      <c r="AE64" s="309">
        <f t="shared" si="17"/>
        <v>0.13376285652760664</v>
      </c>
      <c r="AF64" s="309">
        <f t="shared" si="18"/>
        <v>5.5687500000000001E-2</v>
      </c>
      <c r="AG64" s="309">
        <f t="shared" si="51"/>
        <v>0.19359365906229531</v>
      </c>
      <c r="AH64" s="309">
        <f t="shared" si="52"/>
        <v>0</v>
      </c>
      <c r="AI64">
        <f t="shared" si="21"/>
        <v>0</v>
      </c>
      <c r="AJ64" s="310">
        <f t="shared" si="22"/>
        <v>0.22231874999999998</v>
      </c>
      <c r="AK64">
        <f t="shared" si="23"/>
        <v>3.6000000000000004E-2</v>
      </c>
      <c r="AL64" s="310">
        <f t="shared" si="24"/>
        <v>3.0374999999999999E-2</v>
      </c>
      <c r="AM64" s="310">
        <f t="shared" si="25"/>
        <v>5.5427027027027023E-2</v>
      </c>
      <c r="AN64" s="310">
        <f t="shared" si="42"/>
        <v>6.6375000000000003E-2</v>
      </c>
      <c r="AO64" s="310">
        <f t="shared" si="53"/>
        <v>1.2197961475428258</v>
      </c>
      <c r="AP64">
        <f t="shared" si="27"/>
        <v>20.625</v>
      </c>
      <c r="AQ64" s="9">
        <f t="shared" si="43"/>
        <v>0.94416079054690405</v>
      </c>
      <c r="AR64" s="51">
        <f t="shared" si="54"/>
        <v>22.664525983813682</v>
      </c>
      <c r="AS64" s="51">
        <f t="shared" si="44"/>
        <v>7.7437463624918124</v>
      </c>
      <c r="AT64" s="9"/>
      <c r="AU64">
        <f t="shared" si="45"/>
        <v>94.4160790546904</v>
      </c>
      <c r="BE64" s="540"/>
      <c r="BF64" s="21"/>
    </row>
    <row r="65" spans="1:58">
      <c r="G65">
        <v>56</v>
      </c>
      <c r="H65">
        <f t="shared" si="0"/>
        <v>4.2</v>
      </c>
      <c r="I65" s="309">
        <f t="shared" si="1"/>
        <v>0.28429722390538381</v>
      </c>
      <c r="J65" s="310">
        <f t="shared" si="2"/>
        <v>4.4798350433575633</v>
      </c>
      <c r="K65" s="310">
        <f t="shared" si="31"/>
        <v>6.4399175216787814</v>
      </c>
      <c r="L65" s="310">
        <f t="shared" si="32"/>
        <v>1.9600824783212185</v>
      </c>
      <c r="M65" s="51">
        <f t="shared" si="3"/>
        <v>0</v>
      </c>
      <c r="N65" s="309">
        <f t="shared" si="46"/>
        <v>4.3945887370690944</v>
      </c>
      <c r="O65" s="309">
        <f t="shared" si="5"/>
        <v>0.11695866276852736</v>
      </c>
      <c r="P65">
        <f t="shared" si="6"/>
        <v>0.2</v>
      </c>
      <c r="Q65" s="309">
        <f t="shared" si="34"/>
        <v>0.31695866276852735</v>
      </c>
      <c r="R65" s="8">
        <f t="shared" si="39"/>
        <v>1.2932169841038041</v>
      </c>
      <c r="S65" s="8">
        <f t="shared" si="7"/>
        <v>1.6724101679745388E-3</v>
      </c>
      <c r="T65" s="8">
        <f t="shared" si="40"/>
        <v>1.6724101679745388E-3</v>
      </c>
      <c r="U65" s="309">
        <f t="shared" si="47"/>
        <v>2.3431740434029371</v>
      </c>
      <c r="V65" s="311">
        <f t="shared" si="9"/>
        <v>1.098092919535454E-2</v>
      </c>
      <c r="W65" s="309">
        <f t="shared" si="41"/>
        <v>1.098092919535454E-2</v>
      </c>
      <c r="X65" s="309">
        <f t="shared" si="48"/>
        <v>2.3431740434029371</v>
      </c>
      <c r="Y65" s="309">
        <f t="shared" si="11"/>
        <v>0.285504159079218</v>
      </c>
      <c r="Z65" s="309">
        <f t="shared" si="12"/>
        <v>4.2580701814848458E-2</v>
      </c>
      <c r="AA65" s="309">
        <f t="shared" si="13"/>
        <v>6.9304499999999991E-2</v>
      </c>
      <c r="AB65" s="309">
        <f t="shared" si="14"/>
        <v>0</v>
      </c>
      <c r="AC65" s="309">
        <f t="shared" si="49"/>
        <v>0.42402260894126381</v>
      </c>
      <c r="AD65" s="309">
        <f t="shared" si="50"/>
        <v>3.7177877252873475</v>
      </c>
      <c r="AE65" s="309">
        <f t="shared" si="17"/>
        <v>0.1382194557029727</v>
      </c>
      <c r="AF65" s="309">
        <f t="shared" si="18"/>
        <v>5.67E-2</v>
      </c>
      <c r="AG65" s="309">
        <f t="shared" si="51"/>
        <v>0.19932760826635687</v>
      </c>
      <c r="AH65" s="309">
        <f t="shared" si="52"/>
        <v>0</v>
      </c>
      <c r="AI65">
        <f t="shared" si="21"/>
        <v>0</v>
      </c>
      <c r="AJ65" s="310">
        <f t="shared" si="22"/>
        <v>0.22227</v>
      </c>
      <c r="AK65">
        <f t="shared" si="23"/>
        <v>3.6000000000000004E-2</v>
      </c>
      <c r="AL65" s="310">
        <f t="shared" si="24"/>
        <v>3.0374999999999999E-2</v>
      </c>
      <c r="AM65" s="310">
        <f t="shared" si="25"/>
        <v>5.5427027027027023E-2</v>
      </c>
      <c r="AN65" s="310">
        <f t="shared" si="42"/>
        <v>6.6375000000000003E-2</v>
      </c>
      <c r="AO65" s="310">
        <f t="shared" si="53"/>
        <v>1.2416072193394772</v>
      </c>
      <c r="AP65">
        <f t="shared" si="27"/>
        <v>21</v>
      </c>
      <c r="AQ65" s="9">
        <f t="shared" si="43"/>
        <v>0.94417637146923994</v>
      </c>
      <c r="AR65" s="51">
        <f t="shared" si="54"/>
        <v>23.321243491769511</v>
      </c>
      <c r="AS65" s="51">
        <f t="shared" si="44"/>
        <v>7.9731043306542748</v>
      </c>
      <c r="AT65" s="9"/>
      <c r="AU65">
        <f t="shared" si="45"/>
        <v>94.417637146923994</v>
      </c>
      <c r="BE65" s="540"/>
      <c r="BF65" s="21"/>
    </row>
    <row r="66" spans="1:58">
      <c r="A66" s="11" t="s">
        <v>528</v>
      </c>
      <c r="B66" s="32"/>
      <c r="C66" s="32"/>
      <c r="G66">
        <v>57</v>
      </c>
      <c r="H66">
        <f t="shared" si="0"/>
        <v>4.2749999999999995</v>
      </c>
      <c r="I66" s="309">
        <f t="shared" si="1"/>
        <v>0.28441481556301884</v>
      </c>
      <c r="J66" s="310">
        <f t="shared" si="2"/>
        <v>4.4816880028112065</v>
      </c>
      <c r="K66" s="310">
        <f t="shared" si="31"/>
        <v>6.5158440014056023</v>
      </c>
      <c r="L66" s="310">
        <f t="shared" si="32"/>
        <v>2.0341559985943962</v>
      </c>
      <c r="M66" s="51">
        <f t="shared" si="3"/>
        <v>0</v>
      </c>
      <c r="N66" s="309">
        <f t="shared" si="46"/>
        <v>4.466477241206074</v>
      </c>
      <c r="O66" s="309">
        <f t="shared" si="5"/>
        <v>0.12085377572680964</v>
      </c>
      <c r="P66">
        <f t="shared" si="6"/>
        <v>0.2</v>
      </c>
      <c r="Q66" s="309">
        <f t="shared" si="34"/>
        <v>0.32085377572680962</v>
      </c>
      <c r="R66" s="8">
        <f t="shared" si="39"/>
        <v>1.2937518874234832</v>
      </c>
      <c r="S66" s="8">
        <f t="shared" si="7"/>
        <v>1.6737939462118253E-3</v>
      </c>
      <c r="T66" s="8">
        <f t="shared" si="40"/>
        <v>1.6737939462118253E-3</v>
      </c>
      <c r="U66" s="309">
        <f t="shared" si="47"/>
        <v>2.381997126399658</v>
      </c>
      <c r="V66" s="311">
        <f t="shared" si="9"/>
        <v>1.1347820620352457E-2</v>
      </c>
      <c r="W66" s="309">
        <f t="shared" si="41"/>
        <v>1.1347820620352457E-2</v>
      </c>
      <c r="X66" s="309">
        <f t="shared" si="48"/>
        <v>2.381997126399658</v>
      </c>
      <c r="Y66" s="309">
        <f t="shared" si="11"/>
        <v>0.29504333612916384</v>
      </c>
      <c r="Z66" s="309">
        <f t="shared" si="12"/>
        <v>4.3556929524542272E-2</v>
      </c>
      <c r="AA66" s="309">
        <f t="shared" si="13"/>
        <v>6.9304499999999991E-2</v>
      </c>
      <c r="AB66" s="309">
        <f t="shared" si="14"/>
        <v>0</v>
      </c>
      <c r="AC66" s="309">
        <f t="shared" si="49"/>
        <v>0.43621957496378128</v>
      </c>
      <c r="AD66" s="309">
        <f t="shared" si="50"/>
        <v>3.778294408332362</v>
      </c>
      <c r="AE66" s="309">
        <f t="shared" si="17"/>
        <v>0.14275508636035592</v>
      </c>
      <c r="AF66" s="309">
        <f t="shared" si="18"/>
        <v>5.7712499999999993E-2</v>
      </c>
      <c r="AG66" s="309">
        <f t="shared" si="51"/>
        <v>0.2051534583055617</v>
      </c>
      <c r="AH66" s="309">
        <f t="shared" si="52"/>
        <v>0</v>
      </c>
      <c r="AI66">
        <f t="shared" si="21"/>
        <v>0</v>
      </c>
      <c r="AJ66" s="310">
        <f t="shared" si="22"/>
        <v>0.22222124999999998</v>
      </c>
      <c r="AK66">
        <f t="shared" si="23"/>
        <v>3.6000000000000004E-2</v>
      </c>
      <c r="AL66" s="310">
        <f t="shared" si="24"/>
        <v>3.0374999999999999E-2</v>
      </c>
      <c r="AM66" s="310">
        <f t="shared" si="25"/>
        <v>5.5427027027027023E-2</v>
      </c>
      <c r="AN66" s="310">
        <f t="shared" si="42"/>
        <v>6.6375000000000003E-2</v>
      </c>
      <c r="AO66" s="310">
        <f t="shared" si="53"/>
        <v>1.2638446735627169</v>
      </c>
      <c r="AP66">
        <f t="shared" si="27"/>
        <v>21.374999999999996</v>
      </c>
      <c r="AQ66" s="9">
        <f t="shared" si="43"/>
        <v>0.94417362317792597</v>
      </c>
      <c r="AR66" s="51">
        <f t="shared" si="54"/>
        <v>23.992076623007971</v>
      </c>
      <c r="AS66" s="51">
        <f t="shared" si="44"/>
        <v>8.2061383322224675</v>
      </c>
      <c r="AT66" s="9"/>
      <c r="AU66">
        <f t="shared" si="45"/>
        <v>94.417362317792595</v>
      </c>
      <c r="BE66" s="540"/>
      <c r="BF66" s="21"/>
    </row>
    <row r="67" spans="1:58">
      <c r="A67" s="17" t="s">
        <v>447</v>
      </c>
      <c r="B67" s="18" t="s">
        <v>129</v>
      </c>
      <c r="C67" s="18" t="s">
        <v>532</v>
      </c>
      <c r="G67">
        <v>58</v>
      </c>
      <c r="H67">
        <f t="shared" si="0"/>
        <v>4.3499999999999996</v>
      </c>
      <c r="I67" s="309">
        <f t="shared" si="1"/>
        <v>0.28453244879976197</v>
      </c>
      <c r="J67" s="310">
        <f t="shared" si="2"/>
        <v>4.4835416174507952</v>
      </c>
      <c r="K67" s="310">
        <f t="shared" si="31"/>
        <v>6.5917708087253972</v>
      </c>
      <c r="L67" s="310">
        <f t="shared" si="32"/>
        <v>2.1082291912746021</v>
      </c>
      <c r="M67" s="51">
        <f t="shared" si="3"/>
        <v>0</v>
      </c>
      <c r="N67" s="309">
        <f t="shared" si="46"/>
        <v>4.538466567716946</v>
      </c>
      <c r="O67" s="309">
        <f t="shared" si="5"/>
        <v>0.12482015534127802</v>
      </c>
      <c r="P67">
        <f t="shared" si="6"/>
        <v>0.2</v>
      </c>
      <c r="Q67" s="309">
        <f t="shared" si="34"/>
        <v>0.32482015534127806</v>
      </c>
      <c r="R67" s="8">
        <f t="shared" si="39"/>
        <v>1.2942869798790535</v>
      </c>
      <c r="S67" s="8">
        <f t="shared" si="7"/>
        <v>1.6751787862844415E-3</v>
      </c>
      <c r="T67" s="8">
        <f t="shared" si="40"/>
        <v>1.6751787862844415E-3</v>
      </c>
      <c r="U67" s="309">
        <f t="shared" si="47"/>
        <v>2.4208899158475625</v>
      </c>
      <c r="V67" s="311">
        <f t="shared" si="9"/>
        <v>1.1721415969304837E-2</v>
      </c>
      <c r="W67" s="309">
        <f t="shared" si="41"/>
        <v>1.1721415969304837E-2</v>
      </c>
      <c r="X67" s="309">
        <f t="shared" si="48"/>
        <v>2.4208899158475625</v>
      </c>
      <c r="Y67" s="309">
        <f t="shared" si="11"/>
        <v>0.30475681520192571</v>
      </c>
      <c r="Z67" s="309">
        <f t="shared" si="12"/>
        <v>4.4533155424410914E-2</v>
      </c>
      <c r="AA67" s="309">
        <f t="shared" si="13"/>
        <v>6.9304499999999991E-2</v>
      </c>
      <c r="AB67" s="309">
        <f t="shared" si="14"/>
        <v>0</v>
      </c>
      <c r="AC67" s="309">
        <f t="shared" si="49"/>
        <v>0.448676670736746</v>
      </c>
      <c r="AD67" s="309">
        <f t="shared" si="50"/>
        <v>3.8388762420312554</v>
      </c>
      <c r="AE67" s="309">
        <f t="shared" si="17"/>
        <v>0.14736970801632013</v>
      </c>
      <c r="AF67" s="309">
        <f t="shared" si="18"/>
        <v>5.8724999999999992E-2</v>
      </c>
      <c r="AG67" s="309">
        <f t="shared" si="51"/>
        <v>0.21107159756900531</v>
      </c>
      <c r="AH67" s="309">
        <f t="shared" si="52"/>
        <v>0</v>
      </c>
      <c r="AI67">
        <f t="shared" si="21"/>
        <v>0</v>
      </c>
      <c r="AJ67" s="310">
        <f t="shared" si="22"/>
        <v>0.22217249999999999</v>
      </c>
      <c r="AK67">
        <f t="shared" si="23"/>
        <v>3.6000000000000004E-2</v>
      </c>
      <c r="AL67" s="310">
        <f t="shared" si="24"/>
        <v>3.0374999999999999E-2</v>
      </c>
      <c r="AM67" s="310">
        <f t="shared" si="25"/>
        <v>5.5427027027027023E-2</v>
      </c>
      <c r="AN67" s="310">
        <f t="shared" si="42"/>
        <v>6.6375000000000003E-2</v>
      </c>
      <c r="AO67" s="310">
        <f t="shared" si="53"/>
        <v>1.2865125184026189</v>
      </c>
      <c r="AP67">
        <f t="shared" si="27"/>
        <v>21.75</v>
      </c>
      <c r="AQ67" s="9">
        <f t="shared" si="43"/>
        <v>0.94415332974664046</v>
      </c>
      <c r="AR67" s="51">
        <f t="shared" si="54"/>
        <v>24.677216890521031</v>
      </c>
      <c r="AS67" s="51">
        <f t="shared" si="44"/>
        <v>8.4428639027602124</v>
      </c>
      <c r="AT67" s="9"/>
      <c r="AU67">
        <f t="shared" si="45"/>
        <v>94.41533297466404</v>
      </c>
      <c r="BE67" s="540"/>
      <c r="BF67" s="21"/>
    </row>
    <row r="68" spans="1:58">
      <c r="A68" s="33" t="s">
        <v>752</v>
      </c>
      <c r="B68" s="312">
        <f>I109</f>
        <v>0.28951088493073229</v>
      </c>
      <c r="C68" s="23" t="s">
        <v>227</v>
      </c>
      <c r="G68">
        <v>59</v>
      </c>
      <c r="H68">
        <f t="shared" si="0"/>
        <v>4.4249999999999998</v>
      </c>
      <c r="I68" s="309">
        <f t="shared" si="1"/>
        <v>0.28465012363767006</v>
      </c>
      <c r="J68" s="310">
        <f t="shared" si="2"/>
        <v>4.4853958876238922</v>
      </c>
      <c r="K68" s="310">
        <f t="shared" si="31"/>
        <v>6.6676979438119464</v>
      </c>
      <c r="L68" s="310">
        <f t="shared" si="32"/>
        <v>2.1823020561880537</v>
      </c>
      <c r="M68" s="51">
        <f t="shared" si="3"/>
        <v>0</v>
      </c>
      <c r="N68" s="309">
        <f t="shared" si="46"/>
        <v>4.6105519939655206</v>
      </c>
      <c r="O68" s="309">
        <f t="shared" si="5"/>
        <v>0.1288579337539153</v>
      </c>
      <c r="P68">
        <f t="shared" si="6"/>
        <v>0.2</v>
      </c>
      <c r="Q68" s="309">
        <f t="shared" si="34"/>
        <v>0.32885793375391531</v>
      </c>
      <c r="R68" s="8">
        <f t="shared" si="39"/>
        <v>1.2948222615708473</v>
      </c>
      <c r="S68" s="8">
        <f t="shared" si="7"/>
        <v>1.676564689059444E-3</v>
      </c>
      <c r="T68" s="8">
        <f t="shared" si="40"/>
        <v>1.676564689059444E-3</v>
      </c>
      <c r="U68" s="309">
        <f t="shared" si="47"/>
        <v>2.459849928995705</v>
      </c>
      <c r="V68" s="311">
        <f t="shared" si="9"/>
        <v>1.210172334636035E-2</v>
      </c>
      <c r="W68" s="309">
        <f t="shared" si="41"/>
        <v>1.210172334636035E-2</v>
      </c>
      <c r="X68" s="309">
        <f t="shared" si="48"/>
        <v>2.459849928995705</v>
      </c>
      <c r="Y68" s="309">
        <f t="shared" si="11"/>
        <v>0.31464480700536906</v>
      </c>
      <c r="Z68" s="309">
        <f t="shared" si="12"/>
        <v>4.5509379513494305E-2</v>
      </c>
      <c r="AA68" s="309">
        <f t="shared" si="13"/>
        <v>6.9304499999999991E-2</v>
      </c>
      <c r="AB68" s="309">
        <f t="shared" si="14"/>
        <v>0</v>
      </c>
      <c r="AC68" s="309">
        <f t="shared" si="49"/>
        <v>0.4613974769372759</v>
      </c>
      <c r="AD68" s="309">
        <f t="shared" si="50"/>
        <v>3.8995292043885588</v>
      </c>
      <c r="AE68" s="309">
        <f t="shared" si="17"/>
        <v>0.15206328015879267</v>
      </c>
      <c r="AF68" s="309">
        <f t="shared" si="18"/>
        <v>5.9737499999999999E-2</v>
      </c>
      <c r="AG68" s="309">
        <f t="shared" si="51"/>
        <v>0.21708242259800381</v>
      </c>
      <c r="AH68" s="309">
        <f t="shared" si="52"/>
        <v>0</v>
      </c>
      <c r="AI68">
        <f t="shared" si="21"/>
        <v>0</v>
      </c>
      <c r="AJ68" s="310">
        <f t="shared" si="22"/>
        <v>0.22212374999999998</v>
      </c>
      <c r="AK68">
        <f t="shared" si="23"/>
        <v>3.6000000000000004E-2</v>
      </c>
      <c r="AL68" s="310">
        <f t="shared" si="24"/>
        <v>3.0374999999999999E-2</v>
      </c>
      <c r="AM68" s="310">
        <f t="shared" si="25"/>
        <v>5.5427027027027023E-2</v>
      </c>
      <c r="AN68" s="310">
        <f t="shared" si="42"/>
        <v>6.6375000000000003E-2</v>
      </c>
      <c r="AO68" s="310">
        <f t="shared" si="53"/>
        <v>1.3096148713246147</v>
      </c>
      <c r="AP68">
        <f t="shared" si="27"/>
        <v>22.125</v>
      </c>
      <c r="AQ68" s="9">
        <f t="shared" si="43"/>
        <v>0.94411621959586356</v>
      </c>
      <c r="AR68" s="51">
        <f t="shared" si="54"/>
        <v>25.376861231550173</v>
      </c>
      <c r="AS68" s="51">
        <f t="shared" si="44"/>
        <v>8.6832969039201515</v>
      </c>
      <c r="AT68" s="9"/>
      <c r="AU68">
        <f t="shared" si="45"/>
        <v>94.411621959586356</v>
      </c>
      <c r="BE68" s="540"/>
      <c r="BF68" s="21"/>
    </row>
    <row r="69" spans="1:58">
      <c r="A69" s="25" t="s">
        <v>753</v>
      </c>
      <c r="B69" s="312">
        <f>1-B68</f>
        <v>0.71048911506926771</v>
      </c>
      <c r="C69" s="23" t="s">
        <v>227</v>
      </c>
      <c r="G69">
        <v>60</v>
      </c>
      <c r="H69">
        <f t="shared" si="0"/>
        <v>4.5</v>
      </c>
      <c r="I69" s="309">
        <f t="shared" si="1"/>
        <v>0.28476784009881534</v>
      </c>
      <c r="J69" s="310">
        <f t="shared" si="2"/>
        <v>4.487250813678302</v>
      </c>
      <c r="K69" s="310">
        <f t="shared" si="31"/>
        <v>6.7436254068391506</v>
      </c>
      <c r="L69" s="310">
        <f t="shared" si="32"/>
        <v>2.256374593160849</v>
      </c>
      <c r="M69" s="51">
        <f t="shared" si="3"/>
        <v>0</v>
      </c>
      <c r="N69" s="309">
        <f t="shared" si="46"/>
        <v>4.6827290819995895</v>
      </c>
      <c r="O69" s="309">
        <f t="shared" si="5"/>
        <v>0.13296724561252937</v>
      </c>
      <c r="P69">
        <f t="shared" si="6"/>
        <v>0.2</v>
      </c>
      <c r="Q69" s="309">
        <f t="shared" si="34"/>
        <v>0.33296724561252938</v>
      </c>
      <c r="R69" s="8">
        <f t="shared" si="39"/>
        <v>1.2953577325992676</v>
      </c>
      <c r="S69" s="8">
        <f t="shared" si="7"/>
        <v>1.6779516554047155E-3</v>
      </c>
      <c r="T69" s="8">
        <f t="shared" si="40"/>
        <v>1.6779516554047155E-3</v>
      </c>
      <c r="U69" s="309">
        <f t="shared" si="47"/>
        <v>2.4988748329399866</v>
      </c>
      <c r="V69" s="311">
        <f t="shared" si="9"/>
        <v>1.2488750861401691E-2</v>
      </c>
      <c r="W69" s="309">
        <f t="shared" si="41"/>
        <v>1.2488750861401691E-2</v>
      </c>
      <c r="X69" s="309">
        <f t="shared" si="48"/>
        <v>2.4988748329399866</v>
      </c>
      <c r="Y69" s="309">
        <f t="shared" si="11"/>
        <v>0.32470752239644396</v>
      </c>
      <c r="Z69" s="309">
        <f t="shared" si="12"/>
        <v>4.6485601790831707E-2</v>
      </c>
      <c r="AA69" s="309">
        <f t="shared" si="13"/>
        <v>6.9304499999999991E-2</v>
      </c>
      <c r="AB69" s="309">
        <f t="shared" si="14"/>
        <v>0</v>
      </c>
      <c r="AC69" s="309">
        <f t="shared" si="49"/>
        <v>0.47438567561276412</v>
      </c>
      <c r="AD69" s="309">
        <f t="shared" si="50"/>
        <v>3.9602495154603421</v>
      </c>
      <c r="AE69" s="309">
        <f t="shared" si="17"/>
        <v>0.15683576224703874</v>
      </c>
      <c r="AF69" s="309">
        <f t="shared" si="18"/>
        <v>6.0749999999999998E-2</v>
      </c>
      <c r="AG69" s="309">
        <f t="shared" si="51"/>
        <v>0.22318633816204181</v>
      </c>
      <c r="AH69" s="309">
        <f t="shared" si="52"/>
        <v>0</v>
      </c>
      <c r="AI69">
        <f t="shared" si="21"/>
        <v>0</v>
      </c>
      <c r="AJ69" s="310">
        <f t="shared" si="22"/>
        <v>0.22207499999999997</v>
      </c>
      <c r="AK69">
        <f t="shared" si="23"/>
        <v>3.6000000000000004E-2</v>
      </c>
      <c r="AL69" s="310">
        <f t="shared" si="24"/>
        <v>3.0374999999999999E-2</v>
      </c>
      <c r="AM69" s="310">
        <f t="shared" si="25"/>
        <v>5.5427027027027023E-2</v>
      </c>
      <c r="AN69" s="310">
        <f t="shared" si="42"/>
        <v>6.6375000000000003E-2</v>
      </c>
      <c r="AO69" s="310">
        <f t="shared" si="53"/>
        <v>1.3331559619041418</v>
      </c>
      <c r="AP69">
        <f t="shared" si="27"/>
        <v>22.5</v>
      </c>
      <c r="AQ69" s="9">
        <f t="shared" si="43"/>
        <v>0.94406296992160377</v>
      </c>
      <c r="AR69" s="51">
        <f t="shared" si="54"/>
        <v>26.091212158702028</v>
      </c>
      <c r="AS69" s="51">
        <f t="shared" si="44"/>
        <v>8.9274535264816723</v>
      </c>
      <c r="AT69" s="9"/>
      <c r="AU69">
        <f t="shared" si="45"/>
        <v>94.406296992160378</v>
      </c>
      <c r="BE69" s="540"/>
      <c r="BF69" s="21"/>
    </row>
    <row r="70" spans="1:58">
      <c r="A70" s="34" t="s">
        <v>754</v>
      </c>
      <c r="B70" s="312">
        <f>Ipp</f>
        <v>0.71048911506926771</v>
      </c>
      <c r="C70" s="23" t="s">
        <v>13</v>
      </c>
      <c r="G70">
        <v>61</v>
      </c>
      <c r="H70">
        <f t="shared" si="0"/>
        <v>4.5750000000000002</v>
      </c>
      <c r="I70" s="309">
        <f t="shared" si="1"/>
        <v>0.28488559820528586</v>
      </c>
      <c r="J70" s="310">
        <f t="shared" si="2"/>
        <v>4.4891063959620805</v>
      </c>
      <c r="K70" s="310">
        <f t="shared" si="31"/>
        <v>6.8195531979810404</v>
      </c>
      <c r="L70" s="310">
        <f t="shared" si="32"/>
        <v>2.3304468020189599</v>
      </c>
      <c r="M70" s="51">
        <f t="shared" si="3"/>
        <v>0</v>
      </c>
      <c r="N70" s="309">
        <f t="shared" si="46"/>
        <v>4.7549936578495009</v>
      </c>
      <c r="O70" s="309">
        <f t="shared" si="5"/>
        <v>0.13714822808211466</v>
      </c>
      <c r="P70">
        <f t="shared" si="6"/>
        <v>0.2</v>
      </c>
      <c r="Q70" s="309">
        <f t="shared" si="34"/>
        <v>0.33714822808211464</v>
      </c>
      <c r="R70" s="8">
        <f t="shared" si="39"/>
        <v>1.2958933930647891</v>
      </c>
      <c r="S70" s="8">
        <f t="shared" si="7"/>
        <v>1.6793396861889721E-3</v>
      </c>
      <c r="T70" s="8">
        <f t="shared" si="40"/>
        <v>1.6793396861889721E-3</v>
      </c>
      <c r="U70" s="309">
        <f t="shared" si="47"/>
        <v>2.5379624337301245</v>
      </c>
      <c r="V70" s="311">
        <f t="shared" si="9"/>
        <v>1.2882506630050675E-2</v>
      </c>
      <c r="W70" s="309">
        <f t="shared" si="41"/>
        <v>1.2882506630050675E-2</v>
      </c>
      <c r="X70" s="309">
        <f t="shared" si="48"/>
        <v>2.5379624337301245</v>
      </c>
      <c r="Y70" s="309">
        <f t="shared" si="11"/>
        <v>0.33494517238131749</v>
      </c>
      <c r="Z70" s="309">
        <f t="shared" si="12"/>
        <v>4.746182225546168E-2</v>
      </c>
      <c r="AA70" s="309">
        <f t="shared" si="13"/>
        <v>6.9304499999999991E-2</v>
      </c>
      <c r="AB70" s="309">
        <f t="shared" si="14"/>
        <v>0</v>
      </c>
      <c r="AC70" s="309">
        <f t="shared" si="49"/>
        <v>0.48764505303361194</v>
      </c>
      <c r="AD70" s="309">
        <f t="shared" si="50"/>
        <v>4.0210336197504795</v>
      </c>
      <c r="AE70" s="309">
        <f t="shared" si="17"/>
        <v>0.16168711371163644</v>
      </c>
      <c r="AF70" s="309">
        <f t="shared" si="18"/>
        <v>6.1762500000000005E-2</v>
      </c>
      <c r="AG70" s="309">
        <f t="shared" si="51"/>
        <v>0.22938375733661034</v>
      </c>
      <c r="AH70" s="309">
        <f t="shared" si="52"/>
        <v>0</v>
      </c>
      <c r="AI70">
        <f t="shared" si="21"/>
        <v>0</v>
      </c>
      <c r="AJ70" s="310">
        <f t="shared" si="22"/>
        <v>0.22202624999999998</v>
      </c>
      <c r="AK70">
        <f t="shared" si="23"/>
        <v>3.6000000000000004E-2</v>
      </c>
      <c r="AL70" s="310">
        <f t="shared" si="24"/>
        <v>3.0374999999999999E-2</v>
      </c>
      <c r="AM70" s="310">
        <f t="shared" si="25"/>
        <v>5.5427027027027023E-2</v>
      </c>
      <c r="AN70" s="310">
        <f t="shared" si="42"/>
        <v>6.6375000000000003E-2</v>
      </c>
      <c r="AO70" s="310">
        <f t="shared" si="53"/>
        <v>1.3571401347685768</v>
      </c>
      <c r="AP70">
        <f t="shared" si="27"/>
        <v>22.875</v>
      </c>
      <c r="AQ70" s="9">
        <f t="shared" si="43"/>
        <v>0.94399421069617639</v>
      </c>
      <c r="AR70" s="51">
        <f t="shared" si="54"/>
        <v>26.820477916848656</v>
      </c>
      <c r="AS70" s="51">
        <f t="shared" si="44"/>
        <v>9.1753502934644136</v>
      </c>
      <c r="AT70" s="9"/>
      <c r="AU70">
        <f t="shared" si="45"/>
        <v>94.399421069617645</v>
      </c>
      <c r="BE70" s="540"/>
      <c r="BF70" s="21"/>
    </row>
    <row r="71" spans="1:58">
      <c r="A71" s="17" t="s">
        <v>473</v>
      </c>
      <c r="B71" s="18" t="s">
        <v>129</v>
      </c>
      <c r="C71" s="20" t="s">
        <v>532</v>
      </c>
      <c r="G71">
        <v>62</v>
      </c>
      <c r="H71">
        <f t="shared" si="0"/>
        <v>4.6500000000000004</v>
      </c>
      <c r="I71" s="309">
        <f t="shared" si="1"/>
        <v>0.28500339797918528</v>
      </c>
      <c r="J71" s="310">
        <f t="shared" si="2"/>
        <v>4.4909626348235259</v>
      </c>
      <c r="K71" s="310">
        <f t="shared" si="31"/>
        <v>6.8954813174117628</v>
      </c>
      <c r="L71" s="310">
        <f t="shared" si="32"/>
        <v>2.4045186825882374</v>
      </c>
      <c r="M71" s="51">
        <f t="shared" si="3"/>
        <v>0</v>
      </c>
      <c r="N71" s="309">
        <f t="shared" si="46"/>
        <v>4.8273417925688413</v>
      </c>
      <c r="O71" s="309">
        <f t="shared" si="5"/>
        <v>0.14140102085644213</v>
      </c>
      <c r="P71">
        <f t="shared" si="6"/>
        <v>0.2</v>
      </c>
      <c r="Q71" s="309">
        <f t="shared" si="34"/>
        <v>0.34140102085644214</v>
      </c>
      <c r="R71" s="8">
        <f t="shared" si="39"/>
        <v>1.2964292430679569</v>
      </c>
      <c r="S71" s="8">
        <f t="shared" si="7"/>
        <v>1.6807287822817559E-3</v>
      </c>
      <c r="T71" s="8">
        <f t="shared" si="40"/>
        <v>1.6807287822817559E-3</v>
      </c>
      <c r="U71" s="309">
        <f t="shared" si="47"/>
        <v>2.5771106663930157</v>
      </c>
      <c r="V71" s="311">
        <f t="shared" si="9"/>
        <v>1.3282998773673307E-2</v>
      </c>
      <c r="W71" s="309">
        <f t="shared" si="41"/>
        <v>1.3282998773673307E-2</v>
      </c>
      <c r="X71" s="309">
        <f t="shared" si="48"/>
        <v>2.5771106663930157</v>
      </c>
      <c r="Y71" s="309">
        <f t="shared" si="11"/>
        <v>0.34535796811550595</v>
      </c>
      <c r="Z71" s="309">
        <f t="shared" si="12"/>
        <v>4.8438040906422092E-2</v>
      </c>
      <c r="AA71" s="309">
        <f t="shared" si="13"/>
        <v>6.9304499999999991E-2</v>
      </c>
      <c r="AB71" s="309">
        <f t="shared" si="14"/>
        <v>0</v>
      </c>
      <c r="AC71" s="309">
        <f t="shared" si="49"/>
        <v>0.50117950265554501</v>
      </c>
      <c r="AD71" s="309">
        <f t="shared" si="50"/>
        <v>4.0818781700885074</v>
      </c>
      <c r="AE71" s="309">
        <f t="shared" si="17"/>
        <v>0.16661729395445099</v>
      </c>
      <c r="AF71" s="309">
        <f t="shared" si="18"/>
        <v>6.2774999999999997E-2</v>
      </c>
      <c r="AG71" s="309">
        <f t="shared" si="51"/>
        <v>0.23567510158296195</v>
      </c>
      <c r="AH71" s="309">
        <f t="shared" si="52"/>
        <v>0</v>
      </c>
      <c r="AI71">
        <f t="shared" si="21"/>
        <v>0</v>
      </c>
      <c r="AJ71" s="310">
        <f t="shared" si="22"/>
        <v>0.22197749999999997</v>
      </c>
      <c r="AK71">
        <f t="shared" si="23"/>
        <v>3.6000000000000004E-2</v>
      </c>
      <c r="AL71" s="310">
        <f t="shared" si="24"/>
        <v>3.0374999999999999E-2</v>
      </c>
      <c r="AM71" s="310">
        <f t="shared" si="25"/>
        <v>5.5427027027027023E-2</v>
      </c>
      <c r="AN71" s="310">
        <f t="shared" si="42"/>
        <v>6.6375000000000003E-2</v>
      </c>
      <c r="AO71" s="310">
        <f t="shared" si="53"/>
        <v>1.3815718526509042</v>
      </c>
      <c r="AP71">
        <f t="shared" si="27"/>
        <v>23.25</v>
      </c>
      <c r="AQ71" s="9">
        <f t="shared" si="43"/>
        <v>0.94391052828801847</v>
      </c>
      <c r="AR71" s="51">
        <f t="shared" si="54"/>
        <v>27.564872646054976</v>
      </c>
      <c r="AS71" s="51">
        <f t="shared" si="44"/>
        <v>9.4270040633184777</v>
      </c>
      <c r="AT71" s="9"/>
      <c r="AU71">
        <f t="shared" si="45"/>
        <v>94.391052828801847</v>
      </c>
      <c r="BE71" s="540"/>
      <c r="BF71" s="21"/>
    </row>
    <row r="72" spans="1:58">
      <c r="A72" s="33" t="s">
        <v>529</v>
      </c>
      <c r="B72" s="312">
        <f>(QgdTop+QgsTop/2)*(RdsonDRT+RGateTop)/(Vdd-VspTop)*1000000000</f>
        <v>4.1353846153846154</v>
      </c>
      <c r="C72" s="23" t="s">
        <v>220</v>
      </c>
      <c r="G72">
        <v>63</v>
      </c>
      <c r="H72">
        <f t="shared" si="0"/>
        <v>4.7249999999999996</v>
      </c>
      <c r="I72" s="309">
        <f t="shared" si="1"/>
        <v>0.28512123944263279</v>
      </c>
      <c r="J72" s="310">
        <f t="shared" si="2"/>
        <v>4.4928195306111842</v>
      </c>
      <c r="K72" s="310">
        <f t="shared" si="31"/>
        <v>6.9714097653055918</v>
      </c>
      <c r="L72" s="310">
        <f t="shared" si="32"/>
        <v>2.4785902346944075</v>
      </c>
      <c r="M72" s="51">
        <f t="shared" si="3"/>
        <v>0</v>
      </c>
      <c r="N72" s="309">
        <f t="shared" si="46"/>
        <v>4.8997697848524924</v>
      </c>
      <c r="O72" s="309">
        <f t="shared" si="5"/>
        <v>0.14572576616987917</v>
      </c>
      <c r="P72">
        <f t="shared" si="6"/>
        <v>0.2</v>
      </c>
      <c r="Q72" s="309">
        <f t="shared" si="34"/>
        <v>0.34572576616987916</v>
      </c>
      <c r="R72" s="8">
        <f t="shared" si="39"/>
        <v>1.2969652827093878</v>
      </c>
      <c r="S72" s="8">
        <f t="shared" si="7"/>
        <v>1.6821189445534424E-3</v>
      </c>
      <c r="T72" s="8">
        <f t="shared" si="40"/>
        <v>1.6821189445534424E-3</v>
      </c>
      <c r="U72" s="309">
        <f t="shared" si="47"/>
        <v>2.6163175857858767</v>
      </c>
      <c r="V72" s="311">
        <f t="shared" si="9"/>
        <v>1.3690235419384876E-2</v>
      </c>
      <c r="W72" s="309">
        <f t="shared" si="41"/>
        <v>1.3690235419384876E-2</v>
      </c>
      <c r="X72" s="309">
        <f t="shared" si="48"/>
        <v>2.6163175857858767</v>
      </c>
      <c r="Y72" s="309">
        <f t="shared" si="11"/>
        <v>0.35594612090400679</v>
      </c>
      <c r="Z72" s="309">
        <f t="shared" si="12"/>
        <v>4.9414257742750184E-2</v>
      </c>
      <c r="AA72" s="309">
        <f t="shared" si="13"/>
        <v>6.9304499999999991E-2</v>
      </c>
      <c r="AB72" s="309">
        <f t="shared" si="14"/>
        <v>0</v>
      </c>
      <c r="AC72" s="309">
        <f t="shared" si="49"/>
        <v>0.51499302819614245</v>
      </c>
      <c r="AD72" s="309">
        <f t="shared" si="50"/>
        <v>4.1427800128489807</v>
      </c>
      <c r="AE72" s="309">
        <f t="shared" si="17"/>
        <v>0.17162626234861</v>
      </c>
      <c r="AF72" s="309">
        <f t="shared" si="18"/>
        <v>6.3787499999999997E-2</v>
      </c>
      <c r="AG72" s="309">
        <f t="shared" si="51"/>
        <v>0.24206080082981521</v>
      </c>
      <c r="AH72" s="309">
        <f t="shared" si="52"/>
        <v>0</v>
      </c>
      <c r="AI72">
        <f t="shared" si="21"/>
        <v>0</v>
      </c>
      <c r="AJ72" s="310">
        <f t="shared" si="22"/>
        <v>0.22192874999999998</v>
      </c>
      <c r="AK72">
        <f t="shared" si="23"/>
        <v>3.6000000000000004E-2</v>
      </c>
      <c r="AL72" s="310">
        <f t="shared" si="24"/>
        <v>3.0374999999999999E-2</v>
      </c>
      <c r="AM72" s="310">
        <f t="shared" si="25"/>
        <v>5.5427027027027023E-2</v>
      </c>
      <c r="AN72" s="310">
        <f t="shared" si="42"/>
        <v>6.6375000000000003E-2</v>
      </c>
      <c r="AO72" s="310">
        <f t="shared" si="53"/>
        <v>1.4064556995597752</v>
      </c>
      <c r="AP72">
        <f t="shared" si="27"/>
        <v>23.625</v>
      </c>
      <c r="AQ72" s="9">
        <f t="shared" si="43"/>
        <v>0.94381246874169966</v>
      </c>
      <c r="AR72" s="51">
        <f t="shared" si="54"/>
        <v>28.324616550787834</v>
      </c>
      <c r="AS72" s="51">
        <f t="shared" si="44"/>
        <v>9.6824320331926081</v>
      </c>
      <c r="AT72" s="9"/>
      <c r="AU72">
        <f t="shared" si="45"/>
        <v>94.38124687416996</v>
      </c>
      <c r="BE72" s="540"/>
      <c r="BF72" s="21"/>
    </row>
    <row r="73" spans="1:58">
      <c r="A73" s="34" t="s">
        <v>530</v>
      </c>
      <c r="B73" s="312">
        <f>(QgdTop+QgsTop/2)*(RdsonDRT+RGateTop)/(VspTop)*1000000000</f>
        <v>1.6800000000000002</v>
      </c>
      <c r="C73" s="23" t="s">
        <v>220</v>
      </c>
      <c r="G73">
        <v>64</v>
      </c>
      <c r="H73">
        <f t="shared" ref="H73:H136" si="55">Iout*(G73/200)</f>
        <v>4.8</v>
      </c>
      <c r="I73" s="309">
        <f t="shared" si="1"/>
        <v>0.28523912261776346</v>
      </c>
      <c r="J73" s="310">
        <f t="shared" ref="J73:J136" si="56">(Vin-Vout)*I73/(Fsw*Lout2)</f>
        <v>4.4946770836738485</v>
      </c>
      <c r="K73" s="310">
        <f t="shared" si="31"/>
        <v>7.0473385418369237</v>
      </c>
      <c r="L73" s="310">
        <f t="shared" si="32"/>
        <v>2.5526614581630755</v>
      </c>
      <c r="M73" s="51">
        <f t="shared" ref="M73:M136" si="57">IF(MIN(Vin, -L73/(CossTop+CossBot)*0.00000002)&lt;0, 0, MIN(Vin, -L73/(CossTop+CossBot)*0.00000002))</f>
        <v>0</v>
      </c>
      <c r="N73" s="309">
        <f t="shared" ref="N73:N109" si="58">SQRT(H73^2+(J73^2)/12)</f>
        <v>4.9722741450844437</v>
      </c>
      <c r="O73" s="309">
        <f t="shared" si="5"/>
        <v>0.15012260880944128</v>
      </c>
      <c r="P73">
        <f t="shared" ref="P73:P136" si="59">Core_Loss</f>
        <v>0.2</v>
      </c>
      <c r="Q73" s="309">
        <f t="shared" si="34"/>
        <v>0.35012260880944129</v>
      </c>
      <c r="R73" s="8">
        <f t="shared" si="39"/>
        <v>1.2975015120897693</v>
      </c>
      <c r="S73" s="8">
        <f t="shared" si="7"/>
        <v>1.6835101738752376E-3</v>
      </c>
      <c r="T73" s="8">
        <f t="shared" si="40"/>
        <v>1.6835101738752376E-3</v>
      </c>
      <c r="U73" s="309">
        <f t="shared" ref="U73:U109" si="60">SQRT(I73)*SQRT(H73^2+(J73^2)/12)</f>
        <v>2.6555813582015371</v>
      </c>
      <c r="V73" s="311">
        <f t="shared" si="9"/>
        <v>1.410422470005504E-2</v>
      </c>
      <c r="W73" s="309">
        <f t="shared" si="41"/>
        <v>1.410422470005504E-2</v>
      </c>
      <c r="X73" s="309">
        <f t="shared" ref="X73:X109" si="61">SQRT(I73)*SQRT(H73^2+(J73^2)/12)</f>
        <v>2.6555813582015371</v>
      </c>
      <c r="Y73" s="309">
        <f t="shared" si="11"/>
        <v>0.36670984220143105</v>
      </c>
      <c r="Z73" s="309">
        <f t="shared" ref="Z73:Z136" si="62">IF(L73&lt;0, (Vin*K73*Tf/2)*Fsw, (Vin*L73*Tr/2+Vin*K73*Tf/2)*Fsw)</f>
        <v>5.0390472763482463E-2</v>
      </c>
      <c r="AA73" s="309">
        <f t="shared" ref="AA73:AA136" si="63">(0.5*CossTop*(Vin-M73)^2-0.5*CossBot*(Vin-M73)^2+(QossBot*(Vin-M73)/Vin)*Vin)*Fsw</f>
        <v>6.9304499999999991E-2</v>
      </c>
      <c r="AB73" s="309">
        <f t="shared" ref="AB73:AB136" si="64">IF(L73&gt;0,0,-L73*VsdTop*Deadtime*Fsw)</f>
        <v>0</v>
      </c>
      <c r="AC73" s="309">
        <f t="shared" ref="AC73:AC104" si="65">(AB73+AA73+Z73+Y73*(1+RdsonTopTc*Ta-RdsonTopTc*25))/(1-Y73*RdsonTopTc*ThetaJaTop)</f>
        <v>0.52908974683044263</v>
      </c>
      <c r="AD73" s="309">
        <f t="shared" ref="AD73:AD109" si="66">SQRT(1-I73)*SQRT(H73^2+(J73^2)/12)</f>
        <v>4.2037361743867461</v>
      </c>
      <c r="AE73" s="309">
        <f t="shared" si="17"/>
        <v>0.17671397823847718</v>
      </c>
      <c r="AF73" s="309">
        <f t="shared" ref="AF73:AF136" si="67">IF(L73&lt;0, Deadtime*Fsw*IF(VfdSky&gt;0,0,VsdBot)*K73, Deadtime*Fsw*IF(VfdSky&gt;0,0,VsdBot)*(K73+L73))</f>
        <v>6.4799999999999996E-2</v>
      </c>
      <c r="AG73" s="309">
        <f t="shared" ref="AG73:AG104" si="68">(AF73+AE73*(1+RdsonBotTc*Ta-RdsonBotTc*25))/(1-AE73*RdsonBotTc*ThetaJaBot)</f>
        <v>0.24854129355703736</v>
      </c>
      <c r="AH73" s="309">
        <f t="shared" ref="AH73:AH109" si="69">IF(RDSON_sense=1, 0, AD73^2*Rshunt)</f>
        <v>0</v>
      </c>
      <c r="AI73">
        <f t="shared" ref="AI73:AI136" si="70">2*Deadtime*Fsw*IF(VfdSky&gt;0,VfdSky,0)*H73</f>
        <v>0</v>
      </c>
      <c r="AJ73" s="310">
        <f t="shared" ref="AJ73:AJ136" si="71">IF(QrrSky&gt;0,QrrSky,QrrBot)*Fsw*(Vin-H73*RdsonTop)</f>
        <v>0.22187999999999997</v>
      </c>
      <c r="AK73">
        <f t="shared" si="23"/>
        <v>3.6000000000000004E-2</v>
      </c>
      <c r="AL73" s="310">
        <f t="shared" ref="AL73:AL136" si="72">IF(Ext_VCC=1, Vdd*(QgTop+QgBot)*Fsw, Vin*(QgTop+QgBot)*Fsw)</f>
        <v>3.0374999999999999E-2</v>
      </c>
      <c r="AM73" s="310">
        <f t="shared" si="25"/>
        <v>5.5427027027027023E-2</v>
      </c>
      <c r="AN73" s="310">
        <f t="shared" si="42"/>
        <v>6.6375000000000003E-2</v>
      </c>
      <c r="AO73" s="310">
        <f t="shared" ref="AO73:AO104" si="73">SUM(Q73,T73,W73,AC73,AJ73,AI73,AG73,AN73, AH73)</f>
        <v>1.4317963840708516</v>
      </c>
      <c r="AP73">
        <f t="shared" ref="AP73:AP136" si="74">Vout*H73</f>
        <v>24</v>
      </c>
      <c r="AQ73" s="9">
        <f t="shared" si="43"/>
        <v>0.94370054075426413</v>
      </c>
      <c r="AR73" s="51">
        <f t="shared" ref="AR73:AR109" si="75">ThetaJaTop*AC73</f>
        <v>29.099936075674346</v>
      </c>
      <c r="AS73" s="51">
        <f t="shared" si="44"/>
        <v>9.9416517422814934</v>
      </c>
      <c r="AT73" s="9"/>
      <c r="AU73">
        <f t="shared" si="45"/>
        <v>94.37005407542641</v>
      </c>
      <c r="BE73" s="540"/>
      <c r="BF73" s="21"/>
    </row>
    <row r="74" spans="1:58">
      <c r="A74" s="17" t="s">
        <v>540</v>
      </c>
      <c r="B74" s="18" t="s">
        <v>129</v>
      </c>
      <c r="C74" s="20" t="s">
        <v>532</v>
      </c>
      <c r="G74">
        <v>65</v>
      </c>
      <c r="H74">
        <f t="shared" si="55"/>
        <v>4.875</v>
      </c>
      <c r="I74" s="309">
        <f t="shared" ref="I74:I109" si="76">(Vout+Rdcr*H74+RdsonBot*H74)/(Vin-RdsonTop*H74+RdsonBot*H74)</f>
        <v>0.28535704752672769</v>
      </c>
      <c r="J74" s="310">
        <f t="shared" si="56"/>
        <v>4.4965352943605579</v>
      </c>
      <c r="K74" s="310">
        <f t="shared" ref="K74:K137" si="77">H74+J74/2</f>
        <v>7.1232676471802794</v>
      </c>
      <c r="L74" s="310">
        <f t="shared" ref="L74:L109" si="78">H74-J74/2</f>
        <v>2.6267323528197211</v>
      </c>
      <c r="M74" s="51">
        <f t="shared" si="57"/>
        <v>0</v>
      </c>
      <c r="N74" s="309">
        <f t="shared" si="58"/>
        <v>5.0448515806829421</v>
      </c>
      <c r="O74" s="309">
        <f t="shared" ref="O74:O109" si="79">(N74^2*Rdcr*(1+Ltc*Ta-Ltc*25))/(1-N74^2*Rdcr*Ltc*ThetaCa)</f>
        <v>0.15459169612707785</v>
      </c>
      <c r="P74">
        <f t="shared" si="59"/>
        <v>0.2</v>
      </c>
      <c r="Q74" s="309">
        <f t="shared" ref="Q74:Q137" si="80">O74+P74</f>
        <v>0.35459169612707786</v>
      </c>
      <c r="R74" s="8">
        <f t="shared" si="39"/>
        <v>1.2980379313098607</v>
      </c>
      <c r="S74" s="8">
        <f t="shared" ref="S74:S109" si="81">RCoutEsr*R74^2</f>
        <v>1.6849024711191828E-3</v>
      </c>
      <c r="T74" s="8">
        <f t="shared" si="40"/>
        <v>1.6849024711191828E-3</v>
      </c>
      <c r="U74" s="309">
        <f t="shared" si="60"/>
        <v>2.6949002536562361</v>
      </c>
      <c r="V74" s="311">
        <f t="shared" ref="V74:V109" si="82">RCinEsr*U74^2</f>
        <v>1.4524974754312891E-2</v>
      </c>
      <c r="W74" s="309">
        <f t="shared" si="41"/>
        <v>1.4524974754312891E-2</v>
      </c>
      <c r="X74" s="309">
        <f t="shared" si="61"/>
        <v>2.6949002536562361</v>
      </c>
      <c r="Y74" s="309">
        <f t="shared" ref="Y74:Y109" si="83">RdsonTop*X74^2</f>
        <v>0.37764934361213515</v>
      </c>
      <c r="Z74" s="309">
        <f t="shared" si="62"/>
        <v>5.1366685967654806E-2</v>
      </c>
      <c r="AA74" s="309">
        <f t="shared" si="63"/>
        <v>6.9304499999999991E-2</v>
      </c>
      <c r="AB74" s="309">
        <f t="shared" si="64"/>
        <v>0</v>
      </c>
      <c r="AC74" s="309">
        <f t="shared" si="65"/>
        <v>0.54347389251073219</v>
      </c>
      <c r="AD74" s="309">
        <f t="shared" si="66"/>
        <v>4.2647438485755194</v>
      </c>
      <c r="AE74" s="309">
        <f t="shared" ref="AE74:AE109" si="84">RdsonBot*AD74^2</f>
        <v>0.18188040093962735</v>
      </c>
      <c r="AF74" s="309">
        <f t="shared" si="67"/>
        <v>6.5812499999999996E-2</v>
      </c>
      <c r="AG74" s="309">
        <f t="shared" si="68"/>
        <v>0.25511702688133997</v>
      </c>
      <c r="AH74" s="309">
        <f t="shared" si="69"/>
        <v>0</v>
      </c>
      <c r="AI74">
        <f t="shared" si="70"/>
        <v>0</v>
      </c>
      <c r="AJ74" s="310">
        <f t="shared" si="71"/>
        <v>0.22183125000000001</v>
      </c>
      <c r="AK74">
        <f t="shared" ref="AK74:AK137" si="85">Iq*Vin</f>
        <v>3.6000000000000004E-2</v>
      </c>
      <c r="AL74" s="310">
        <f t="shared" si="72"/>
        <v>3.0374999999999999E-2</v>
      </c>
      <c r="AM74" s="310">
        <f t="shared" ref="AM74:AM137" si="86">(Vin-Vdd)*Fsw*(QgTop+QgBot)+(RdsonDRT+RdsonDRT2)*Fsw*QgTop*Vdd/(RdsonDRT+2*RGateTop+RdsonDRT2)+(RdsonDRB+RdsonDRB2)*Fsw*QgBot*Vdd/(RdsonDRB+2*RGateBot+RdsonDRB2)</f>
        <v>5.5427027027027023E-2</v>
      </c>
      <c r="AN74" s="310">
        <f t="shared" si="42"/>
        <v>6.6375000000000003E-2</v>
      </c>
      <c r="AO74" s="310">
        <f t="shared" si="73"/>
        <v>1.457598742744582</v>
      </c>
      <c r="AP74">
        <f t="shared" si="74"/>
        <v>24.375</v>
      </c>
      <c r="AQ74" s="9">
        <f t="shared" si="43"/>
        <v>0.94357521837968517</v>
      </c>
      <c r="AR74" s="51">
        <f t="shared" si="75"/>
        <v>29.891064088090271</v>
      </c>
      <c r="AS74" s="51">
        <f t="shared" si="44"/>
        <v>10.2046810752536</v>
      </c>
      <c r="AT74" s="9"/>
      <c r="AU74">
        <f t="shared" si="45"/>
        <v>94.35752183796852</v>
      </c>
      <c r="BE74" s="540"/>
      <c r="BF74" s="21"/>
    </row>
    <row r="75" spans="1:58">
      <c r="A75" s="35" t="s">
        <v>533</v>
      </c>
      <c r="B75" s="542">
        <f>AN9</f>
        <v>6.6375000000000003E-2</v>
      </c>
      <c r="C75" s="543" t="s">
        <v>30</v>
      </c>
      <c r="G75">
        <v>66</v>
      </c>
      <c r="H75">
        <f t="shared" si="55"/>
        <v>4.95</v>
      </c>
      <c r="I75" s="309">
        <f t="shared" si="76"/>
        <v>0.28547501419169186</v>
      </c>
      <c r="J75" s="310">
        <f t="shared" si="56"/>
        <v>4.498394163020599</v>
      </c>
      <c r="K75" s="310">
        <f t="shared" si="77"/>
        <v>7.1991970815102997</v>
      </c>
      <c r="L75" s="310">
        <f t="shared" si="78"/>
        <v>2.7008029184897007</v>
      </c>
      <c r="M75" s="51">
        <f t="shared" si="57"/>
        <v>0</v>
      </c>
      <c r="N75" s="309">
        <f t="shared" si="58"/>
        <v>5.1174989826240465</v>
      </c>
      <c r="O75" s="309">
        <f t="shared" si="79"/>
        <v>0.15913317805219387</v>
      </c>
      <c r="P75">
        <f t="shared" si="59"/>
        <v>0.2</v>
      </c>
      <c r="Q75" s="309">
        <f t="shared" si="80"/>
        <v>0.35913317805219391</v>
      </c>
      <c r="R75" s="8">
        <f t="shared" ref="R75:R109" si="87">J75/(2*SQRT(3))</f>
        <v>1.298574540470492</v>
      </c>
      <c r="S75" s="8">
        <f t="shared" si="81"/>
        <v>1.6862958371581496E-3</v>
      </c>
      <c r="T75" s="8">
        <f t="shared" ref="T75:T109" si="88">S75</f>
        <v>1.6862958371581496E-3</v>
      </c>
      <c r="U75" s="309">
        <f t="shared" si="60"/>
        <v>2.7342726387973899</v>
      </c>
      <c r="V75" s="311">
        <f t="shared" si="82"/>
        <v>1.4952493726552083E-2</v>
      </c>
      <c r="W75" s="309">
        <f t="shared" ref="W75:W109" si="89">V75</f>
        <v>1.4952493726552083E-2</v>
      </c>
      <c r="X75" s="309">
        <f t="shared" si="61"/>
        <v>2.7342726387973899</v>
      </c>
      <c r="Y75" s="309">
        <f t="shared" si="83"/>
        <v>0.38876483689035413</v>
      </c>
      <c r="Z75" s="309">
        <f t="shared" si="62"/>
        <v>5.234289735430233E-2</v>
      </c>
      <c r="AA75" s="309">
        <f t="shared" si="63"/>
        <v>6.9304499999999991E-2</v>
      </c>
      <c r="AB75" s="309">
        <f t="shared" si="64"/>
        <v>0</v>
      </c>
      <c r="AC75" s="309">
        <f t="shared" si="65"/>
        <v>0.55814981941588804</v>
      </c>
      <c r="AD75" s="309">
        <f t="shared" si="66"/>
        <v>4.3258003853486011</v>
      </c>
      <c r="AE75" s="309">
        <f t="shared" si="84"/>
        <v>0.18712548973882107</v>
      </c>
      <c r="AF75" s="309">
        <f t="shared" si="67"/>
        <v>6.6824999999999996E-2</v>
      </c>
      <c r="AG75" s="309">
        <f t="shared" si="68"/>
        <v>0.26178845664401817</v>
      </c>
      <c r="AH75" s="309">
        <f t="shared" si="69"/>
        <v>0</v>
      </c>
      <c r="AI75">
        <f t="shared" si="70"/>
        <v>0</v>
      </c>
      <c r="AJ75" s="310">
        <f t="shared" si="71"/>
        <v>0.22178249999999997</v>
      </c>
      <c r="AK75">
        <f t="shared" si="85"/>
        <v>3.6000000000000004E-2</v>
      </c>
      <c r="AL75" s="310">
        <f t="shared" si="72"/>
        <v>3.0374999999999999E-2</v>
      </c>
      <c r="AM75" s="310">
        <f t="shared" si="86"/>
        <v>5.5427027027027023E-2</v>
      </c>
      <c r="AN75" s="310">
        <f t="shared" ref="AN75:AN109" si="90">SUM(AK75:AL75)</f>
        <v>6.6375000000000003E-2</v>
      </c>
      <c r="AO75" s="310">
        <f t="shared" si="73"/>
        <v>1.4838677436758105</v>
      </c>
      <c r="AP75">
        <f t="shared" si="74"/>
        <v>24.75</v>
      </c>
      <c r="AQ75" s="9">
        <f t="shared" ref="AQ75:AQ109" si="91">AP75/(AP75+AO75)</f>
        <v>0.94343694348945084</v>
      </c>
      <c r="AR75" s="51">
        <f t="shared" si="75"/>
        <v>30.698240067873844</v>
      </c>
      <c r="AS75" s="51">
        <f t="shared" ref="AS75:AS109" si="92">AG75*ThetaJaBot</f>
        <v>10.471538265760728</v>
      </c>
      <c r="AT75" s="9"/>
      <c r="AU75">
        <f t="shared" ref="AU75:AU109" si="93">AQ75*100</f>
        <v>94.343694348945078</v>
      </c>
      <c r="BE75" s="540"/>
      <c r="BF75" s="21"/>
    </row>
    <row r="76" spans="1:58">
      <c r="A76" s="35" t="s">
        <v>534</v>
      </c>
      <c r="B76" s="96">
        <f>B75*B62</f>
        <v>1.3275000000000001</v>
      </c>
      <c r="C76" s="318" t="s">
        <v>124</v>
      </c>
      <c r="G76">
        <v>67</v>
      </c>
      <c r="H76">
        <f t="shared" si="55"/>
        <v>5.0250000000000004</v>
      </c>
      <c r="I76" s="309">
        <f t="shared" si="76"/>
        <v>0.28559302263483793</v>
      </c>
      <c r="J76" s="310">
        <f t="shared" si="56"/>
        <v>4.5002536900035066</v>
      </c>
      <c r="K76" s="310">
        <f t="shared" si="77"/>
        <v>7.2751268450017541</v>
      </c>
      <c r="L76" s="310">
        <f t="shared" si="78"/>
        <v>2.774873154998247</v>
      </c>
      <c r="M76" s="51">
        <f t="shared" si="57"/>
        <v>0</v>
      </c>
      <c r="N76" s="309">
        <f t="shared" si="58"/>
        <v>5.1902134130366786</v>
      </c>
      <c r="O76" s="309">
        <f t="shared" si="79"/>
        <v>0.1637472071044094</v>
      </c>
      <c r="P76">
        <f t="shared" si="59"/>
        <v>0.2</v>
      </c>
      <c r="Q76" s="309">
        <f t="shared" si="80"/>
        <v>0.36374720710440944</v>
      </c>
      <c r="R76" s="8">
        <f t="shared" si="87"/>
        <v>1.2991113396725658</v>
      </c>
      <c r="S76" s="8">
        <f t="shared" si="81"/>
        <v>1.6876902728658486E-3</v>
      </c>
      <c r="T76" s="8">
        <f t="shared" si="88"/>
        <v>1.6876902728658486E-3</v>
      </c>
      <c r="U76" s="309">
        <f t="shared" si="60"/>
        <v>2.7736969703750942</v>
      </c>
      <c r="V76" s="311">
        <f t="shared" si="82"/>
        <v>1.5386789766935954E-2</v>
      </c>
      <c r="W76" s="309">
        <f t="shared" si="89"/>
        <v>1.5386789766935954E-2</v>
      </c>
      <c r="X76" s="309">
        <f t="shared" si="61"/>
        <v>2.7736969703750942</v>
      </c>
      <c r="Y76" s="309">
        <f t="shared" si="83"/>
        <v>0.40005653394033475</v>
      </c>
      <c r="Z76" s="309">
        <f t="shared" si="62"/>
        <v>5.3319106922459551E-2</v>
      </c>
      <c r="AA76" s="309">
        <f t="shared" si="63"/>
        <v>6.9304499999999991E-2</v>
      </c>
      <c r="AB76" s="309">
        <f t="shared" si="64"/>
        <v>0</v>
      </c>
      <c r="AC76" s="309">
        <f t="shared" si="65"/>
        <v>0.57312200553591308</v>
      </c>
      <c r="AD76" s="309">
        <f t="shared" si="66"/>
        <v>4.3869032801508023</v>
      </c>
      <c r="AE76" s="309">
        <f t="shared" si="84"/>
        <v>0.19244920389397868</v>
      </c>
      <c r="AF76" s="309">
        <f t="shared" si="67"/>
        <v>6.7837500000000009E-2</v>
      </c>
      <c r="AG76" s="309">
        <f t="shared" si="68"/>
        <v>0.2685560475007685</v>
      </c>
      <c r="AH76" s="309">
        <f t="shared" si="69"/>
        <v>0</v>
      </c>
      <c r="AI76">
        <f t="shared" si="70"/>
        <v>0</v>
      </c>
      <c r="AJ76" s="310">
        <f t="shared" si="71"/>
        <v>0.22173375000000001</v>
      </c>
      <c r="AK76">
        <f t="shared" si="85"/>
        <v>3.6000000000000004E-2</v>
      </c>
      <c r="AL76" s="310">
        <f t="shared" si="72"/>
        <v>3.0374999999999999E-2</v>
      </c>
      <c r="AM76" s="310">
        <f t="shared" si="86"/>
        <v>5.5427027027027023E-2</v>
      </c>
      <c r="AN76" s="310">
        <f t="shared" si="90"/>
        <v>6.6375000000000003E-2</v>
      </c>
      <c r="AO76" s="310">
        <f t="shared" si="73"/>
        <v>1.5106084901808929</v>
      </c>
      <c r="AP76">
        <f t="shared" si="74"/>
        <v>25.125</v>
      </c>
      <c r="AQ76" s="9">
        <f t="shared" si="91"/>
        <v>0.94328612801401657</v>
      </c>
      <c r="AR76" s="51">
        <f t="shared" si="75"/>
        <v>31.521710304475221</v>
      </c>
      <c r="AS76" s="51">
        <f t="shared" si="92"/>
        <v>10.74224190003074</v>
      </c>
      <c r="AT76" s="9"/>
      <c r="AU76">
        <f t="shared" si="93"/>
        <v>94.328612801401661</v>
      </c>
      <c r="BE76" s="540"/>
      <c r="BF76" s="21"/>
    </row>
    <row r="77" spans="1:58">
      <c r="A77" s="35" t="s">
        <v>535</v>
      </c>
      <c r="B77" s="96">
        <f>(QgBot+QgTop)*Fsw+Iq</f>
        <v>6.0499999999999998E-3</v>
      </c>
      <c r="C77" s="23" t="s">
        <v>13</v>
      </c>
      <c r="G77">
        <v>68</v>
      </c>
      <c r="H77">
        <f t="shared" si="55"/>
        <v>5.1000000000000005</v>
      </c>
      <c r="I77" s="309">
        <f t="shared" si="76"/>
        <v>0.28571107287836367</v>
      </c>
      <c r="J77" s="310">
        <f t="shared" si="56"/>
        <v>4.502113875659064</v>
      </c>
      <c r="K77" s="310">
        <f t="shared" si="77"/>
        <v>7.351056937829533</v>
      </c>
      <c r="L77" s="310">
        <f t="shared" si="78"/>
        <v>2.8489430621704686</v>
      </c>
      <c r="M77" s="51">
        <f t="shared" si="57"/>
        <v>0</v>
      </c>
      <c r="N77" s="309">
        <f t="shared" si="58"/>
        <v>5.2629920937729739</v>
      </c>
      <c r="O77" s="309">
        <f t="shared" si="79"/>
        <v>0.16843393840655912</v>
      </c>
      <c r="P77">
        <f t="shared" si="59"/>
        <v>0.2</v>
      </c>
      <c r="Q77" s="309">
        <f t="shared" si="80"/>
        <v>0.36843393840655914</v>
      </c>
      <c r="R77" s="8">
        <f t="shared" si="87"/>
        <v>1.2996483290170551</v>
      </c>
      <c r="S77" s="8">
        <f t="shared" si="81"/>
        <v>1.6890857791168235E-3</v>
      </c>
      <c r="T77" s="8">
        <f t="shared" si="88"/>
        <v>1.6890857791168235E-3</v>
      </c>
      <c r="U77" s="309">
        <f t="shared" si="60"/>
        <v>2.8131717892267609</v>
      </c>
      <c r="V77" s="311">
        <f t="shared" si="82"/>
        <v>1.5827871031402593E-2</v>
      </c>
      <c r="W77" s="309">
        <f t="shared" si="89"/>
        <v>1.5827871031402593E-2</v>
      </c>
      <c r="X77" s="309">
        <f t="shared" si="61"/>
        <v>2.8131717892267609</v>
      </c>
      <c r="Y77" s="309">
        <f t="shared" si="83"/>
        <v>0.41152464681646733</v>
      </c>
      <c r="Z77" s="309">
        <f t="shared" si="62"/>
        <v>5.4295314671160236E-2</v>
      </c>
      <c r="AA77" s="309">
        <f t="shared" si="63"/>
        <v>6.9304499999999991E-2</v>
      </c>
      <c r="AB77" s="309">
        <f t="shared" si="64"/>
        <v>0</v>
      </c>
      <c r="AC77" s="309">
        <f t="shared" si="65"/>
        <v>0.58839505639759415</v>
      </c>
      <c r="AD77" s="309">
        <f t="shared" si="66"/>
        <v>4.4480501642197714</v>
      </c>
      <c r="AE77" s="309">
        <f t="shared" si="84"/>
        <v>0.19785150263415535</v>
      </c>
      <c r="AF77" s="309">
        <f t="shared" si="67"/>
        <v>6.8850000000000008E-2</v>
      </c>
      <c r="AG77" s="309">
        <f t="shared" si="68"/>
        <v>0.27542027301362004</v>
      </c>
      <c r="AH77" s="309">
        <f t="shared" si="69"/>
        <v>0</v>
      </c>
      <c r="AI77">
        <f t="shared" si="70"/>
        <v>0</v>
      </c>
      <c r="AJ77" s="310">
        <f t="shared" si="71"/>
        <v>0.22168499999999999</v>
      </c>
      <c r="AK77">
        <f t="shared" si="85"/>
        <v>3.6000000000000004E-2</v>
      </c>
      <c r="AL77" s="310">
        <f t="shared" si="72"/>
        <v>3.0374999999999999E-2</v>
      </c>
      <c r="AM77" s="310">
        <f t="shared" si="86"/>
        <v>5.5427027027027023E-2</v>
      </c>
      <c r="AN77" s="310">
        <f t="shared" si="90"/>
        <v>6.6375000000000003E-2</v>
      </c>
      <c r="AO77" s="310">
        <f t="shared" si="73"/>
        <v>1.5378262246282925</v>
      </c>
      <c r="AP77">
        <f t="shared" si="74"/>
        <v>25.500000000000004</v>
      </c>
      <c r="AQ77" s="9">
        <f t="shared" si="91"/>
        <v>0.94312315598701812</v>
      </c>
      <c r="AR77" s="51">
        <f t="shared" si="75"/>
        <v>32.361728101867676</v>
      </c>
      <c r="AS77" s="51">
        <f t="shared" si="92"/>
        <v>11.016810920544803</v>
      </c>
      <c r="AT77" s="9"/>
      <c r="AU77">
        <f t="shared" si="93"/>
        <v>94.312315598701815</v>
      </c>
      <c r="BE77" s="540"/>
      <c r="BF77" s="21"/>
    </row>
    <row r="78" spans="1:58">
      <c r="A78" s="35" t="s">
        <v>536</v>
      </c>
      <c r="B78" s="95">
        <f>QrrBot*Fsw</f>
        <v>1.2499999999999999E-2</v>
      </c>
      <c r="C78" s="23" t="s">
        <v>13</v>
      </c>
      <c r="G78">
        <v>69</v>
      </c>
      <c r="H78">
        <f t="shared" si="55"/>
        <v>5.1749999999999998</v>
      </c>
      <c r="I78" s="309">
        <f t="shared" si="76"/>
        <v>0.28582916494448246</v>
      </c>
      <c r="J78" s="310">
        <f t="shared" si="56"/>
        <v>4.5039747203372995</v>
      </c>
      <c r="K78" s="310">
        <f t="shared" si="77"/>
        <v>7.4269873601686491</v>
      </c>
      <c r="L78" s="310">
        <f t="shared" si="78"/>
        <v>2.9230126398313501</v>
      </c>
      <c r="M78" s="51">
        <f t="shared" si="57"/>
        <v>0</v>
      </c>
      <c r="N78" s="309">
        <f t="shared" si="58"/>
        <v>5.3358323958672509</v>
      </c>
      <c r="O78" s="309">
        <f t="shared" si="79"/>
        <v>0.17319352969793339</v>
      </c>
      <c r="P78">
        <f t="shared" si="59"/>
        <v>0.2</v>
      </c>
      <c r="Q78" s="309">
        <f t="shared" si="80"/>
        <v>0.3731935296979334</v>
      </c>
      <c r="R78" s="8">
        <f t="shared" si="87"/>
        <v>1.3001855086050047</v>
      </c>
      <c r="S78" s="8">
        <f t="shared" si="81"/>
        <v>1.6904823567864549E-3</v>
      </c>
      <c r="T78" s="8">
        <f t="shared" si="88"/>
        <v>1.6904823567864549E-3</v>
      </c>
      <c r="U78" s="309">
        <f t="shared" si="60"/>
        <v>2.8526957147293119</v>
      </c>
      <c r="V78" s="311">
        <f t="shared" si="82"/>
        <v>1.6275745681669961E-2</v>
      </c>
      <c r="W78" s="309">
        <f t="shared" si="89"/>
        <v>1.6275745681669961E-2</v>
      </c>
      <c r="X78" s="309">
        <f t="shared" si="61"/>
        <v>2.8526957147293119</v>
      </c>
      <c r="Y78" s="309">
        <f t="shared" si="83"/>
        <v>0.42316938772341894</v>
      </c>
      <c r="Z78" s="309">
        <f t="shared" si="62"/>
        <v>5.5271520599437497E-2</v>
      </c>
      <c r="AA78" s="309">
        <f t="shared" si="63"/>
        <v>6.9304499999999991E-2</v>
      </c>
      <c r="AB78" s="309">
        <f t="shared" si="64"/>
        <v>0</v>
      </c>
      <c r="AC78" s="309">
        <f t="shared" si="65"/>
        <v>0.60397370893752622</v>
      </c>
      <c r="AD78" s="309">
        <f t="shared" si="66"/>
        <v>4.5092387956229896</v>
      </c>
      <c r="AE78" s="309">
        <f t="shared" si="84"/>
        <v>0.2033323451595147</v>
      </c>
      <c r="AF78" s="309">
        <f t="shared" si="67"/>
        <v>6.9862499999999994E-2</v>
      </c>
      <c r="AG78" s="309">
        <f t="shared" si="68"/>
        <v>0.28238161574501336</v>
      </c>
      <c r="AH78" s="309">
        <f t="shared" si="69"/>
        <v>0</v>
      </c>
      <c r="AI78">
        <f t="shared" si="70"/>
        <v>0</v>
      </c>
      <c r="AJ78" s="310">
        <f t="shared" si="71"/>
        <v>0.22163624999999995</v>
      </c>
      <c r="AK78">
        <f t="shared" si="85"/>
        <v>3.6000000000000004E-2</v>
      </c>
      <c r="AL78" s="310">
        <f t="shared" si="72"/>
        <v>3.0374999999999999E-2</v>
      </c>
      <c r="AM78" s="310">
        <f t="shared" si="86"/>
        <v>5.5427027027027023E-2</v>
      </c>
      <c r="AN78" s="310">
        <f t="shared" si="90"/>
        <v>6.6375000000000003E-2</v>
      </c>
      <c r="AO78" s="310">
        <f t="shared" si="73"/>
        <v>1.5655263324189295</v>
      </c>
      <c r="AP78">
        <f t="shared" si="74"/>
        <v>25.875</v>
      </c>
      <c r="AQ78" s="9">
        <f t="shared" si="91"/>
        <v>0.94294838541163917</v>
      </c>
      <c r="AR78" s="51">
        <f t="shared" si="75"/>
        <v>33.218553991563944</v>
      </c>
      <c r="AS78" s="51">
        <f t="shared" si="92"/>
        <v>11.295264629800535</v>
      </c>
      <c r="AT78" s="9"/>
      <c r="AU78">
        <f t="shared" si="93"/>
        <v>94.294838541163912</v>
      </c>
      <c r="BE78" s="540"/>
      <c r="BF78" s="21"/>
    </row>
    <row r="79" spans="1:58">
      <c r="A79" s="35" t="s">
        <v>537</v>
      </c>
      <c r="B79" s="374">
        <f>C79/Vin</f>
        <v>2.5163156158703229E-4</v>
      </c>
      <c r="C79" s="373">
        <f>Deadtime*Fsw*(Ipp/2)*(VsdTop+VsdBot)</f>
        <v>4.5293681085665817E-3</v>
      </c>
      <c r="G79">
        <v>70</v>
      </c>
      <c r="H79">
        <f t="shared" si="55"/>
        <v>5.25</v>
      </c>
      <c r="I79" s="309">
        <f t="shared" si="76"/>
        <v>0.28594729885542342</v>
      </c>
      <c r="J79" s="310">
        <f t="shared" si="56"/>
        <v>4.5058362243884904</v>
      </c>
      <c r="K79" s="310">
        <f t="shared" si="77"/>
        <v>7.5029181121942452</v>
      </c>
      <c r="L79" s="310">
        <f t="shared" si="78"/>
        <v>2.9970818878057548</v>
      </c>
      <c r="M79" s="51">
        <f t="shared" si="57"/>
        <v>0</v>
      </c>
      <c r="N79" s="309">
        <f t="shared" si="58"/>
        <v>5.4087318298054825</v>
      </c>
      <c r="O79" s="309">
        <f t="shared" si="79"/>
        <v>0.17802614134776484</v>
      </c>
      <c r="P79">
        <f t="shared" si="59"/>
        <v>0.2</v>
      </c>
      <c r="Q79" s="309">
        <f t="shared" si="80"/>
        <v>0.37802614134776485</v>
      </c>
      <c r="R79" s="8">
        <f t="shared" si="87"/>
        <v>1.3007228785375311</v>
      </c>
      <c r="S79" s="8">
        <f t="shared" si="81"/>
        <v>1.6918800067509609E-3</v>
      </c>
      <c r="T79" s="8">
        <f t="shared" si="88"/>
        <v>1.6918800067509609E-3</v>
      </c>
      <c r="U79" s="309">
        <f t="shared" si="60"/>
        <v>2.8922674396778287</v>
      </c>
      <c r="V79" s="311">
        <f t="shared" si="82"/>
        <v>1.6730421885241088E-2</v>
      </c>
      <c r="W79" s="309">
        <f t="shared" si="89"/>
        <v>1.6730421885241088E-2</v>
      </c>
      <c r="X79" s="309">
        <f t="shared" si="61"/>
        <v>2.8922674396778287</v>
      </c>
      <c r="Y79" s="309">
        <f t="shared" si="83"/>
        <v>0.43499096901626821</v>
      </c>
      <c r="Z79" s="309">
        <f t="shared" si="62"/>
        <v>5.6247724706323804E-2</v>
      </c>
      <c r="AA79" s="309">
        <f t="shared" si="63"/>
        <v>6.9304499999999991E-2</v>
      </c>
      <c r="AB79" s="309">
        <f t="shared" si="64"/>
        <v>0</v>
      </c>
      <c r="AC79" s="309">
        <f t="shared" si="65"/>
        <v>0.61986283552906285</v>
      </c>
      <c r="AD79" s="309">
        <f t="shared" si="66"/>
        <v>4.5704670509840035</v>
      </c>
      <c r="AE79" s="309">
        <f t="shared" si="84"/>
        <v>0.20889169064130414</v>
      </c>
      <c r="AF79" s="309">
        <f t="shared" si="67"/>
        <v>7.0874999999999994E-2</v>
      </c>
      <c r="AG79" s="309">
        <f t="shared" si="68"/>
        <v>0.2894405673540672</v>
      </c>
      <c r="AH79" s="309">
        <f t="shared" si="69"/>
        <v>0</v>
      </c>
      <c r="AI79">
        <f t="shared" si="70"/>
        <v>0</v>
      </c>
      <c r="AJ79" s="310">
        <f t="shared" si="71"/>
        <v>0.22158749999999999</v>
      </c>
      <c r="AK79">
        <f t="shared" si="85"/>
        <v>3.6000000000000004E-2</v>
      </c>
      <c r="AL79" s="310">
        <f t="shared" si="72"/>
        <v>3.0374999999999999E-2</v>
      </c>
      <c r="AM79" s="310">
        <f t="shared" si="86"/>
        <v>5.5427027027027023E-2</v>
      </c>
      <c r="AN79" s="310">
        <f t="shared" si="90"/>
        <v>6.6375000000000003E-2</v>
      </c>
      <c r="AO79" s="310">
        <f t="shared" si="73"/>
        <v>1.5937143461228871</v>
      </c>
      <c r="AP79">
        <f t="shared" si="74"/>
        <v>26.25</v>
      </c>
      <c r="AQ79" s="9">
        <f t="shared" si="91"/>
        <v>0.94276214996636021</v>
      </c>
      <c r="AR79" s="51">
        <f t="shared" si="75"/>
        <v>34.092455954098455</v>
      </c>
      <c r="AS79" s="51">
        <f t="shared" si="92"/>
        <v>11.577622694162688</v>
      </c>
      <c r="AT79" s="9"/>
      <c r="AU79">
        <f t="shared" si="93"/>
        <v>94.276214996636014</v>
      </c>
      <c r="BE79" s="540"/>
      <c r="BF79" s="21"/>
    </row>
    <row r="80" spans="1:58">
      <c r="A80" s="35" t="s">
        <v>633</v>
      </c>
      <c r="B80" s="374">
        <f>SUM(B77:B79)</f>
        <v>1.880163156158703E-2</v>
      </c>
      <c r="C80" s="23" t="s">
        <v>13</v>
      </c>
      <c r="G80">
        <v>71</v>
      </c>
      <c r="H80">
        <f t="shared" si="55"/>
        <v>5.3249999999999993</v>
      </c>
      <c r="I80" s="309">
        <f t="shared" si="76"/>
        <v>0.28606547463343157</v>
      </c>
      <c r="J80" s="310">
        <f t="shared" si="56"/>
        <v>4.5076983881631643</v>
      </c>
      <c r="K80" s="310">
        <f t="shared" si="77"/>
        <v>7.578849194081581</v>
      </c>
      <c r="L80" s="310">
        <f t="shared" si="78"/>
        <v>3.0711508059184172</v>
      </c>
      <c r="M80" s="51">
        <f t="shared" si="57"/>
        <v>0</v>
      </c>
      <c r="N80" s="309">
        <f t="shared" si="58"/>
        <v>5.4816880365346758</v>
      </c>
      <c r="O80" s="309">
        <f t="shared" si="79"/>
        <v>0.18293193636895924</v>
      </c>
      <c r="P80">
        <f t="shared" si="59"/>
        <v>0.2</v>
      </c>
      <c r="Q80" s="309">
        <f t="shared" si="80"/>
        <v>0.38293193636895928</v>
      </c>
      <c r="R80" s="8">
        <f t="shared" si="87"/>
        <v>1.3012604389158227</v>
      </c>
      <c r="S80" s="8">
        <f t="shared" si="81"/>
        <v>1.6932787298873995E-3</v>
      </c>
      <c r="T80" s="8">
        <f t="shared" si="88"/>
        <v>1.6932787298873995E-3</v>
      </c>
      <c r="U80" s="309">
        <f t="shared" si="60"/>
        <v>2.9318857255535269</v>
      </c>
      <c r="V80" s="311">
        <f t="shared" si="82"/>
        <v>1.7191907815409059E-2</v>
      </c>
      <c r="W80" s="309">
        <f t="shared" si="89"/>
        <v>1.7191907815409059E-2</v>
      </c>
      <c r="X80" s="309">
        <f t="shared" si="61"/>
        <v>2.9318857255535269</v>
      </c>
      <c r="Y80" s="309">
        <f t="shared" si="83"/>
        <v>0.44698960320063552</v>
      </c>
      <c r="Z80" s="309">
        <f t="shared" si="62"/>
        <v>5.7223926990850826E-2</v>
      </c>
      <c r="AA80" s="309">
        <f t="shared" si="63"/>
        <v>6.9304499999999991E-2</v>
      </c>
      <c r="AB80" s="309">
        <f t="shared" si="64"/>
        <v>0</v>
      </c>
      <c r="AC80" s="309">
        <f t="shared" si="65"/>
        <v>0.63606744817009231</v>
      </c>
      <c r="AD80" s="309">
        <f t="shared" si="66"/>
        <v>4.6317329178378648</v>
      </c>
      <c r="AE80" s="309">
        <f t="shared" si="84"/>
        <v>0.2145294982218286</v>
      </c>
      <c r="AF80" s="309">
        <f t="shared" si="67"/>
        <v>7.1887499999999993E-2</v>
      </c>
      <c r="AG80" s="309">
        <f t="shared" si="68"/>
        <v>0.29659762869506651</v>
      </c>
      <c r="AH80" s="309">
        <f t="shared" si="69"/>
        <v>0</v>
      </c>
      <c r="AI80">
        <f t="shared" si="70"/>
        <v>0</v>
      </c>
      <c r="AJ80" s="310">
        <f t="shared" si="71"/>
        <v>0.22153874999999998</v>
      </c>
      <c r="AK80">
        <f t="shared" si="85"/>
        <v>3.6000000000000004E-2</v>
      </c>
      <c r="AL80" s="310">
        <f t="shared" si="72"/>
        <v>3.0374999999999999E-2</v>
      </c>
      <c r="AM80" s="310">
        <f t="shared" si="86"/>
        <v>5.5427027027027023E-2</v>
      </c>
      <c r="AN80" s="310">
        <f t="shared" si="90"/>
        <v>6.6375000000000003E-2</v>
      </c>
      <c r="AO80" s="310">
        <f t="shared" si="73"/>
        <v>1.6223959497794145</v>
      </c>
      <c r="AP80">
        <f t="shared" si="74"/>
        <v>26.624999999999996</v>
      </c>
      <c r="AQ80" s="9">
        <f t="shared" si="91"/>
        <v>0.94256476056540417</v>
      </c>
      <c r="AR80" s="51">
        <f t="shared" si="75"/>
        <v>34.983709649355077</v>
      </c>
      <c r="AS80" s="51">
        <f t="shared" si="92"/>
        <v>11.86390514780266</v>
      </c>
      <c r="AT80" s="9"/>
      <c r="AU80">
        <f t="shared" si="93"/>
        <v>94.256476056540421</v>
      </c>
      <c r="BE80" s="540"/>
      <c r="BF80" s="21"/>
    </row>
    <row r="81" spans="1:58">
      <c r="A81" s="2"/>
      <c r="G81">
        <v>72</v>
      </c>
      <c r="H81">
        <f t="shared" si="55"/>
        <v>5.3999999999999995</v>
      </c>
      <c r="I81" s="309">
        <f t="shared" si="76"/>
        <v>0.28618369230076746</v>
      </c>
      <c r="J81" s="310">
        <f t="shared" si="56"/>
        <v>4.5095612120120929</v>
      </c>
      <c r="K81" s="310">
        <f t="shared" si="77"/>
        <v>7.6547806060060459</v>
      </c>
      <c r="L81" s="310">
        <f t="shared" si="78"/>
        <v>3.145219393993953</v>
      </c>
      <c r="M81" s="51">
        <f t="shared" si="57"/>
        <v>0</v>
      </c>
      <c r="N81" s="309">
        <f t="shared" si="58"/>
        <v>5.5546987791484836</v>
      </c>
      <c r="O81" s="309">
        <f t="shared" si="79"/>
        <v>0.18791108043207722</v>
      </c>
      <c r="P81">
        <f t="shared" si="59"/>
        <v>0.2</v>
      </c>
      <c r="Q81" s="309">
        <f t="shared" si="80"/>
        <v>0.38791108043207723</v>
      </c>
      <c r="R81" s="8">
        <f t="shared" si="87"/>
        <v>1.3017981898411386</v>
      </c>
      <c r="S81" s="8">
        <f t="shared" si="81"/>
        <v>1.6946785270736651E-3</v>
      </c>
      <c r="T81" s="8">
        <f t="shared" si="88"/>
        <v>1.6946785270736651E-3</v>
      </c>
      <c r="U81" s="309">
        <f t="shared" si="60"/>
        <v>2.9715493981475629</v>
      </c>
      <c r="V81" s="311">
        <f t="shared" si="82"/>
        <v>1.7660211651262286E-2</v>
      </c>
      <c r="W81" s="309">
        <f t="shared" si="89"/>
        <v>1.7660211651262286E-2</v>
      </c>
      <c r="X81" s="309">
        <f t="shared" si="61"/>
        <v>2.9715493981475629</v>
      </c>
      <c r="Y81" s="309">
        <f t="shared" si="83"/>
        <v>0.45916550293281944</v>
      </c>
      <c r="Z81" s="309">
        <f t="shared" si="62"/>
        <v>5.8200127452049666E-2</v>
      </c>
      <c r="AA81" s="309">
        <f t="shared" si="63"/>
        <v>6.9304499999999991E-2</v>
      </c>
      <c r="AB81" s="309">
        <f t="shared" si="64"/>
        <v>0</v>
      </c>
      <c r="AC81" s="309">
        <f t="shared" si="65"/>
        <v>0.65259270283891968</v>
      </c>
      <c r="AD81" s="309">
        <f t="shared" si="66"/>
        <v>4.6930344875615937</v>
      </c>
      <c r="AE81" s="309">
        <f t="shared" si="84"/>
        <v>0.2202457270144251</v>
      </c>
      <c r="AF81" s="309">
        <f t="shared" si="67"/>
        <v>7.2899999999999993E-2</v>
      </c>
      <c r="AG81" s="309">
        <f t="shared" si="68"/>
        <v>0.3038533099182133</v>
      </c>
      <c r="AH81" s="309">
        <f t="shared" si="69"/>
        <v>0</v>
      </c>
      <c r="AI81">
        <f t="shared" si="70"/>
        <v>0</v>
      </c>
      <c r="AJ81" s="310">
        <f t="shared" si="71"/>
        <v>0.22148999999999999</v>
      </c>
      <c r="AK81">
        <f t="shared" si="85"/>
        <v>3.6000000000000004E-2</v>
      </c>
      <c r="AL81" s="310">
        <f t="shared" si="72"/>
        <v>3.0374999999999999E-2</v>
      </c>
      <c r="AM81" s="310">
        <f t="shared" si="86"/>
        <v>5.5427027027027023E-2</v>
      </c>
      <c r="AN81" s="310">
        <f t="shared" si="90"/>
        <v>6.6375000000000003E-2</v>
      </c>
      <c r="AO81" s="310">
        <f t="shared" si="73"/>
        <v>1.6515769833675462</v>
      </c>
      <c r="AP81">
        <f t="shared" si="74"/>
        <v>26.999999999999996</v>
      </c>
      <c r="AQ81" s="9">
        <f t="shared" si="91"/>
        <v>0.9423565067875217</v>
      </c>
      <c r="AR81" s="51">
        <f t="shared" si="75"/>
        <v>35.892598656140585</v>
      </c>
      <c r="AS81" s="51">
        <f t="shared" si="92"/>
        <v>12.154132396728532</v>
      </c>
      <c r="AT81" s="9"/>
      <c r="AU81">
        <f t="shared" si="93"/>
        <v>94.235650678752165</v>
      </c>
      <c r="BE81" s="540"/>
      <c r="BF81" s="21"/>
    </row>
    <row r="82" spans="1:58">
      <c r="A82" s="2"/>
      <c r="G82">
        <v>73</v>
      </c>
      <c r="H82">
        <f t="shared" si="55"/>
        <v>5.4749999999999996</v>
      </c>
      <c r="I82" s="309">
        <f t="shared" si="76"/>
        <v>0.28630195187970775</v>
      </c>
      <c r="J82" s="310">
        <f t="shared" si="56"/>
        <v>4.511424696286304</v>
      </c>
      <c r="K82" s="310">
        <f t="shared" si="77"/>
        <v>7.7307123481431521</v>
      </c>
      <c r="L82" s="310">
        <f t="shared" si="78"/>
        <v>3.2192876518568476</v>
      </c>
      <c r="M82" s="51">
        <f t="shared" si="57"/>
        <v>0</v>
      </c>
      <c r="N82" s="309">
        <f t="shared" si="58"/>
        <v>5.6277619351913328</v>
      </c>
      <c r="O82" s="309">
        <f t="shared" si="79"/>
        <v>0.192963741879565</v>
      </c>
      <c r="P82">
        <f t="shared" si="59"/>
        <v>0.2</v>
      </c>
      <c r="Q82" s="309">
        <f t="shared" si="80"/>
        <v>0.39296374187956501</v>
      </c>
      <c r="R82" s="8">
        <f t="shared" si="87"/>
        <v>1.3023361314148116</v>
      </c>
      <c r="S82" s="8">
        <f t="shared" si="81"/>
        <v>1.6960793991884974E-3</v>
      </c>
      <c r="T82" s="8">
        <f t="shared" si="88"/>
        <v>1.6960793991884974E-3</v>
      </c>
      <c r="U82" s="309">
        <f t="shared" si="60"/>
        <v>3.0112573435103136</v>
      </c>
      <c r="V82" s="311">
        <f t="shared" si="82"/>
        <v>1.8135341577689579E-2</v>
      </c>
      <c r="W82" s="309">
        <f t="shared" si="89"/>
        <v>1.8135341577689579E-2</v>
      </c>
      <c r="X82" s="309">
        <f t="shared" si="61"/>
        <v>3.0112573435103136</v>
      </c>
      <c r="Y82" s="309">
        <f t="shared" si="83"/>
        <v>0.47151888101992906</v>
      </c>
      <c r="Z82" s="309">
        <f t="shared" si="62"/>
        <v>5.9176326088950681E-2</v>
      </c>
      <c r="AA82" s="309">
        <f t="shared" si="63"/>
        <v>6.9304499999999991E-2</v>
      </c>
      <c r="AB82" s="309">
        <f t="shared" si="64"/>
        <v>0</v>
      </c>
      <c r="AC82" s="309">
        <f t="shared" si="65"/>
        <v>0.66944390402589882</v>
      </c>
      <c r="AD82" s="309">
        <f t="shared" si="66"/>
        <v>4.7543699488306235</v>
      </c>
      <c r="AE82" s="309">
        <f t="shared" si="84"/>
        <v>0.22604033610343707</v>
      </c>
      <c r="AF82" s="309">
        <f t="shared" si="67"/>
        <v>7.3912499999999992E-2</v>
      </c>
      <c r="AG82" s="309">
        <f t="shared" si="68"/>
        <v>0.31120813057268037</v>
      </c>
      <c r="AH82" s="309">
        <f t="shared" si="69"/>
        <v>0</v>
      </c>
      <c r="AI82">
        <f t="shared" si="70"/>
        <v>0</v>
      </c>
      <c r="AJ82" s="310">
        <f t="shared" si="71"/>
        <v>0.22144124999999998</v>
      </c>
      <c r="AK82">
        <f t="shared" si="85"/>
        <v>3.6000000000000004E-2</v>
      </c>
      <c r="AL82" s="310">
        <f t="shared" si="72"/>
        <v>3.0374999999999999E-2</v>
      </c>
      <c r="AM82" s="310">
        <f t="shared" si="86"/>
        <v>5.5427027027027023E-2</v>
      </c>
      <c r="AN82" s="310">
        <f t="shared" si="90"/>
        <v>6.6375000000000003E-2</v>
      </c>
      <c r="AO82" s="310">
        <f t="shared" si="73"/>
        <v>1.6812634474550223</v>
      </c>
      <c r="AP82">
        <f t="shared" si="74"/>
        <v>27.375</v>
      </c>
      <c r="AQ82" s="9">
        <f t="shared" si="91"/>
        <v>0.94213765818528594</v>
      </c>
      <c r="AR82" s="51">
        <f t="shared" si="75"/>
        <v>36.819414721424437</v>
      </c>
      <c r="AS82" s="51">
        <f t="shared" si="92"/>
        <v>12.448325222907215</v>
      </c>
      <c r="AT82" s="9"/>
      <c r="AU82">
        <f t="shared" si="93"/>
        <v>94.2137658185286</v>
      </c>
      <c r="BE82" s="540"/>
      <c r="BF82" s="21"/>
    </row>
    <row r="83" spans="1:58">
      <c r="A83" s="2"/>
      <c r="G83">
        <v>74</v>
      </c>
      <c r="H83">
        <f t="shared" si="55"/>
        <v>5.55</v>
      </c>
      <c r="I83" s="309">
        <f t="shared" si="76"/>
        <v>0.28642025339254457</v>
      </c>
      <c r="J83" s="310">
        <f t="shared" si="56"/>
        <v>4.513288841337066</v>
      </c>
      <c r="K83" s="310">
        <f t="shared" si="77"/>
        <v>7.8066444206685333</v>
      </c>
      <c r="L83" s="310">
        <f t="shared" si="78"/>
        <v>3.2933555793314668</v>
      </c>
      <c r="M83" s="51">
        <f t="shared" si="57"/>
        <v>0</v>
      </c>
      <c r="N83" s="309">
        <f t="shared" si="58"/>
        <v>5.7008754895289089</v>
      </c>
      <c r="O83" s="309">
        <f t="shared" si="79"/>
        <v>0.19809009174023945</v>
      </c>
      <c r="P83">
        <f t="shared" si="59"/>
        <v>0.2</v>
      </c>
      <c r="Q83" s="309">
        <f t="shared" si="80"/>
        <v>0.39809009174023946</v>
      </c>
      <c r="R83" s="8">
        <f t="shared" si="87"/>
        <v>1.3028742637382447</v>
      </c>
      <c r="S83" s="8">
        <f t="shared" si="81"/>
        <v>1.6974813471114733E-3</v>
      </c>
      <c r="T83" s="8">
        <f t="shared" si="88"/>
        <v>1.6974813471114733E-3</v>
      </c>
      <c r="U83" s="309">
        <f t="shared" si="60"/>
        <v>3.0510085041986756</v>
      </c>
      <c r="V83" s="311">
        <f t="shared" si="82"/>
        <v>1.8617305785385282E-2</v>
      </c>
      <c r="W83" s="309">
        <f t="shared" si="89"/>
        <v>1.8617305785385282E-2</v>
      </c>
      <c r="X83" s="309">
        <f t="shared" si="61"/>
        <v>3.0510085041986756</v>
      </c>
      <c r="Y83" s="309">
        <f t="shared" si="83"/>
        <v>0.48404995042001725</v>
      </c>
      <c r="Z83" s="309">
        <f t="shared" si="62"/>
        <v>6.0152522900583545E-2</v>
      </c>
      <c r="AA83" s="309">
        <f t="shared" si="63"/>
        <v>6.9304499999999991E-2</v>
      </c>
      <c r="AB83" s="309">
        <f t="shared" si="64"/>
        <v>0</v>
      </c>
      <c r="AC83" s="309">
        <f t="shared" si="65"/>
        <v>0.68662650944887638</v>
      </c>
      <c r="AD83" s="309">
        <f t="shared" si="66"/>
        <v>4.8157375815568306</v>
      </c>
      <c r="AE83" s="309">
        <f t="shared" si="84"/>
        <v>0.23191328454418833</v>
      </c>
      <c r="AF83" s="309">
        <f t="shared" si="67"/>
        <v>7.4924999999999992E-2</v>
      </c>
      <c r="AG83" s="309">
        <f t="shared" si="68"/>
        <v>0.3186626197120071</v>
      </c>
      <c r="AH83" s="309">
        <f t="shared" si="69"/>
        <v>0</v>
      </c>
      <c r="AI83">
        <f t="shared" si="70"/>
        <v>0</v>
      </c>
      <c r="AJ83" s="310">
        <f t="shared" si="71"/>
        <v>0.22139249999999999</v>
      </c>
      <c r="AK83">
        <f t="shared" si="85"/>
        <v>3.6000000000000004E-2</v>
      </c>
      <c r="AL83" s="310">
        <f t="shared" si="72"/>
        <v>3.0374999999999999E-2</v>
      </c>
      <c r="AM83" s="310">
        <f t="shared" si="86"/>
        <v>5.5427027027027023E-2</v>
      </c>
      <c r="AN83" s="310">
        <f t="shared" si="90"/>
        <v>6.6375000000000003E-2</v>
      </c>
      <c r="AO83" s="310">
        <f t="shared" si="73"/>
        <v>1.7114615080336195</v>
      </c>
      <c r="AP83">
        <f t="shared" si="74"/>
        <v>27.75</v>
      </c>
      <c r="AQ83" s="9">
        <f t="shared" si="91"/>
        <v>0.94190846548576912</v>
      </c>
      <c r="AR83" s="51">
        <f t="shared" si="75"/>
        <v>37.764458019688199</v>
      </c>
      <c r="AS83" s="51">
        <f t="shared" si="92"/>
        <v>12.746504788480284</v>
      </c>
      <c r="AT83" s="9"/>
      <c r="AU83">
        <f t="shared" si="93"/>
        <v>94.190846548576914</v>
      </c>
      <c r="BE83" s="540"/>
      <c r="BF83" s="21"/>
    </row>
    <row r="84" spans="1:58">
      <c r="G84">
        <v>75</v>
      </c>
      <c r="H84">
        <f t="shared" si="55"/>
        <v>5.625</v>
      </c>
      <c r="I84" s="309">
        <f t="shared" si="76"/>
        <v>0.28653859686158617</v>
      </c>
      <c r="J84" s="310">
        <f t="shared" si="56"/>
        <v>4.5151536475159038</v>
      </c>
      <c r="K84" s="310">
        <f t="shared" si="77"/>
        <v>7.8825768237579519</v>
      </c>
      <c r="L84" s="310">
        <f t="shared" si="78"/>
        <v>3.3674231762420481</v>
      </c>
      <c r="M84" s="51">
        <f t="shared" si="57"/>
        <v>0</v>
      </c>
      <c r="N84" s="309">
        <f t="shared" si="58"/>
        <v>5.7740375277376756</v>
      </c>
      <c r="O84" s="309">
        <f t="shared" si="79"/>
        <v>0.20329030374402821</v>
      </c>
      <c r="P84">
        <f t="shared" si="59"/>
        <v>0.2</v>
      </c>
      <c r="Q84" s="309">
        <f t="shared" si="80"/>
        <v>0.40329030374402819</v>
      </c>
      <c r="R84" s="8">
        <f t="shared" si="87"/>
        <v>1.3034125869129138</v>
      </c>
      <c r="S84" s="8">
        <f t="shared" si="81"/>
        <v>1.6988843717230142E-3</v>
      </c>
      <c r="T84" s="8">
        <f t="shared" si="88"/>
        <v>1.6988843717230142E-3</v>
      </c>
      <c r="U84" s="309">
        <f t="shared" si="60"/>
        <v>3.0908018757965081</v>
      </c>
      <c r="V84" s="311">
        <f t="shared" si="82"/>
        <v>1.9106112470854426E-2</v>
      </c>
      <c r="W84" s="309">
        <f t="shared" si="89"/>
        <v>1.9106112470854426E-2</v>
      </c>
      <c r="X84" s="309">
        <f t="shared" si="61"/>
        <v>3.0908018757965081</v>
      </c>
      <c r="Y84" s="309">
        <f t="shared" si="83"/>
        <v>0.49675892424221507</v>
      </c>
      <c r="Z84" s="309">
        <f t="shared" si="62"/>
        <v>6.1128717885977228E-2</v>
      </c>
      <c r="AA84" s="309">
        <f t="shared" si="63"/>
        <v>6.9304499999999991E-2</v>
      </c>
      <c r="AB84" s="309">
        <f t="shared" si="64"/>
        <v>0</v>
      </c>
      <c r="AC84" s="309">
        <f t="shared" si="65"/>
        <v>0.70414613496094514</v>
      </c>
      <c r="AD84" s="309">
        <f t="shared" si="66"/>
        <v>4.8771357512679305</v>
      </c>
      <c r="AE84" s="309">
        <f t="shared" si="84"/>
        <v>0.23786453136295801</v>
      </c>
      <c r="AF84" s="309">
        <f t="shared" si="67"/>
        <v>7.5937500000000005E-2</v>
      </c>
      <c r="AG84" s="309">
        <f t="shared" si="68"/>
        <v>0.32621731600188114</v>
      </c>
      <c r="AH84" s="309">
        <f t="shared" si="69"/>
        <v>0</v>
      </c>
      <c r="AI84">
        <f t="shared" si="70"/>
        <v>0</v>
      </c>
      <c r="AJ84" s="310">
        <f t="shared" si="71"/>
        <v>0.22134374999999998</v>
      </c>
      <c r="AK84">
        <f t="shared" si="85"/>
        <v>3.6000000000000004E-2</v>
      </c>
      <c r="AL84" s="310">
        <f t="shared" si="72"/>
        <v>3.0374999999999999E-2</v>
      </c>
      <c r="AM84" s="310">
        <f t="shared" si="86"/>
        <v>5.5427027027027023E-2</v>
      </c>
      <c r="AN84" s="310">
        <f t="shared" si="90"/>
        <v>6.6375000000000003E-2</v>
      </c>
      <c r="AO84" s="310">
        <f t="shared" si="73"/>
        <v>1.7421775015494319</v>
      </c>
      <c r="AP84">
        <f t="shared" si="74"/>
        <v>28.125</v>
      </c>
      <c r="AQ84" s="9">
        <f t="shared" si="91"/>
        <v>0.94166916169232762</v>
      </c>
      <c r="AR84" s="51">
        <f t="shared" si="75"/>
        <v>38.728037422851983</v>
      </c>
      <c r="AS84" s="51">
        <f t="shared" si="92"/>
        <v>13.048692640075245</v>
      </c>
      <c r="AT84" s="9"/>
      <c r="AU84">
        <f t="shared" si="93"/>
        <v>94.166916169232763</v>
      </c>
      <c r="BE84" s="540"/>
      <c r="BF84" s="21"/>
    </row>
    <row r="85" spans="1:58">
      <c r="G85">
        <v>76</v>
      </c>
      <c r="H85">
        <f t="shared" si="55"/>
        <v>5.7</v>
      </c>
      <c r="I85" s="309">
        <f t="shared" si="76"/>
        <v>0.28665698230915626</v>
      </c>
      <c r="J85" s="310">
        <f t="shared" si="56"/>
        <v>4.517019115174584</v>
      </c>
      <c r="K85" s="310">
        <f t="shared" si="77"/>
        <v>7.9585095575872922</v>
      </c>
      <c r="L85" s="310">
        <f t="shared" si="78"/>
        <v>3.4414904424127082</v>
      </c>
      <c r="M85" s="51">
        <f t="shared" si="57"/>
        <v>0</v>
      </c>
      <c r="N85" s="309">
        <f t="shared" si="58"/>
        <v>5.847246229970513</v>
      </c>
      <c r="O85" s="309">
        <f t="shared" si="79"/>
        <v>0.20856455433696813</v>
      </c>
      <c r="P85">
        <f t="shared" si="59"/>
        <v>0.2</v>
      </c>
      <c r="Q85" s="309">
        <f t="shared" si="80"/>
        <v>0.40856455433696814</v>
      </c>
      <c r="R85" s="8">
        <f t="shared" si="87"/>
        <v>1.3039511010403657</v>
      </c>
      <c r="S85" s="8">
        <f t="shared" si="81"/>
        <v>1.700288473904382E-3</v>
      </c>
      <c r="T85" s="8">
        <f t="shared" si="88"/>
        <v>1.700288473904382E-3</v>
      </c>
      <c r="U85" s="309">
        <f t="shared" si="60"/>
        <v>3.1306365036856256</v>
      </c>
      <c r="V85" s="311">
        <f t="shared" si="82"/>
        <v>1.9601769836417916E-2</v>
      </c>
      <c r="W85" s="309">
        <f t="shared" si="89"/>
        <v>1.9601769836417916E-2</v>
      </c>
      <c r="X85" s="309">
        <f t="shared" si="61"/>
        <v>3.1306365036856256</v>
      </c>
      <c r="Y85" s="309">
        <f t="shared" si="83"/>
        <v>0.50964601574686574</v>
      </c>
      <c r="Z85" s="309">
        <f t="shared" si="62"/>
        <v>6.210491104416007E-2</v>
      </c>
      <c r="AA85" s="309">
        <f t="shared" si="63"/>
        <v>6.9304499999999991E-2</v>
      </c>
      <c r="AB85" s="309">
        <f t="shared" si="64"/>
        <v>0</v>
      </c>
      <c r="AC85" s="309">
        <f t="shared" si="65"/>
        <v>0.72200855965945188</v>
      </c>
      <c r="AD85" s="309">
        <f t="shared" si="66"/>
        <v>4.9385629038917207</v>
      </c>
      <c r="AE85" s="309">
        <f t="shared" si="84"/>
        <v>0.24389403555695424</v>
      </c>
      <c r="AF85" s="309">
        <f t="shared" si="67"/>
        <v>7.6950000000000005E-2</v>
      </c>
      <c r="AG85" s="309">
        <f t="shared" si="68"/>
        <v>0.33387276783034842</v>
      </c>
      <c r="AH85" s="309">
        <f t="shared" si="69"/>
        <v>0</v>
      </c>
      <c r="AI85">
        <f t="shared" si="70"/>
        <v>0</v>
      </c>
      <c r="AJ85" s="310">
        <f t="shared" si="71"/>
        <v>0.22129499999999999</v>
      </c>
      <c r="AK85">
        <f t="shared" si="85"/>
        <v>3.6000000000000004E-2</v>
      </c>
      <c r="AL85" s="310">
        <f t="shared" si="72"/>
        <v>3.0374999999999999E-2</v>
      </c>
      <c r="AM85" s="310">
        <f t="shared" si="86"/>
        <v>5.5427027027027023E-2</v>
      </c>
      <c r="AN85" s="310">
        <f t="shared" si="90"/>
        <v>6.6375000000000003E-2</v>
      </c>
      <c r="AO85" s="310">
        <f t="shared" si="73"/>
        <v>1.7734179401370906</v>
      </c>
      <c r="AP85">
        <f t="shared" si="74"/>
        <v>28.5</v>
      </c>
      <c r="AQ85" s="9">
        <f t="shared" si="91"/>
        <v>0.94141996309621001</v>
      </c>
      <c r="AR85" s="51">
        <f t="shared" si="75"/>
        <v>39.710470781269855</v>
      </c>
      <c r="AS85" s="51">
        <f t="shared" si="92"/>
        <v>13.354910713213936</v>
      </c>
      <c r="AT85" s="9"/>
      <c r="AU85">
        <f t="shared" si="93"/>
        <v>94.141996309621007</v>
      </c>
      <c r="BE85" s="540"/>
      <c r="BF85" s="21"/>
    </row>
    <row r="86" spans="1:58">
      <c r="G86">
        <v>77</v>
      </c>
      <c r="H86">
        <f t="shared" si="55"/>
        <v>5.7750000000000004</v>
      </c>
      <c r="I86" s="309">
        <f t="shared" si="76"/>
        <v>0.28677540975759475</v>
      </c>
      <c r="J86" s="310">
        <f t="shared" si="56"/>
        <v>4.5188852446651291</v>
      </c>
      <c r="K86" s="310">
        <f t="shared" si="77"/>
        <v>8.0344426223325645</v>
      </c>
      <c r="L86" s="310">
        <f t="shared" si="78"/>
        <v>3.5155573776674358</v>
      </c>
      <c r="M86" s="51">
        <f t="shared" si="57"/>
        <v>0</v>
      </c>
      <c r="N86" s="309">
        <f t="shared" si="58"/>
        <v>5.9204998652594938</v>
      </c>
      <c r="O86" s="309">
        <f t="shared" si="79"/>
        <v>0.21391302269646378</v>
      </c>
      <c r="P86">
        <f t="shared" si="59"/>
        <v>0.2</v>
      </c>
      <c r="Q86" s="309">
        <f t="shared" si="80"/>
        <v>0.41391302269646379</v>
      </c>
      <c r="R86" s="8">
        <f t="shared" si="87"/>
        <v>1.3044898062222201</v>
      </c>
      <c r="S86" s="8">
        <f t="shared" si="81"/>
        <v>1.7016936545376853E-3</v>
      </c>
      <c r="T86" s="8">
        <f t="shared" si="88"/>
        <v>1.7016936545376853E-3</v>
      </c>
      <c r="U86" s="309">
        <f t="shared" si="60"/>
        <v>3.1705114800468439</v>
      </c>
      <c r="V86" s="311">
        <f t="shared" si="82"/>
        <v>2.0104286090217655E-2</v>
      </c>
      <c r="W86" s="309">
        <f t="shared" si="89"/>
        <v>2.0104286090217655E-2</v>
      </c>
      <c r="X86" s="309">
        <f t="shared" si="61"/>
        <v>3.1705114800468439</v>
      </c>
      <c r="Y86" s="309">
        <f t="shared" si="83"/>
        <v>0.52271143834565903</v>
      </c>
      <c r="Z86" s="309">
        <f t="shared" si="62"/>
        <v>6.3081102374159634E-2</v>
      </c>
      <c r="AA86" s="309">
        <f t="shared" si="63"/>
        <v>6.9304499999999991E-2</v>
      </c>
      <c r="AB86" s="309">
        <f t="shared" si="64"/>
        <v>0</v>
      </c>
      <c r="AC86" s="309">
        <f t="shared" si="65"/>
        <v>0.74021973120569973</v>
      </c>
      <c r="AD86" s="309">
        <f t="shared" si="66"/>
        <v>5.0000175609120472</v>
      </c>
      <c r="AE86" s="309">
        <f t="shared" si="84"/>
        <v>0.2500017560942886</v>
      </c>
      <c r="AF86" s="309">
        <f t="shared" si="67"/>
        <v>7.7962500000000004E-2</v>
      </c>
      <c r="AG86" s="309">
        <f t="shared" si="68"/>
        <v>0.34162953342049601</v>
      </c>
      <c r="AH86" s="309">
        <f t="shared" si="69"/>
        <v>0</v>
      </c>
      <c r="AI86">
        <f t="shared" si="70"/>
        <v>0</v>
      </c>
      <c r="AJ86" s="310">
        <f t="shared" si="71"/>
        <v>0.22124624999999998</v>
      </c>
      <c r="AK86">
        <f t="shared" si="85"/>
        <v>3.6000000000000004E-2</v>
      </c>
      <c r="AL86" s="310">
        <f t="shared" si="72"/>
        <v>3.0374999999999999E-2</v>
      </c>
      <c r="AM86" s="310">
        <f t="shared" si="86"/>
        <v>5.5427027027027023E-2</v>
      </c>
      <c r="AN86" s="310">
        <f t="shared" si="90"/>
        <v>6.6375000000000003E-2</v>
      </c>
      <c r="AO86" s="310">
        <f t="shared" si="73"/>
        <v>1.8051895170674148</v>
      </c>
      <c r="AP86">
        <f t="shared" si="74"/>
        <v>28.875</v>
      </c>
      <c r="AQ86" s="9">
        <f t="shared" si="91"/>
        <v>0.94116107020580209</v>
      </c>
      <c r="AR86" s="51">
        <f t="shared" si="75"/>
        <v>40.712085216313483</v>
      </c>
      <c r="AS86" s="51">
        <f t="shared" si="92"/>
        <v>13.66518133681984</v>
      </c>
      <c r="AT86" s="9"/>
      <c r="AU86">
        <f t="shared" si="93"/>
        <v>94.116107020580202</v>
      </c>
      <c r="BE86" s="540"/>
      <c r="BF86" s="21"/>
    </row>
    <row r="87" spans="1:58">
      <c r="G87">
        <v>78</v>
      </c>
      <c r="H87">
        <f t="shared" si="55"/>
        <v>5.8500000000000005</v>
      </c>
      <c r="I87" s="309">
        <f t="shared" si="76"/>
        <v>0.28689387922925719</v>
      </c>
      <c r="J87" s="310">
        <f t="shared" si="56"/>
        <v>4.5207520363398102</v>
      </c>
      <c r="K87" s="310">
        <f t="shared" si="77"/>
        <v>8.1103760181699052</v>
      </c>
      <c r="L87" s="310">
        <f t="shared" si="78"/>
        <v>3.5896239818300955</v>
      </c>
      <c r="M87" s="51">
        <f t="shared" si="57"/>
        <v>0</v>
      </c>
      <c r="N87" s="309">
        <f t="shared" si="58"/>
        <v>5.9937967862203907</v>
      </c>
      <c r="O87" s="309">
        <f t="shared" si="79"/>
        <v>0.21933589074680887</v>
      </c>
      <c r="P87">
        <f t="shared" si="59"/>
        <v>0.2</v>
      </c>
      <c r="Q87" s="309">
        <f t="shared" si="80"/>
        <v>0.41933589074680888</v>
      </c>
      <c r="R87" s="8">
        <f t="shared" si="87"/>
        <v>1.3050287025601692</v>
      </c>
      <c r="S87" s="8">
        <f t="shared" si="81"/>
        <v>1.7030999145058788E-3</v>
      </c>
      <c r="T87" s="8">
        <f t="shared" si="88"/>
        <v>1.7030999145058788E-3</v>
      </c>
      <c r="U87" s="309">
        <f t="shared" si="60"/>
        <v>3.2104259410724403</v>
      </c>
      <c r="V87" s="311">
        <f t="shared" si="82"/>
        <v>2.0613669446221727E-2</v>
      </c>
      <c r="W87" s="309">
        <f t="shared" si="89"/>
        <v>2.0613669446221727E-2</v>
      </c>
      <c r="X87" s="309">
        <f t="shared" si="61"/>
        <v>3.2104259410724403</v>
      </c>
      <c r="Y87" s="309">
        <f t="shared" si="83"/>
        <v>0.53595540560176491</v>
      </c>
      <c r="Z87" s="309">
        <f t="shared" si="62"/>
        <v>6.4057291875002892E-2</v>
      </c>
      <c r="AA87" s="309">
        <f t="shared" si="63"/>
        <v>6.9304499999999991E-2</v>
      </c>
      <c r="AB87" s="309">
        <f t="shared" si="64"/>
        <v>0</v>
      </c>
      <c r="AC87" s="309">
        <f t="shared" si="65"/>
        <v>0.75878577136529324</v>
      </c>
      <c r="AD87" s="309">
        <f t="shared" si="66"/>
        <v>5.0614983148663617</v>
      </c>
      <c r="AE87" s="309">
        <f t="shared" si="84"/>
        <v>0.25618765191395021</v>
      </c>
      <c r="AF87" s="309">
        <f t="shared" si="67"/>
        <v>7.8975000000000004E-2</v>
      </c>
      <c r="AG87" s="309">
        <f t="shared" si="68"/>
        <v>0.34948818094565337</v>
      </c>
      <c r="AH87" s="309">
        <f t="shared" si="69"/>
        <v>0</v>
      </c>
      <c r="AI87">
        <f t="shared" si="70"/>
        <v>0</v>
      </c>
      <c r="AJ87" s="310">
        <f t="shared" si="71"/>
        <v>0.22119749999999996</v>
      </c>
      <c r="AK87">
        <f t="shared" si="85"/>
        <v>3.6000000000000004E-2</v>
      </c>
      <c r="AL87" s="310">
        <f t="shared" si="72"/>
        <v>3.0374999999999999E-2</v>
      </c>
      <c r="AM87" s="310">
        <f t="shared" si="86"/>
        <v>5.5427027027027023E-2</v>
      </c>
      <c r="AN87" s="310">
        <f t="shared" si="90"/>
        <v>6.6375000000000003E-2</v>
      </c>
      <c r="AO87" s="310">
        <f t="shared" si="73"/>
        <v>1.8374991124184832</v>
      </c>
      <c r="AP87">
        <f t="shared" si="74"/>
        <v>29.250000000000004</v>
      </c>
      <c r="AQ87" s="9">
        <f t="shared" si="91"/>
        <v>0.94089266860052889</v>
      </c>
      <c r="AR87" s="51">
        <f t="shared" si="75"/>
        <v>41.733217425091127</v>
      </c>
      <c r="AS87" s="51">
        <f t="shared" si="92"/>
        <v>13.979527237826135</v>
      </c>
      <c r="AT87" s="9"/>
      <c r="AU87">
        <f t="shared" si="93"/>
        <v>94.089266860052888</v>
      </c>
      <c r="BE87" s="540"/>
      <c r="BF87" s="21"/>
    </row>
    <row r="88" spans="1:58">
      <c r="G88">
        <v>79</v>
      </c>
      <c r="H88">
        <f t="shared" si="55"/>
        <v>5.9250000000000007</v>
      </c>
      <c r="I88" s="309">
        <f t="shared" si="76"/>
        <v>0.28701239074651497</v>
      </c>
      <c r="J88" s="310">
        <f t="shared" si="56"/>
        <v>4.5226194905511452</v>
      </c>
      <c r="K88" s="310">
        <f t="shared" si="77"/>
        <v>8.1863097452755724</v>
      </c>
      <c r="L88" s="310">
        <f t="shared" si="78"/>
        <v>3.6636902547244281</v>
      </c>
      <c r="M88" s="51">
        <f t="shared" si="57"/>
        <v>0</v>
      </c>
      <c r="N88" s="309">
        <f t="shared" si="58"/>
        <v>6.0671354241266746</v>
      </c>
      <c r="O88" s="309">
        <f t="shared" si="79"/>
        <v>0.22483334317497361</v>
      </c>
      <c r="P88">
        <f t="shared" si="59"/>
        <v>0.2</v>
      </c>
      <c r="Q88" s="309">
        <f t="shared" si="80"/>
        <v>0.42483334317497362</v>
      </c>
      <c r="R88" s="8">
        <f t="shared" si="87"/>
        <v>1.3055677901559759</v>
      </c>
      <c r="S88" s="8">
        <f t="shared" si="81"/>
        <v>1.7045072546927585E-3</v>
      </c>
      <c r="T88" s="8">
        <f t="shared" si="88"/>
        <v>1.7045072546927585E-3</v>
      </c>
      <c r="U88" s="309">
        <f t="shared" si="60"/>
        <v>3.2503790643730732</v>
      </c>
      <c r="V88" s="311">
        <f t="shared" si="82"/>
        <v>2.1129928124229549E-2</v>
      </c>
      <c r="W88" s="309">
        <f t="shared" si="89"/>
        <v>2.1129928124229549E-2</v>
      </c>
      <c r="X88" s="309">
        <f t="shared" si="61"/>
        <v>3.2503790643730732</v>
      </c>
      <c r="Y88" s="309">
        <f t="shared" si="83"/>
        <v>0.54937813122996826</v>
      </c>
      <c r="Z88" s="309">
        <f t="shared" si="62"/>
        <v>6.5033479545716019E-2</v>
      </c>
      <c r="AA88" s="309">
        <f t="shared" si="63"/>
        <v>6.9304499999999991E-2</v>
      </c>
      <c r="AB88" s="309">
        <f t="shared" si="64"/>
        <v>0</v>
      </c>
      <c r="AC88" s="309">
        <f t="shared" si="65"/>
        <v>0.77771298177962744</v>
      </c>
      <c r="AD88" s="309">
        <f t="shared" si="66"/>
        <v>5.1230038251574621</v>
      </c>
      <c r="AE88" s="309">
        <f t="shared" si="84"/>
        <v>0.26245168192577989</v>
      </c>
      <c r="AF88" s="309">
        <f t="shared" si="67"/>
        <v>7.9987500000000003E-2</v>
      </c>
      <c r="AG88" s="309">
        <f t="shared" si="68"/>
        <v>0.35744928864715919</v>
      </c>
      <c r="AH88" s="309">
        <f t="shared" si="69"/>
        <v>0</v>
      </c>
      <c r="AI88">
        <f t="shared" si="70"/>
        <v>0</v>
      </c>
      <c r="AJ88" s="310">
        <f t="shared" si="71"/>
        <v>0.22114874999999998</v>
      </c>
      <c r="AK88">
        <f t="shared" si="85"/>
        <v>3.6000000000000004E-2</v>
      </c>
      <c r="AL88" s="310">
        <f t="shared" si="72"/>
        <v>3.0374999999999999E-2</v>
      </c>
      <c r="AM88" s="310">
        <f t="shared" si="86"/>
        <v>5.5427027027027023E-2</v>
      </c>
      <c r="AN88" s="310">
        <f t="shared" si="90"/>
        <v>6.6375000000000003E-2</v>
      </c>
      <c r="AO88" s="310">
        <f t="shared" si="73"/>
        <v>1.8703537989806827</v>
      </c>
      <c r="AP88">
        <f t="shared" si="74"/>
        <v>29.625000000000004</v>
      </c>
      <c r="AQ88" s="9">
        <f t="shared" si="91"/>
        <v>0.94061492971572158</v>
      </c>
      <c r="AR88" s="51">
        <f t="shared" si="75"/>
        <v>42.774213997879507</v>
      </c>
      <c r="AS88" s="51">
        <f t="shared" si="92"/>
        <v>14.297971545886368</v>
      </c>
      <c r="AT88" s="9"/>
      <c r="AU88">
        <f t="shared" si="93"/>
        <v>94.061492971572164</v>
      </c>
      <c r="BE88" s="540"/>
      <c r="BF88" s="21"/>
    </row>
    <row r="89" spans="1:58">
      <c r="G89">
        <v>80</v>
      </c>
      <c r="H89">
        <f t="shared" si="55"/>
        <v>6</v>
      </c>
      <c r="I89" s="309">
        <f t="shared" si="76"/>
        <v>0.28713094433175568</v>
      </c>
      <c r="J89" s="310">
        <f t="shared" si="56"/>
        <v>4.524487607651908</v>
      </c>
      <c r="K89" s="310">
        <f t="shared" si="77"/>
        <v>8.2622438038259531</v>
      </c>
      <c r="L89" s="310">
        <f t="shared" si="78"/>
        <v>3.737756196174046</v>
      </c>
      <c r="M89" s="51">
        <f t="shared" si="57"/>
        <v>0</v>
      </c>
      <c r="N89" s="309">
        <f t="shared" si="58"/>
        <v>6.1405142843236646</v>
      </c>
      <c r="O89" s="309">
        <f t="shared" si="79"/>
        <v>0.23040556744665974</v>
      </c>
      <c r="P89">
        <f t="shared" si="59"/>
        <v>0.2</v>
      </c>
      <c r="Q89" s="309">
        <f t="shared" si="80"/>
        <v>0.43040556744665975</v>
      </c>
      <c r="R89" s="8">
        <f t="shared" si="87"/>
        <v>1.3061070691114776</v>
      </c>
      <c r="S89" s="8">
        <f t="shared" si="81"/>
        <v>1.7059156759829741E-3</v>
      </c>
      <c r="T89" s="8">
        <f t="shared" si="88"/>
        <v>1.7059156759829741E-3</v>
      </c>
      <c r="U89" s="309">
        <f t="shared" si="60"/>
        <v>3.2903700665637201</v>
      </c>
      <c r="V89" s="311">
        <f t="shared" si="82"/>
        <v>2.1653070349877079E-2</v>
      </c>
      <c r="W89" s="309">
        <f t="shared" si="89"/>
        <v>2.1653070349877079E-2</v>
      </c>
      <c r="X89" s="309">
        <f t="shared" si="61"/>
        <v>3.2903700665637201</v>
      </c>
      <c r="Y89" s="309">
        <f t="shared" si="83"/>
        <v>0.562979829096804</v>
      </c>
      <c r="Z89" s="309">
        <f t="shared" si="62"/>
        <v>6.6009665385324601E-2</v>
      </c>
      <c r="AA89" s="309">
        <f t="shared" si="63"/>
        <v>6.9304499999999991E-2</v>
      </c>
      <c r="AB89" s="309">
        <f t="shared" si="64"/>
        <v>0</v>
      </c>
      <c r="AC89" s="309">
        <f t="shared" si="65"/>
        <v>0.7970078499796005</v>
      </c>
      <c r="AD89" s="309">
        <f t="shared" si="66"/>
        <v>5.1845328141544655</v>
      </c>
      <c r="AE89" s="309">
        <f t="shared" si="84"/>
        <v>0.26879380501044425</v>
      </c>
      <c r="AF89" s="309">
        <f t="shared" si="67"/>
        <v>8.1000000000000003E-2</v>
      </c>
      <c r="AG89" s="309">
        <f t="shared" si="68"/>
        <v>0.36551344495474197</v>
      </c>
      <c r="AH89" s="309">
        <f t="shared" si="69"/>
        <v>0</v>
      </c>
      <c r="AI89">
        <f t="shared" si="70"/>
        <v>0</v>
      </c>
      <c r="AJ89" s="310">
        <f t="shared" si="71"/>
        <v>0.22109999999999996</v>
      </c>
      <c r="AK89">
        <f t="shared" si="85"/>
        <v>3.6000000000000004E-2</v>
      </c>
      <c r="AL89" s="310">
        <f t="shared" si="72"/>
        <v>3.0374999999999999E-2</v>
      </c>
      <c r="AM89" s="310">
        <f t="shared" si="86"/>
        <v>5.5427027027027023E-2</v>
      </c>
      <c r="AN89" s="310">
        <f t="shared" si="90"/>
        <v>6.6375000000000003E-2</v>
      </c>
      <c r="AO89" s="310">
        <f t="shared" si="73"/>
        <v>1.9037608484068624</v>
      </c>
      <c r="AP89">
        <f t="shared" si="74"/>
        <v>30</v>
      </c>
      <c r="AQ89" s="9">
        <f t="shared" si="91"/>
        <v>0.94032801156413115</v>
      </c>
      <c r="AR89" s="51">
        <f t="shared" si="75"/>
        <v>43.83543174887803</v>
      </c>
      <c r="AS89" s="51">
        <f t="shared" si="92"/>
        <v>14.620537798189678</v>
      </c>
      <c r="AT89" s="9"/>
      <c r="AU89">
        <f t="shared" si="93"/>
        <v>94.032801156413115</v>
      </c>
      <c r="BE89" s="540"/>
      <c r="BF89" s="21"/>
    </row>
    <row r="90" spans="1:58">
      <c r="G90">
        <v>81</v>
      </c>
      <c r="H90">
        <f t="shared" si="55"/>
        <v>6.0750000000000002</v>
      </c>
      <c r="I90" s="309">
        <f t="shared" si="76"/>
        <v>0.28724954000738245</v>
      </c>
      <c r="J90" s="310">
        <f t="shared" si="56"/>
        <v>4.5263563879951176</v>
      </c>
      <c r="K90" s="310">
        <f t="shared" si="77"/>
        <v>8.3381781939975586</v>
      </c>
      <c r="L90" s="310">
        <f t="shared" si="78"/>
        <v>3.8118218060024414</v>
      </c>
      <c r="M90" s="51">
        <f t="shared" si="57"/>
        <v>0</v>
      </c>
      <c r="N90" s="309">
        <f t="shared" si="58"/>
        <v>6.2139319419560763</v>
      </c>
      <c r="O90" s="309">
        <f t="shared" si="79"/>
        <v>0.23605275382262683</v>
      </c>
      <c r="P90">
        <f t="shared" si="59"/>
        <v>0.2</v>
      </c>
      <c r="Q90" s="309">
        <f t="shared" si="80"/>
        <v>0.43605275382262687</v>
      </c>
      <c r="R90" s="8">
        <f t="shared" si="87"/>
        <v>1.3066465395285818</v>
      </c>
      <c r="S90" s="8">
        <f t="shared" si="81"/>
        <v>1.7073251792620178E-3</v>
      </c>
      <c r="T90" s="8">
        <f t="shared" si="88"/>
        <v>1.7073251792620178E-3</v>
      </c>
      <c r="U90" s="309">
        <f t="shared" si="60"/>
        <v>3.3303982010145559</v>
      </c>
      <c r="V90" s="311">
        <f t="shared" si="82"/>
        <v>2.2183104354641981E-2</v>
      </c>
      <c r="W90" s="309">
        <f t="shared" si="89"/>
        <v>2.2183104354641981E-2</v>
      </c>
      <c r="X90" s="309">
        <f t="shared" si="61"/>
        <v>3.3303982010145559</v>
      </c>
      <c r="Y90" s="309">
        <f t="shared" si="83"/>
        <v>0.57676071322069145</v>
      </c>
      <c r="Z90" s="309">
        <f t="shared" si="62"/>
        <v>6.6985849392853486E-2</v>
      </c>
      <c r="AA90" s="309">
        <f t="shared" si="63"/>
        <v>6.9304499999999991E-2</v>
      </c>
      <c r="AB90" s="309">
        <f t="shared" si="64"/>
        <v>0</v>
      </c>
      <c r="AC90" s="309">
        <f t="shared" si="65"/>
        <v>0.81667705565324344</v>
      </c>
      <c r="AD90" s="309">
        <f t="shared" si="66"/>
        <v>5.2460840635602697</v>
      </c>
      <c r="AE90" s="309">
        <f t="shared" si="84"/>
        <v>0.27521398001941033</v>
      </c>
      <c r="AF90" s="309">
        <f t="shared" si="67"/>
        <v>8.2012500000000002E-2</v>
      </c>
      <c r="AG90" s="309">
        <f t="shared" si="68"/>
        <v>0.37368124860956409</v>
      </c>
      <c r="AH90" s="309">
        <f t="shared" si="69"/>
        <v>0</v>
      </c>
      <c r="AI90">
        <f t="shared" si="70"/>
        <v>0</v>
      </c>
      <c r="AJ90" s="310">
        <f t="shared" si="71"/>
        <v>0.22105125</v>
      </c>
      <c r="AK90">
        <f t="shared" si="85"/>
        <v>3.6000000000000004E-2</v>
      </c>
      <c r="AL90" s="310">
        <f t="shared" si="72"/>
        <v>3.0374999999999999E-2</v>
      </c>
      <c r="AM90" s="310">
        <f t="shared" si="86"/>
        <v>5.5427027027027023E-2</v>
      </c>
      <c r="AN90" s="310">
        <f t="shared" si="90"/>
        <v>6.6375000000000003E-2</v>
      </c>
      <c r="AO90" s="310">
        <f t="shared" si="73"/>
        <v>1.9377277376193385</v>
      </c>
      <c r="AP90">
        <f t="shared" si="74"/>
        <v>30.375</v>
      </c>
      <c r="AQ90" s="9">
        <f t="shared" si="91"/>
        <v>0.9400320593992012</v>
      </c>
      <c r="AR90" s="51">
        <f t="shared" si="75"/>
        <v>44.917238060928391</v>
      </c>
      <c r="AS90" s="51">
        <f t="shared" si="92"/>
        <v>14.947249944382563</v>
      </c>
      <c r="AT90" s="9"/>
      <c r="AU90">
        <f t="shared" si="93"/>
        <v>94.003205939920122</v>
      </c>
      <c r="BE90" s="540"/>
      <c r="BF90" s="21"/>
    </row>
    <row r="91" spans="1:58">
      <c r="G91">
        <v>82</v>
      </c>
      <c r="H91">
        <f t="shared" si="55"/>
        <v>6.1499999999999995</v>
      </c>
      <c r="I91" s="309">
        <f t="shared" si="76"/>
        <v>0.28736817779581442</v>
      </c>
      <c r="J91" s="310">
        <f t="shared" si="56"/>
        <v>4.528225831934046</v>
      </c>
      <c r="K91" s="310">
        <f t="shared" si="77"/>
        <v>8.4141129159670225</v>
      </c>
      <c r="L91" s="310">
        <f t="shared" si="78"/>
        <v>3.8858870840329764</v>
      </c>
      <c r="M91" s="51">
        <f t="shared" si="57"/>
        <v>0</v>
      </c>
      <c r="N91" s="309">
        <f t="shared" si="58"/>
        <v>6.2873870379845567</v>
      </c>
      <c r="O91" s="309">
        <f t="shared" si="79"/>
        <v>0.2417750953752909</v>
      </c>
      <c r="P91">
        <f t="shared" si="59"/>
        <v>0.2</v>
      </c>
      <c r="Q91" s="309">
        <f t="shared" si="80"/>
        <v>0.44177509537529092</v>
      </c>
      <c r="R91" s="8">
        <f t="shared" si="87"/>
        <v>1.3071862015092695</v>
      </c>
      <c r="S91" s="8">
        <f t="shared" si="81"/>
        <v>1.7087357654162326E-3</v>
      </c>
      <c r="T91" s="8">
        <f t="shared" si="88"/>
        <v>1.7087357654162326E-3</v>
      </c>
      <c r="U91" s="309">
        <f t="shared" si="60"/>
        <v>3.3704627557539313</v>
      </c>
      <c r="V91" s="311">
        <f t="shared" si="82"/>
        <v>2.272003837584877E-2</v>
      </c>
      <c r="W91" s="309">
        <f t="shared" si="89"/>
        <v>2.272003837584877E-2</v>
      </c>
      <c r="X91" s="309">
        <f t="shared" si="61"/>
        <v>3.3704627557539313</v>
      </c>
      <c r="Y91" s="309">
        <f t="shared" si="83"/>
        <v>0.59072099777206799</v>
      </c>
      <c r="Z91" s="309">
        <f t="shared" si="62"/>
        <v>6.7962031567326789E-2</v>
      </c>
      <c r="AA91" s="309">
        <f t="shared" si="63"/>
        <v>6.9304499999999991E-2</v>
      </c>
      <c r="AB91" s="309">
        <f t="shared" si="64"/>
        <v>0</v>
      </c>
      <c r="AC91" s="309">
        <f t="shared" si="65"/>
        <v>0.83672747717962204</v>
      </c>
      <c r="AD91" s="309">
        <f t="shared" si="66"/>
        <v>5.3076564110247224</v>
      </c>
      <c r="AE91" s="309">
        <f t="shared" si="84"/>
        <v>0.28171216577491837</v>
      </c>
      <c r="AF91" s="309">
        <f t="shared" si="67"/>
        <v>8.3024999999999988E-2</v>
      </c>
      <c r="AG91" s="309">
        <f t="shared" si="68"/>
        <v>0.38195330878997763</v>
      </c>
      <c r="AH91" s="309">
        <f t="shared" si="69"/>
        <v>0</v>
      </c>
      <c r="AI91">
        <f t="shared" si="70"/>
        <v>0</v>
      </c>
      <c r="AJ91" s="310">
        <f t="shared" si="71"/>
        <v>0.22100249999999996</v>
      </c>
      <c r="AK91">
        <f t="shared" si="85"/>
        <v>3.6000000000000004E-2</v>
      </c>
      <c r="AL91" s="310">
        <f t="shared" si="72"/>
        <v>3.0374999999999999E-2</v>
      </c>
      <c r="AM91" s="310">
        <f t="shared" si="86"/>
        <v>5.5427027027027023E-2</v>
      </c>
      <c r="AN91" s="310">
        <f t="shared" si="90"/>
        <v>6.6375000000000003E-2</v>
      </c>
      <c r="AO91" s="310">
        <f t="shared" si="73"/>
        <v>1.9722621554861557</v>
      </c>
      <c r="AP91">
        <f t="shared" si="74"/>
        <v>30.749999999999996</v>
      </c>
      <c r="AQ91" s="9">
        <f t="shared" si="91"/>
        <v>0.93972720632471651</v>
      </c>
      <c r="AR91" s="51">
        <f t="shared" si="75"/>
        <v>46.020011244879214</v>
      </c>
      <c r="AS91" s="51">
        <f t="shared" si="92"/>
        <v>15.278132351599105</v>
      </c>
      <c r="AT91" s="9"/>
      <c r="AU91">
        <f t="shared" si="93"/>
        <v>93.972720632471649</v>
      </c>
      <c r="BE91" s="540"/>
      <c r="BF91" s="21"/>
    </row>
    <row r="92" spans="1:58">
      <c r="G92">
        <v>83</v>
      </c>
      <c r="H92">
        <f t="shared" si="55"/>
        <v>6.2249999999999996</v>
      </c>
      <c r="I92" s="309">
        <f t="shared" si="76"/>
        <v>0.28748685771948662</v>
      </c>
      <c r="J92" s="310">
        <f t="shared" si="56"/>
        <v>4.530095939822214</v>
      </c>
      <c r="K92" s="310">
        <f t="shared" si="77"/>
        <v>8.4900479699111067</v>
      </c>
      <c r="L92" s="310">
        <f t="shared" si="78"/>
        <v>3.9599520300888926</v>
      </c>
      <c r="M92" s="51">
        <f t="shared" si="57"/>
        <v>0</v>
      </c>
      <c r="N92" s="309">
        <f t="shared" si="58"/>
        <v>6.3608782754689468</v>
      </c>
      <c r="O92" s="309">
        <f t="shared" si="79"/>
        <v>0.24757278800560104</v>
      </c>
      <c r="P92">
        <f t="shared" si="59"/>
        <v>0.2</v>
      </c>
      <c r="Q92" s="309">
        <f t="shared" si="80"/>
        <v>0.44757278800560107</v>
      </c>
      <c r="R92" s="8">
        <f t="shared" si="87"/>
        <v>1.3077260551555931</v>
      </c>
      <c r="S92" s="8">
        <f t="shared" si="81"/>
        <v>1.7101474353328095E-3</v>
      </c>
      <c r="T92" s="8">
        <f t="shared" si="88"/>
        <v>1.7101474353328095E-3</v>
      </c>
      <c r="U92" s="309">
        <f t="shared" si="60"/>
        <v>3.4105630515117364</v>
      </c>
      <c r="V92" s="311">
        <f t="shared" si="82"/>
        <v>2.3263880656674094E-2</v>
      </c>
      <c r="W92" s="309">
        <f t="shared" si="89"/>
        <v>2.3263880656674094E-2</v>
      </c>
      <c r="X92" s="309">
        <f t="shared" si="61"/>
        <v>3.4105630515117364</v>
      </c>
      <c r="Y92" s="309">
        <f t="shared" si="83"/>
        <v>0.60486089707352642</v>
      </c>
      <c r="Z92" s="309">
        <f t="shared" si="62"/>
        <v>6.8938211907768013E-2</v>
      </c>
      <c r="AA92" s="309">
        <f t="shared" si="63"/>
        <v>6.9304499999999991E-2</v>
      </c>
      <c r="AB92" s="309">
        <f t="shared" si="64"/>
        <v>0</v>
      </c>
      <c r="AC92" s="309">
        <f t="shared" si="65"/>
        <v>0.8571661984420641</v>
      </c>
      <c r="AD92" s="309">
        <f t="shared" si="66"/>
        <v>5.3692487469846055</v>
      </c>
      <c r="AE92" s="309">
        <f t="shared" si="84"/>
        <v>0.28828832106995755</v>
      </c>
      <c r="AF92" s="309">
        <f t="shared" si="67"/>
        <v>8.4037500000000001E-2</v>
      </c>
      <c r="AG92" s="309">
        <f t="shared" si="68"/>
        <v>0.39033024524005017</v>
      </c>
      <c r="AH92" s="309">
        <f t="shared" si="69"/>
        <v>0</v>
      </c>
      <c r="AI92">
        <f t="shared" si="70"/>
        <v>0</v>
      </c>
      <c r="AJ92" s="310">
        <f t="shared" si="71"/>
        <v>0.22095375</v>
      </c>
      <c r="AK92">
        <f t="shared" si="85"/>
        <v>3.6000000000000004E-2</v>
      </c>
      <c r="AL92" s="310">
        <f t="shared" si="72"/>
        <v>3.0374999999999999E-2</v>
      </c>
      <c r="AM92" s="310">
        <f t="shared" si="86"/>
        <v>5.5427027027027023E-2</v>
      </c>
      <c r="AN92" s="310">
        <f t="shared" si="90"/>
        <v>6.6375000000000003E-2</v>
      </c>
      <c r="AO92" s="310">
        <f t="shared" si="73"/>
        <v>2.0073720097797221</v>
      </c>
      <c r="AP92">
        <f t="shared" si="74"/>
        <v>31.125</v>
      </c>
      <c r="AQ92" s="9">
        <f t="shared" si="91"/>
        <v>0.93941357385498381</v>
      </c>
      <c r="AR92" s="51">
        <f t="shared" si="75"/>
        <v>47.144140914313525</v>
      </c>
      <c r="AS92" s="51">
        <f t="shared" si="92"/>
        <v>15.613209809602006</v>
      </c>
      <c r="AT92" s="9"/>
      <c r="AU92">
        <f t="shared" si="93"/>
        <v>93.941357385498378</v>
      </c>
      <c r="BE92" s="540"/>
      <c r="BF92" s="21"/>
    </row>
    <row r="93" spans="1:58">
      <c r="G93">
        <v>84</v>
      </c>
      <c r="H93">
        <f t="shared" si="55"/>
        <v>6.3</v>
      </c>
      <c r="I93" s="309">
        <f t="shared" si="76"/>
        <v>0.28760557980085028</v>
      </c>
      <c r="J93" s="310">
        <f t="shared" si="56"/>
        <v>4.5319667120133982</v>
      </c>
      <c r="K93" s="310">
        <f t="shared" si="77"/>
        <v>8.5659833560066989</v>
      </c>
      <c r="L93" s="310">
        <f t="shared" si="78"/>
        <v>4.0340166439933007</v>
      </c>
      <c r="M93" s="51">
        <f t="shared" si="57"/>
        <v>0</v>
      </c>
      <c r="N93" s="309">
        <f t="shared" si="58"/>
        <v>6.4344044160978715</v>
      </c>
      <c r="O93" s="309">
        <f t="shared" si="79"/>
        <v>0.25344603046019337</v>
      </c>
      <c r="P93">
        <f t="shared" si="59"/>
        <v>0.2</v>
      </c>
      <c r="Q93" s="309">
        <f t="shared" si="80"/>
        <v>0.45344603046019338</v>
      </c>
      <c r="R93" s="8">
        <f t="shared" si="87"/>
        <v>1.3082661005696794</v>
      </c>
      <c r="S93" s="8">
        <f t="shared" si="81"/>
        <v>1.7115601898997947E-3</v>
      </c>
      <c r="T93" s="8">
        <f t="shared" si="88"/>
        <v>1.7115601898997947E-3</v>
      </c>
      <c r="U93" s="309">
        <f t="shared" si="60"/>
        <v>3.4506984398924128</v>
      </c>
      <c r="V93" s="311">
        <f t="shared" si="82"/>
        <v>2.3814639446151864E-2</v>
      </c>
      <c r="W93" s="309">
        <f t="shared" si="89"/>
        <v>2.3814639446151864E-2</v>
      </c>
      <c r="X93" s="309">
        <f t="shared" si="61"/>
        <v>3.4506984398924128</v>
      </c>
      <c r="Y93" s="309">
        <f t="shared" si="83"/>
        <v>0.61918062559994835</v>
      </c>
      <c r="Z93" s="309">
        <f t="shared" si="62"/>
        <v>6.9914390413199912E-2</v>
      </c>
      <c r="AA93" s="309">
        <f t="shared" si="63"/>
        <v>6.9304499999999991E-2</v>
      </c>
      <c r="AB93" s="309">
        <f t="shared" si="64"/>
        <v>0</v>
      </c>
      <c r="AC93" s="309">
        <f t="shared" si="65"/>
        <v>0.87800051593449602</v>
      </c>
      <c r="AD93" s="309">
        <f t="shared" si="66"/>
        <v>5.4308600117130492</v>
      </c>
      <c r="AE93" s="309">
        <f t="shared" si="84"/>
        <v>0.29494240466823862</v>
      </c>
      <c r="AF93" s="309">
        <f t="shared" si="67"/>
        <v>8.5050000000000001E-2</v>
      </c>
      <c r="AG93" s="309">
        <f t="shared" si="68"/>
        <v>0.3988126884009055</v>
      </c>
      <c r="AH93" s="309">
        <f t="shared" si="69"/>
        <v>0</v>
      </c>
      <c r="AI93">
        <f t="shared" si="70"/>
        <v>0</v>
      </c>
      <c r="AJ93" s="310">
        <f t="shared" si="71"/>
        <v>0.22090499999999999</v>
      </c>
      <c r="AK93">
        <f t="shared" si="85"/>
        <v>3.6000000000000004E-2</v>
      </c>
      <c r="AL93" s="310">
        <f t="shared" si="72"/>
        <v>3.0374999999999999E-2</v>
      </c>
      <c r="AM93" s="310">
        <f t="shared" si="86"/>
        <v>5.5427027027027023E-2</v>
      </c>
      <c r="AN93" s="310">
        <f t="shared" si="90"/>
        <v>6.6375000000000003E-2</v>
      </c>
      <c r="AO93" s="310">
        <f t="shared" si="73"/>
        <v>2.0430654344316466</v>
      </c>
      <c r="AP93">
        <f t="shared" si="74"/>
        <v>31.5</v>
      </c>
      <c r="AQ93" s="9">
        <f t="shared" si="91"/>
        <v>0.93909127242930934</v>
      </c>
      <c r="AR93" s="51">
        <f t="shared" si="75"/>
        <v>48.290028376397281</v>
      </c>
      <c r="AS93" s="51">
        <f t="shared" si="92"/>
        <v>15.952507536036221</v>
      </c>
      <c r="AT93" s="9"/>
      <c r="AU93">
        <f t="shared" si="93"/>
        <v>93.909127242930936</v>
      </c>
      <c r="BE93" s="540"/>
      <c r="BF93" s="21"/>
    </row>
    <row r="94" spans="1:58">
      <c r="G94">
        <v>85</v>
      </c>
      <c r="H94">
        <f t="shared" si="55"/>
        <v>6.375</v>
      </c>
      <c r="I94" s="309">
        <f t="shared" si="76"/>
        <v>0.28772434406237218</v>
      </c>
      <c r="J94" s="310">
        <f t="shared" si="56"/>
        <v>4.533838148861622</v>
      </c>
      <c r="K94" s="310">
        <f t="shared" si="77"/>
        <v>8.6419190744308114</v>
      </c>
      <c r="L94" s="310">
        <f t="shared" si="78"/>
        <v>4.1080809255691886</v>
      </c>
      <c r="M94" s="51">
        <f t="shared" si="57"/>
        <v>0</v>
      </c>
      <c r="N94" s="309">
        <f t="shared" si="58"/>
        <v>6.5079642769460619</v>
      </c>
      <c r="O94" s="309">
        <f t="shared" si="79"/>
        <v>0.25939502434882794</v>
      </c>
      <c r="P94">
        <f t="shared" si="59"/>
        <v>0.2</v>
      </c>
      <c r="Q94" s="309">
        <f t="shared" si="80"/>
        <v>0.45939502434882795</v>
      </c>
      <c r="R94" s="8">
        <f t="shared" si="87"/>
        <v>1.308806337853726</v>
      </c>
      <c r="S94" s="8">
        <f t="shared" si="81"/>
        <v>1.7129740300060817E-3</v>
      </c>
      <c r="T94" s="8">
        <f t="shared" si="88"/>
        <v>1.7129740300060817E-3</v>
      </c>
      <c r="U94" s="309">
        <f t="shared" si="60"/>
        <v>3.490868301667827</v>
      </c>
      <c r="V94" s="311">
        <f t="shared" si="82"/>
        <v>2.4372322999178436E-2</v>
      </c>
      <c r="W94" s="309">
        <f t="shared" si="89"/>
        <v>2.4372322999178436E-2</v>
      </c>
      <c r="X94" s="309">
        <f t="shared" si="61"/>
        <v>3.490868301667827</v>
      </c>
      <c r="Y94" s="309">
        <f t="shared" si="83"/>
        <v>0.63368039797863929</v>
      </c>
      <c r="Z94" s="309">
        <f t="shared" si="62"/>
        <v>7.0890567082644559E-2</v>
      </c>
      <c r="AA94" s="309">
        <f t="shared" si="63"/>
        <v>6.9304499999999991E-2</v>
      </c>
      <c r="AB94" s="309">
        <f t="shared" si="64"/>
        <v>0</v>
      </c>
      <c r="AC94" s="309">
        <f t="shared" si="65"/>
        <v>0.89923794617547725</v>
      </c>
      <c r="AD94" s="309">
        <f t="shared" si="66"/>
        <v>5.4924891925625907</v>
      </c>
      <c r="AE94" s="309">
        <f t="shared" si="84"/>
        <v>0.30167437530416857</v>
      </c>
      <c r="AF94" s="309">
        <f t="shared" si="67"/>
        <v>8.60625E-2</v>
      </c>
      <c r="AG94" s="309">
        <f t="shared" si="68"/>
        <v>0.40740127954494293</v>
      </c>
      <c r="AH94" s="309">
        <f t="shared" si="69"/>
        <v>0</v>
      </c>
      <c r="AI94">
        <f t="shared" si="70"/>
        <v>0</v>
      </c>
      <c r="AJ94" s="310">
        <f t="shared" si="71"/>
        <v>0.22085625</v>
      </c>
      <c r="AK94">
        <f t="shared" si="85"/>
        <v>3.6000000000000004E-2</v>
      </c>
      <c r="AL94" s="310">
        <f t="shared" si="72"/>
        <v>3.0374999999999999E-2</v>
      </c>
      <c r="AM94" s="310">
        <f t="shared" si="86"/>
        <v>5.5427027027027023E-2</v>
      </c>
      <c r="AN94" s="310">
        <f t="shared" si="90"/>
        <v>6.6375000000000003E-2</v>
      </c>
      <c r="AO94" s="310">
        <f t="shared" si="73"/>
        <v>2.0793507970984324</v>
      </c>
      <c r="AP94">
        <f t="shared" si="74"/>
        <v>31.875</v>
      </c>
      <c r="AQ94" s="9">
        <f t="shared" si="91"/>
        <v>0.93876040188416365</v>
      </c>
      <c r="AR94" s="51">
        <f t="shared" si="75"/>
        <v>49.458087039651247</v>
      </c>
      <c r="AS94" s="51">
        <f t="shared" si="92"/>
        <v>16.296051181797718</v>
      </c>
      <c r="AT94" s="9"/>
      <c r="AU94">
        <f t="shared" si="93"/>
        <v>93.876040188416368</v>
      </c>
      <c r="BE94" s="540"/>
      <c r="BF94" s="21"/>
    </row>
    <row r="95" spans="1:58">
      <c r="G95">
        <v>86</v>
      </c>
      <c r="H95">
        <f t="shared" si="55"/>
        <v>6.45</v>
      </c>
      <c r="I95" s="309">
        <f t="shared" si="76"/>
        <v>0.28784315052653547</v>
      </c>
      <c r="J95" s="310">
        <f t="shared" si="56"/>
        <v>4.5357102507211655</v>
      </c>
      <c r="K95" s="310">
        <f t="shared" si="77"/>
        <v>8.7178551253605825</v>
      </c>
      <c r="L95" s="310">
        <f t="shared" si="78"/>
        <v>4.1821448746394179</v>
      </c>
      <c r="M95" s="51">
        <f t="shared" si="57"/>
        <v>0</v>
      </c>
      <c r="N95" s="309">
        <f t="shared" si="58"/>
        <v>6.5815567274423321</v>
      </c>
      <c r="O95" s="309">
        <f t="shared" si="79"/>
        <v>0.26541997416211005</v>
      </c>
      <c r="P95">
        <f t="shared" si="59"/>
        <v>0.2</v>
      </c>
      <c r="Q95" s="309">
        <f t="shared" si="80"/>
        <v>0.46541997416211006</v>
      </c>
      <c r="R95" s="8">
        <f t="shared" si="87"/>
        <v>1.309346767110005</v>
      </c>
      <c r="S95" s="8">
        <f t="shared" si="81"/>
        <v>1.7143889565414217E-3</v>
      </c>
      <c r="T95" s="8">
        <f t="shared" si="88"/>
        <v>1.7143889565414217E-3</v>
      </c>
      <c r="U95" s="309">
        <f t="shared" si="60"/>
        <v>3.5310720451810345</v>
      </c>
      <c r="V95" s="311">
        <f t="shared" si="82"/>
        <v>2.4936939576517946E-2</v>
      </c>
      <c r="W95" s="309">
        <f t="shared" si="89"/>
        <v>2.4936939576517946E-2</v>
      </c>
      <c r="X95" s="309">
        <f t="shared" si="61"/>
        <v>3.5310720451810345</v>
      </c>
      <c r="Y95" s="309">
        <f t="shared" si="83"/>
        <v>0.64836042898946655</v>
      </c>
      <c r="Z95" s="309">
        <f t="shared" si="62"/>
        <v>7.1866741915123308E-2</v>
      </c>
      <c r="AA95" s="309">
        <f t="shared" si="63"/>
        <v>6.9304499999999991E-2</v>
      </c>
      <c r="AB95" s="309">
        <f t="shared" si="64"/>
        <v>0</v>
      </c>
      <c r="AC95" s="309">
        <f t="shared" si="65"/>
        <v>0.92088623344535758</v>
      </c>
      <c r="AD95" s="309">
        <f t="shared" si="66"/>
        <v>5.5541353213873395</v>
      </c>
      <c r="AE95" s="309">
        <f t="shared" si="84"/>
        <v>0.30848419168282443</v>
      </c>
      <c r="AF95" s="309">
        <f t="shared" si="67"/>
        <v>8.7075E-2</v>
      </c>
      <c r="AG95" s="309">
        <f t="shared" si="68"/>
        <v>0.41609667091298547</v>
      </c>
      <c r="AH95" s="309">
        <f t="shared" si="69"/>
        <v>0</v>
      </c>
      <c r="AI95">
        <f t="shared" si="70"/>
        <v>0</v>
      </c>
      <c r="AJ95" s="310">
        <f t="shared" si="71"/>
        <v>0.22080749999999999</v>
      </c>
      <c r="AK95">
        <f t="shared" si="85"/>
        <v>3.6000000000000004E-2</v>
      </c>
      <c r="AL95" s="310">
        <f t="shared" si="72"/>
        <v>3.0374999999999999E-2</v>
      </c>
      <c r="AM95" s="310">
        <f t="shared" si="86"/>
        <v>5.5427027027027023E-2</v>
      </c>
      <c r="AN95" s="310">
        <f t="shared" si="90"/>
        <v>6.6375000000000003E-2</v>
      </c>
      <c r="AO95" s="310">
        <f t="shared" si="73"/>
        <v>2.1162367070535124</v>
      </c>
      <c r="AP95">
        <f t="shared" si="74"/>
        <v>32.25</v>
      </c>
      <c r="AQ95" s="9">
        <f t="shared" si="91"/>
        <v>0.93842105188610414</v>
      </c>
      <c r="AR95" s="51">
        <f t="shared" si="75"/>
        <v>50.648742839494666</v>
      </c>
      <c r="AS95" s="51">
        <f t="shared" si="92"/>
        <v>16.643866836519418</v>
      </c>
      <c r="AT95" s="9"/>
      <c r="AU95">
        <f t="shared" si="93"/>
        <v>93.842105188610418</v>
      </c>
      <c r="BE95" s="540"/>
      <c r="BF95" s="21"/>
    </row>
    <row r="96" spans="1:58">
      <c r="G96">
        <v>87</v>
      </c>
      <c r="H96">
        <f t="shared" si="55"/>
        <v>6.5250000000000004</v>
      </c>
      <c r="I96" s="309">
        <f t="shared" si="76"/>
        <v>0.28796199921583898</v>
      </c>
      <c r="J96" s="310">
        <f t="shared" si="56"/>
        <v>4.5375830179465542</v>
      </c>
      <c r="K96" s="310">
        <f t="shared" si="77"/>
        <v>8.7937915089732783</v>
      </c>
      <c r="L96" s="310">
        <f t="shared" si="78"/>
        <v>4.2562084910267233</v>
      </c>
      <c r="M96" s="51">
        <f t="shared" si="57"/>
        <v>0</v>
      </c>
      <c r="N96" s="309">
        <f t="shared" si="58"/>
        <v>6.6551806865325913</v>
      </c>
      <c r="O96" s="309">
        <f t="shared" si="79"/>
        <v>0.27152108728949947</v>
      </c>
      <c r="P96">
        <f t="shared" si="59"/>
        <v>0.2</v>
      </c>
      <c r="Q96" s="309">
        <f t="shared" si="80"/>
        <v>0.47152108728949949</v>
      </c>
      <c r="R96" s="8">
        <f t="shared" si="87"/>
        <v>1.3098873884408588</v>
      </c>
      <c r="S96" s="8">
        <f t="shared" si="81"/>
        <v>1.7158049703964134E-3</v>
      </c>
      <c r="T96" s="8">
        <f t="shared" si="88"/>
        <v>1.7158049703964134E-3</v>
      </c>
      <c r="U96" s="309">
        <f t="shared" si="60"/>
        <v>3.5713091048526837</v>
      </c>
      <c r="V96" s="311">
        <f t="shared" si="82"/>
        <v>2.5508497444807356E-2</v>
      </c>
      <c r="W96" s="309">
        <f t="shared" si="89"/>
        <v>2.5508497444807356E-2</v>
      </c>
      <c r="X96" s="309">
        <f t="shared" si="61"/>
        <v>3.5713091048526837</v>
      </c>
      <c r="Y96" s="309">
        <f t="shared" si="83"/>
        <v>0.66322093356499112</v>
      </c>
      <c r="Z96" s="309">
        <f t="shared" si="62"/>
        <v>7.2842914909656858E-2</v>
      </c>
      <c r="AA96" s="309">
        <f t="shared" si="63"/>
        <v>6.9304499999999991E-2</v>
      </c>
      <c r="AB96" s="309">
        <f t="shared" si="64"/>
        <v>0</v>
      </c>
      <c r="AC96" s="309">
        <f t="shared" si="65"/>
        <v>0.94295335786285861</v>
      </c>
      <c r="AD96" s="309">
        <f t="shared" si="66"/>
        <v>5.6157974721309829</v>
      </c>
      <c r="AE96" s="309">
        <f t="shared" si="84"/>
        <v>0.3153718124799274</v>
      </c>
      <c r="AF96" s="309">
        <f t="shared" si="67"/>
        <v>8.8087499999999999E-2</v>
      </c>
      <c r="AG96" s="309">
        <f t="shared" si="68"/>
        <v>0.42489952585441854</v>
      </c>
      <c r="AH96" s="309">
        <f t="shared" si="69"/>
        <v>0</v>
      </c>
      <c r="AI96">
        <f t="shared" si="70"/>
        <v>0</v>
      </c>
      <c r="AJ96" s="310">
        <f t="shared" si="71"/>
        <v>0.22075874999999998</v>
      </c>
      <c r="AK96">
        <f t="shared" si="85"/>
        <v>3.6000000000000004E-2</v>
      </c>
      <c r="AL96" s="310">
        <f t="shared" si="72"/>
        <v>3.0374999999999999E-2</v>
      </c>
      <c r="AM96" s="310">
        <f t="shared" si="86"/>
        <v>5.5427027027027023E-2</v>
      </c>
      <c r="AN96" s="310">
        <f t="shared" si="90"/>
        <v>6.6375000000000003E-2</v>
      </c>
      <c r="AO96" s="310">
        <f t="shared" si="73"/>
        <v>2.1537320234219801</v>
      </c>
      <c r="AP96">
        <f t="shared" si="74"/>
        <v>32.625</v>
      </c>
      <c r="AQ96" s="9">
        <f t="shared" si="91"/>
        <v>0.93807330232822939</v>
      </c>
      <c r="AR96" s="51">
        <f t="shared" si="75"/>
        <v>51.86243468245722</v>
      </c>
      <c r="AS96" s="51">
        <f t="shared" si="92"/>
        <v>16.99598103417674</v>
      </c>
      <c r="AT96" s="9"/>
      <c r="AU96">
        <f t="shared" si="93"/>
        <v>93.807330232822935</v>
      </c>
      <c r="BE96" s="540"/>
      <c r="BF96" s="21"/>
    </row>
    <row r="97" spans="7:58">
      <c r="G97">
        <v>88</v>
      </c>
      <c r="H97">
        <f t="shared" si="55"/>
        <v>6.6</v>
      </c>
      <c r="I97" s="309">
        <f t="shared" si="76"/>
        <v>0.28808089015279753</v>
      </c>
      <c r="J97" s="310">
        <f t="shared" si="56"/>
        <v>4.5394564508925672</v>
      </c>
      <c r="K97" s="310">
        <f t="shared" si="77"/>
        <v>8.8697282254462841</v>
      </c>
      <c r="L97" s="310">
        <f t="shared" si="78"/>
        <v>4.330271774553716</v>
      </c>
      <c r="M97" s="51">
        <f t="shared" si="57"/>
        <v>0</v>
      </c>
      <c r="N97" s="309">
        <f t="shared" si="58"/>
        <v>6.7288351200235619</v>
      </c>
      <c r="O97" s="309">
        <f t="shared" si="79"/>
        <v>0.27769857403761045</v>
      </c>
      <c r="P97">
        <f t="shared" si="59"/>
        <v>0.2</v>
      </c>
      <c r="Q97" s="309">
        <f t="shared" si="80"/>
        <v>0.47769857403761046</v>
      </c>
      <c r="R97" s="8">
        <f t="shared" si="87"/>
        <v>1.3104282019487035</v>
      </c>
      <c r="S97" s="8">
        <f t="shared" si="81"/>
        <v>1.7172220724625121E-3</v>
      </c>
      <c r="T97" s="8">
        <f t="shared" si="88"/>
        <v>1.7172220724625121E-3</v>
      </c>
      <c r="U97" s="309">
        <f t="shared" si="60"/>
        <v>3.611578939782556</v>
      </c>
      <c r="V97" s="311">
        <f t="shared" si="82"/>
        <v>2.6087004876561782E-2</v>
      </c>
      <c r="W97" s="309">
        <f t="shared" si="89"/>
        <v>2.6087004876561782E-2</v>
      </c>
      <c r="X97" s="309">
        <f t="shared" si="61"/>
        <v>3.611578939782556</v>
      </c>
      <c r="Y97" s="309">
        <f t="shared" si="83"/>
        <v>0.67826212679060627</v>
      </c>
      <c r="Z97" s="309">
        <f t="shared" si="62"/>
        <v>7.3819086065265216E-2</v>
      </c>
      <c r="AA97" s="309">
        <f t="shared" si="63"/>
        <v>6.9304499999999991E-2</v>
      </c>
      <c r="AB97" s="309">
        <f t="shared" si="64"/>
        <v>0</v>
      </c>
      <c r="AC97" s="309">
        <f t="shared" si="65"/>
        <v>0.96544754381837561</v>
      </c>
      <c r="AD97" s="309">
        <f t="shared" si="66"/>
        <v>5.677474758568426</v>
      </c>
      <c r="AE97" s="309">
        <f t="shared" si="84"/>
        <v>0.32233719634181607</v>
      </c>
      <c r="AF97" s="309">
        <f t="shared" si="67"/>
        <v>8.9099999999999999E-2</v>
      </c>
      <c r="AG97" s="309">
        <f t="shared" si="68"/>
        <v>0.43381051897037592</v>
      </c>
      <c r="AH97" s="309">
        <f t="shared" si="69"/>
        <v>0</v>
      </c>
      <c r="AI97">
        <f t="shared" si="70"/>
        <v>0</v>
      </c>
      <c r="AJ97" s="310">
        <f t="shared" si="71"/>
        <v>0.22070999999999999</v>
      </c>
      <c r="AK97">
        <f t="shared" si="85"/>
        <v>3.6000000000000004E-2</v>
      </c>
      <c r="AL97" s="310">
        <f t="shared" si="72"/>
        <v>3.0374999999999999E-2</v>
      </c>
      <c r="AM97" s="310">
        <f t="shared" si="86"/>
        <v>5.5427027027027023E-2</v>
      </c>
      <c r="AN97" s="310">
        <f t="shared" si="90"/>
        <v>6.6375000000000003E-2</v>
      </c>
      <c r="AO97" s="310">
        <f t="shared" si="73"/>
        <v>2.1918458637753861</v>
      </c>
      <c r="AP97">
        <f t="shared" si="74"/>
        <v>33</v>
      </c>
      <c r="AQ97" s="9">
        <f t="shared" si="91"/>
        <v>0.93771722369267496</v>
      </c>
      <c r="AR97" s="51">
        <f t="shared" si="75"/>
        <v>53.099614910010658</v>
      </c>
      <c r="AS97" s="51">
        <f t="shared" si="92"/>
        <v>17.352420758815036</v>
      </c>
      <c r="AT97" s="9"/>
      <c r="AU97">
        <f t="shared" si="93"/>
        <v>93.771722369267493</v>
      </c>
      <c r="BE97" s="540"/>
      <c r="BF97" s="21"/>
    </row>
    <row r="98" spans="7:58">
      <c r="G98">
        <v>89</v>
      </c>
      <c r="H98">
        <f t="shared" si="55"/>
        <v>6.6749999999999998</v>
      </c>
      <c r="I98" s="309">
        <f t="shared" si="76"/>
        <v>0.28819982335994221</v>
      </c>
      <c r="J98" s="310">
        <f t="shared" si="56"/>
        <v>4.5413305499142407</v>
      </c>
      <c r="K98" s="310">
        <f t="shared" si="77"/>
        <v>8.9456652749571202</v>
      </c>
      <c r="L98" s="310">
        <f t="shared" si="78"/>
        <v>4.4043347250428795</v>
      </c>
      <c r="M98" s="51">
        <f t="shared" si="57"/>
        <v>0</v>
      </c>
      <c r="N98" s="309">
        <f t="shared" si="58"/>
        <v>6.8025190380940526</v>
      </c>
      <c r="O98" s="309">
        <f t="shared" si="79"/>
        <v>0.28395264764880568</v>
      </c>
      <c r="P98">
        <f t="shared" si="59"/>
        <v>0.2</v>
      </c>
      <c r="Q98" s="309">
        <f t="shared" si="80"/>
        <v>0.48395264764880569</v>
      </c>
      <c r="R98" s="8">
        <f t="shared" si="87"/>
        <v>1.3109692077360291</v>
      </c>
      <c r="S98" s="8">
        <f t="shared" si="81"/>
        <v>1.7186402636320318E-3</v>
      </c>
      <c r="T98" s="8">
        <f t="shared" si="88"/>
        <v>1.7186402636320318E-3</v>
      </c>
      <c r="U98" s="309">
        <f t="shared" si="60"/>
        <v>3.6518810324392912</v>
      </c>
      <c r="V98" s="311">
        <f t="shared" si="82"/>
        <v>2.6672470150179727E-2</v>
      </c>
      <c r="W98" s="309">
        <f t="shared" si="89"/>
        <v>2.6672470150179727E-2</v>
      </c>
      <c r="X98" s="309">
        <f t="shared" si="61"/>
        <v>3.6518810324392912</v>
      </c>
      <c r="Y98" s="309">
        <f t="shared" si="83"/>
        <v>0.6934842239046729</v>
      </c>
      <c r="Z98" s="309">
        <f t="shared" si="62"/>
        <v>7.4795255380967665E-2</v>
      </c>
      <c r="AA98" s="309">
        <f t="shared" si="63"/>
        <v>6.9304499999999991E-2</v>
      </c>
      <c r="AB98" s="309">
        <f t="shared" si="64"/>
        <v>0</v>
      </c>
      <c r="AC98" s="309">
        <f t="shared" si="65"/>
        <v>0.98837726878226873</v>
      </c>
      <c r="AD98" s="309">
        <f t="shared" si="66"/>
        <v>5.7391663321899093</v>
      </c>
      <c r="AE98" s="309">
        <f t="shared" si="84"/>
        <v>0.32938030188542178</v>
      </c>
      <c r="AF98" s="309">
        <f t="shared" si="67"/>
        <v>9.0112499999999998E-2</v>
      </c>
      <c r="AG98" s="309">
        <f t="shared" si="68"/>
        <v>0.44283033626003843</v>
      </c>
      <c r="AH98" s="309">
        <f t="shared" si="69"/>
        <v>0</v>
      </c>
      <c r="AI98">
        <f t="shared" si="70"/>
        <v>0</v>
      </c>
      <c r="AJ98" s="310">
        <f t="shared" si="71"/>
        <v>0.22066124999999998</v>
      </c>
      <c r="AK98">
        <f t="shared" si="85"/>
        <v>3.6000000000000004E-2</v>
      </c>
      <c r="AL98" s="310">
        <f t="shared" si="72"/>
        <v>3.0374999999999999E-2</v>
      </c>
      <c r="AM98" s="310">
        <f t="shared" si="86"/>
        <v>5.5427027027027023E-2</v>
      </c>
      <c r="AN98" s="310">
        <f t="shared" si="90"/>
        <v>6.6375000000000003E-2</v>
      </c>
      <c r="AO98" s="310">
        <f t="shared" si="73"/>
        <v>2.2305876131049245</v>
      </c>
      <c r="AP98">
        <f t="shared" si="74"/>
        <v>33.375</v>
      </c>
      <c r="AQ98" s="9">
        <f t="shared" si="91"/>
        <v>0.93735287738141593</v>
      </c>
      <c r="AR98" s="51">
        <f t="shared" si="75"/>
        <v>54.360749783024779</v>
      </c>
      <c r="AS98" s="51">
        <f t="shared" si="92"/>
        <v>17.713213450401536</v>
      </c>
      <c r="AT98" s="9"/>
      <c r="AU98">
        <f t="shared" si="93"/>
        <v>93.735287738141594</v>
      </c>
      <c r="BE98" s="540"/>
      <c r="BF98" s="21"/>
    </row>
    <row r="99" spans="7:58">
      <c r="G99">
        <v>90</v>
      </c>
      <c r="H99">
        <f t="shared" si="55"/>
        <v>6.75</v>
      </c>
      <c r="I99" s="309">
        <f t="shared" si="76"/>
        <v>0.28831879885981992</v>
      </c>
      <c r="J99" s="310">
        <f t="shared" si="56"/>
        <v>4.5432053153668592</v>
      </c>
      <c r="K99" s="310">
        <f t="shared" si="77"/>
        <v>9.0216026576834292</v>
      </c>
      <c r="L99" s="310">
        <f t="shared" si="78"/>
        <v>4.4783973423165708</v>
      </c>
      <c r="M99" s="51">
        <f t="shared" si="57"/>
        <v>0</v>
      </c>
      <c r="N99" s="309">
        <f t="shared" si="58"/>
        <v>6.876231492961689</v>
      </c>
      <c r="O99" s="309">
        <f t="shared" si="79"/>
        <v>0.2902835243200873</v>
      </c>
      <c r="P99">
        <f t="shared" si="59"/>
        <v>0.2</v>
      </c>
      <c r="Q99" s="309">
        <f t="shared" si="80"/>
        <v>0.49028352432008732</v>
      </c>
      <c r="R99" s="8">
        <f t="shared" si="87"/>
        <v>1.3115104059053975</v>
      </c>
      <c r="S99" s="8">
        <f t="shared" si="81"/>
        <v>1.7200595447981403E-3</v>
      </c>
      <c r="T99" s="8">
        <f t="shared" si="88"/>
        <v>1.7200595447981403E-3</v>
      </c>
      <c r="U99" s="309">
        <f t="shared" si="60"/>
        <v>3.6922148874319478</v>
      </c>
      <c r="V99" s="311">
        <f t="shared" si="82"/>
        <v>2.726490154994822E-2</v>
      </c>
      <c r="W99" s="309">
        <f t="shared" si="89"/>
        <v>2.726490154994822E-2</v>
      </c>
      <c r="X99" s="309">
        <f t="shared" si="61"/>
        <v>3.6922148874319478</v>
      </c>
      <c r="Y99" s="309">
        <f t="shared" si="83"/>
        <v>0.70888744029865369</v>
      </c>
      <c r="Z99" s="309">
        <f t="shared" si="62"/>
        <v>7.5771422855782783E-2</v>
      </c>
      <c r="AA99" s="309">
        <f t="shared" si="63"/>
        <v>6.9304499999999991E-2</v>
      </c>
      <c r="AB99" s="309">
        <f t="shared" si="64"/>
        <v>0</v>
      </c>
      <c r="AC99" s="309">
        <f t="shared" si="65"/>
        <v>1.0117512725075246</v>
      </c>
      <c r="AD99" s="309">
        <f t="shared" si="66"/>
        <v>5.8008713802172887</v>
      </c>
      <c r="AE99" s="309">
        <f t="shared" si="84"/>
        <v>0.33650108769824033</v>
      </c>
      <c r="AF99" s="309">
        <f t="shared" si="67"/>
        <v>9.1124999999999998E-2</v>
      </c>
      <c r="AG99" s="309">
        <f t="shared" si="68"/>
        <v>0.45195967527010156</v>
      </c>
      <c r="AH99" s="309">
        <f t="shared" si="69"/>
        <v>0</v>
      </c>
      <c r="AI99">
        <f t="shared" si="70"/>
        <v>0</v>
      </c>
      <c r="AJ99" s="310">
        <f t="shared" si="71"/>
        <v>0.22061249999999999</v>
      </c>
      <c r="AK99">
        <f t="shared" si="85"/>
        <v>3.6000000000000004E-2</v>
      </c>
      <c r="AL99" s="310">
        <f t="shared" si="72"/>
        <v>3.0374999999999999E-2</v>
      </c>
      <c r="AM99" s="310">
        <f t="shared" si="86"/>
        <v>5.5427027027027023E-2</v>
      </c>
      <c r="AN99" s="310">
        <f t="shared" si="90"/>
        <v>6.6375000000000003E-2</v>
      </c>
      <c r="AO99" s="310">
        <f t="shared" si="73"/>
        <v>2.2699669331924599</v>
      </c>
      <c r="AP99">
        <f t="shared" si="74"/>
        <v>33.75</v>
      </c>
      <c r="AQ99" s="9">
        <f t="shared" si="91"/>
        <v>0.9369803160174287</v>
      </c>
      <c r="AR99" s="51">
        <f t="shared" si="75"/>
        <v>55.646319987913856</v>
      </c>
      <c r="AS99" s="51">
        <f t="shared" si="92"/>
        <v>18.078387010804061</v>
      </c>
      <c r="AT99" s="9"/>
      <c r="AU99">
        <f t="shared" si="93"/>
        <v>93.698031601742869</v>
      </c>
      <c r="BE99" s="540"/>
      <c r="BF99" s="21"/>
    </row>
    <row r="100" spans="7:58">
      <c r="G100">
        <v>91</v>
      </c>
      <c r="H100">
        <f t="shared" si="55"/>
        <v>6.8250000000000002</v>
      </c>
      <c r="I100" s="309">
        <f t="shared" si="76"/>
        <v>0.28843781667499374</v>
      </c>
      <c r="J100" s="310">
        <f t="shared" si="56"/>
        <v>4.5450807476059625</v>
      </c>
      <c r="K100" s="310">
        <f t="shared" si="77"/>
        <v>9.0975403738029819</v>
      </c>
      <c r="L100" s="310">
        <f t="shared" si="78"/>
        <v>4.5524596261970185</v>
      </c>
      <c r="M100" s="51">
        <f t="shared" si="57"/>
        <v>0</v>
      </c>
      <c r="N100" s="309">
        <f t="shared" si="58"/>
        <v>6.9499715766940282</v>
      </c>
      <c r="O100" s="309">
        <f t="shared" si="79"/>
        <v>0.29669142322228798</v>
      </c>
      <c r="P100">
        <f t="shared" si="59"/>
        <v>0.2</v>
      </c>
      <c r="Q100" s="309">
        <f t="shared" si="80"/>
        <v>0.49669142322228799</v>
      </c>
      <c r="R100" s="8">
        <f t="shared" si="87"/>
        <v>1.312051796559444</v>
      </c>
      <c r="S100" s="8">
        <f t="shared" si="81"/>
        <v>1.7214799168548648E-3</v>
      </c>
      <c r="T100" s="8">
        <f t="shared" si="88"/>
        <v>1.7214799168548648E-3</v>
      </c>
      <c r="U100" s="309">
        <f t="shared" si="60"/>
        <v>3.7325800303575676</v>
      </c>
      <c r="V100" s="311">
        <f t="shared" si="82"/>
        <v>2.7864307366048204E-2</v>
      </c>
      <c r="W100" s="309">
        <f t="shared" si="89"/>
        <v>2.7864307366048204E-2</v>
      </c>
      <c r="X100" s="309">
        <f t="shared" si="61"/>
        <v>3.7325800303575676</v>
      </c>
      <c r="Y100" s="309">
        <f t="shared" si="83"/>
        <v>0.72447199151725317</v>
      </c>
      <c r="Z100" s="309">
        <f t="shared" si="62"/>
        <v>7.6747588488728466E-2</v>
      </c>
      <c r="AA100" s="309">
        <f t="shared" si="63"/>
        <v>6.9304499999999991E-2</v>
      </c>
      <c r="AB100" s="309">
        <f t="shared" si="64"/>
        <v>0</v>
      </c>
      <c r="AC100" s="309">
        <f t="shared" si="65"/>
        <v>1.0355785666473276</v>
      </c>
      <c r="AD100" s="309">
        <f t="shared" si="66"/>
        <v>5.8625891237430903</v>
      </c>
      <c r="AE100" s="309">
        <f t="shared" si="84"/>
        <v>0.34369951233830776</v>
      </c>
      <c r="AF100" s="309">
        <f t="shared" si="67"/>
        <v>9.2137499999999997E-2</v>
      </c>
      <c r="AG100" s="309">
        <f t="shared" si="68"/>
        <v>0.46119924524748473</v>
      </c>
      <c r="AH100" s="309">
        <f t="shared" si="69"/>
        <v>0</v>
      </c>
      <c r="AI100">
        <f t="shared" si="70"/>
        <v>0</v>
      </c>
      <c r="AJ100" s="310">
        <f t="shared" si="71"/>
        <v>0.22056374999999998</v>
      </c>
      <c r="AK100">
        <f t="shared" si="85"/>
        <v>3.6000000000000004E-2</v>
      </c>
      <c r="AL100" s="310">
        <f t="shared" si="72"/>
        <v>3.0374999999999999E-2</v>
      </c>
      <c r="AM100" s="310">
        <f t="shared" si="86"/>
        <v>5.5427027027027023E-2</v>
      </c>
      <c r="AN100" s="310">
        <f t="shared" si="90"/>
        <v>6.6375000000000003E-2</v>
      </c>
      <c r="AO100" s="310">
        <f t="shared" si="73"/>
        <v>2.3099937724000035</v>
      </c>
      <c r="AP100">
        <f t="shared" si="74"/>
        <v>34.125</v>
      </c>
      <c r="AQ100" s="9">
        <f t="shared" si="91"/>
        <v>0.93659958371806129</v>
      </c>
      <c r="AR100" s="51">
        <f t="shared" si="75"/>
        <v>56.956821165603017</v>
      </c>
      <c r="AS100" s="51">
        <f t="shared" si="92"/>
        <v>18.447969809899391</v>
      </c>
      <c r="AT100" s="9"/>
      <c r="AU100">
        <f t="shared" si="93"/>
        <v>93.659958371806127</v>
      </c>
      <c r="BE100" s="540"/>
      <c r="BF100" s="21"/>
    </row>
    <row r="101" spans="7:58">
      <c r="G101">
        <v>92</v>
      </c>
      <c r="H101">
        <f t="shared" si="55"/>
        <v>6.9</v>
      </c>
      <c r="I101" s="309">
        <f t="shared" si="76"/>
        <v>0.2885568768280426</v>
      </c>
      <c r="J101" s="310">
        <f t="shared" si="56"/>
        <v>4.5469568469873378</v>
      </c>
      <c r="K101" s="310">
        <f t="shared" si="77"/>
        <v>9.1734784234936697</v>
      </c>
      <c r="L101" s="310">
        <f t="shared" si="78"/>
        <v>4.626521576506331</v>
      </c>
      <c r="M101" s="51">
        <f t="shared" si="57"/>
        <v>0</v>
      </c>
      <c r="N101" s="309">
        <f t="shared" si="58"/>
        <v>7.0237384191537977</v>
      </c>
      <c r="O101" s="309">
        <f t="shared" si="79"/>
        <v>0.30317656651956559</v>
      </c>
      <c r="P101">
        <f t="shared" si="59"/>
        <v>0.2</v>
      </c>
      <c r="Q101" s="309">
        <f t="shared" si="80"/>
        <v>0.50317656651956555</v>
      </c>
      <c r="R101" s="8">
        <f t="shared" si="87"/>
        <v>1.3125933798008758</v>
      </c>
      <c r="S101" s="8">
        <f t="shared" si="81"/>
        <v>1.722901380697086E-3</v>
      </c>
      <c r="T101" s="8">
        <f t="shared" si="88"/>
        <v>1.722901380697086E-3</v>
      </c>
      <c r="U101" s="309">
        <f t="shared" si="60"/>
        <v>3.7729760067193356</v>
      </c>
      <c r="V101" s="311">
        <f t="shared" si="82"/>
        <v>2.847069589455957E-2</v>
      </c>
      <c r="W101" s="309">
        <f t="shared" si="89"/>
        <v>2.847069589455957E-2</v>
      </c>
      <c r="X101" s="309">
        <f t="shared" si="61"/>
        <v>3.7729760067193356</v>
      </c>
      <c r="Y101" s="309">
        <f t="shared" si="83"/>
        <v>0.74023809325854872</v>
      </c>
      <c r="Z101" s="309">
        <f t="shared" si="62"/>
        <v>7.7723752278821903E-2</v>
      </c>
      <c r="AA101" s="309">
        <f t="shared" si="63"/>
        <v>6.9304499999999991E-2</v>
      </c>
      <c r="AB101" s="309">
        <f t="shared" si="64"/>
        <v>0</v>
      </c>
      <c r="AC101" s="309">
        <f t="shared" si="65"/>
        <v>1.0598684448092872</v>
      </c>
      <c r="AD101" s="309">
        <f t="shared" si="66"/>
        <v>5.9243188159835984</v>
      </c>
      <c r="AE101" s="309">
        <f t="shared" si="84"/>
        <v>0.35097553433417306</v>
      </c>
      <c r="AF101" s="309">
        <f t="shared" si="67"/>
        <v>9.3150000000000011E-2</v>
      </c>
      <c r="AG101" s="309">
        <f t="shared" si="68"/>
        <v>0.47054976729534159</v>
      </c>
      <c r="AH101" s="309">
        <f t="shared" si="69"/>
        <v>0</v>
      </c>
      <c r="AI101">
        <f t="shared" si="70"/>
        <v>0</v>
      </c>
      <c r="AJ101" s="310">
        <f t="shared" si="71"/>
        <v>0.22051499999999999</v>
      </c>
      <c r="AK101">
        <f t="shared" si="85"/>
        <v>3.6000000000000004E-2</v>
      </c>
      <c r="AL101" s="310">
        <f t="shared" si="72"/>
        <v>3.0374999999999999E-2</v>
      </c>
      <c r="AM101" s="310">
        <f t="shared" si="86"/>
        <v>5.5427027027027023E-2</v>
      </c>
      <c r="AN101" s="310">
        <f t="shared" si="90"/>
        <v>6.6375000000000003E-2</v>
      </c>
      <c r="AO101" s="310">
        <f t="shared" si="73"/>
        <v>2.3506783758994505</v>
      </c>
      <c r="AP101">
        <f t="shared" si="74"/>
        <v>34.5</v>
      </c>
      <c r="AQ101" s="9">
        <f t="shared" si="91"/>
        <v>0.9362107163422857</v>
      </c>
      <c r="AR101" s="51">
        <f t="shared" si="75"/>
        <v>58.292764464510796</v>
      </c>
      <c r="AS101" s="51">
        <f t="shared" si="92"/>
        <v>18.821990691813664</v>
      </c>
      <c r="AT101" s="9"/>
      <c r="AU101">
        <f t="shared" si="93"/>
        <v>93.621071634228571</v>
      </c>
      <c r="BE101" s="540"/>
      <c r="BF101" s="21"/>
    </row>
    <row r="102" spans="7:58">
      <c r="G102">
        <v>93</v>
      </c>
      <c r="H102">
        <f t="shared" si="55"/>
        <v>6.9750000000000005</v>
      </c>
      <c r="I102" s="309">
        <f t="shared" si="76"/>
        <v>0.28867597934156169</v>
      </c>
      <c r="J102" s="310">
        <f t="shared" si="56"/>
        <v>4.5488336138670329</v>
      </c>
      <c r="K102" s="310">
        <f t="shared" si="77"/>
        <v>9.2494168069335174</v>
      </c>
      <c r="L102" s="310">
        <f t="shared" si="78"/>
        <v>4.7005831930664836</v>
      </c>
      <c r="M102" s="51">
        <f t="shared" si="57"/>
        <v>0</v>
      </c>
      <c r="N102" s="309">
        <f t="shared" si="58"/>
        <v>7.0975311860688963</v>
      </c>
      <c r="O102" s="309">
        <f t="shared" si="79"/>
        <v>0.30973917938920548</v>
      </c>
      <c r="P102">
        <f t="shared" si="59"/>
        <v>0.2</v>
      </c>
      <c r="Q102" s="309">
        <f t="shared" si="80"/>
        <v>0.50973917938920543</v>
      </c>
      <c r="R102" s="8">
        <f t="shared" si="87"/>
        <v>1.3131351557324749</v>
      </c>
      <c r="S102" s="8">
        <f t="shared" si="81"/>
        <v>1.724323937220551E-3</v>
      </c>
      <c r="T102" s="8">
        <f t="shared" si="88"/>
        <v>1.724323937220551E-3</v>
      </c>
      <c r="U102" s="309">
        <f t="shared" si="60"/>
        <v>3.8134023809104258</v>
      </c>
      <c r="V102" s="311">
        <f t="shared" si="82"/>
        <v>2.9084075437466609E-2</v>
      </c>
      <c r="W102" s="309">
        <f t="shared" si="89"/>
        <v>2.9084075437466609E-2</v>
      </c>
      <c r="X102" s="309">
        <f t="shared" si="61"/>
        <v>3.8134023809104258</v>
      </c>
      <c r="Y102" s="309">
        <f t="shared" si="83"/>
        <v>0.75618596137413185</v>
      </c>
      <c r="Z102" s="309">
        <f t="shared" si="62"/>
        <v>7.8699914225079604E-2</v>
      </c>
      <c r="AA102" s="309">
        <f t="shared" si="63"/>
        <v>6.9304499999999991E-2</v>
      </c>
      <c r="AB102" s="309">
        <f t="shared" si="64"/>
        <v>0</v>
      </c>
      <c r="AC102" s="309">
        <f t="shared" si="65"/>
        <v>1.0846304930694428</v>
      </c>
      <c r="AD102" s="309">
        <f t="shared" si="66"/>
        <v>5.9860597406380149</v>
      </c>
      <c r="AE102" s="309">
        <f t="shared" si="84"/>
        <v>0.35832911218487262</v>
      </c>
      <c r="AF102" s="309">
        <f t="shared" si="67"/>
        <v>9.416250000000001E-2</v>
      </c>
      <c r="AG102" s="309">
        <f t="shared" si="68"/>
        <v>0.4800119745324436</v>
      </c>
      <c r="AH102" s="309">
        <f t="shared" si="69"/>
        <v>0</v>
      </c>
      <c r="AI102">
        <f t="shared" si="70"/>
        <v>0</v>
      </c>
      <c r="AJ102" s="310">
        <f t="shared" si="71"/>
        <v>0.22046624999999997</v>
      </c>
      <c r="AK102">
        <f t="shared" si="85"/>
        <v>3.6000000000000004E-2</v>
      </c>
      <c r="AL102" s="310">
        <f t="shared" si="72"/>
        <v>3.0374999999999999E-2</v>
      </c>
      <c r="AM102" s="310">
        <f t="shared" si="86"/>
        <v>5.5427027027027023E-2</v>
      </c>
      <c r="AN102" s="310">
        <f t="shared" si="90"/>
        <v>6.6375000000000003E-2</v>
      </c>
      <c r="AO102" s="310">
        <f t="shared" si="73"/>
        <v>2.3920312963657784</v>
      </c>
      <c r="AP102">
        <f t="shared" si="74"/>
        <v>34.875</v>
      </c>
      <c r="AQ102" s="9">
        <f t="shared" si="91"/>
        <v>0.93581374171333453</v>
      </c>
      <c r="AR102" s="51">
        <f t="shared" si="75"/>
        <v>59.654677118819357</v>
      </c>
      <c r="AS102" s="51">
        <f t="shared" si="92"/>
        <v>19.200478981297742</v>
      </c>
      <c r="AT102" s="9"/>
      <c r="AU102">
        <f t="shared" si="93"/>
        <v>93.581374171333451</v>
      </c>
      <c r="BE102" s="540"/>
      <c r="BF102" s="21"/>
    </row>
    <row r="103" spans="7:58">
      <c r="G103">
        <v>94</v>
      </c>
      <c r="H103">
        <f t="shared" si="55"/>
        <v>7.05</v>
      </c>
      <c r="I103" s="309">
        <f t="shared" si="76"/>
        <v>0.28879512423816223</v>
      </c>
      <c r="J103" s="310">
        <f t="shared" si="56"/>
        <v>4.5507110486013449</v>
      </c>
      <c r="K103" s="310">
        <f t="shared" si="77"/>
        <v>9.3253555243006723</v>
      </c>
      <c r="L103" s="310">
        <f t="shared" si="78"/>
        <v>4.7746444756993274</v>
      </c>
      <c r="M103" s="51">
        <f t="shared" si="57"/>
        <v>0</v>
      </c>
      <c r="N103" s="309">
        <f t="shared" si="58"/>
        <v>7.1713490772184461</v>
      </c>
      <c r="O103" s="309">
        <f t="shared" si="79"/>
        <v>0.31637949004173122</v>
      </c>
      <c r="P103">
        <f t="shared" si="59"/>
        <v>0.2</v>
      </c>
      <c r="Q103" s="309">
        <f t="shared" si="80"/>
        <v>0.51637949004173123</v>
      </c>
      <c r="R103" s="8">
        <f t="shared" si="87"/>
        <v>1.3136771244570953</v>
      </c>
      <c r="S103" s="8">
        <f t="shared" si="81"/>
        <v>1.7257475873218627E-3</v>
      </c>
      <c r="T103" s="8">
        <f t="shared" si="88"/>
        <v>1.7257475873218627E-3</v>
      </c>
      <c r="U103" s="309">
        <f t="shared" si="60"/>
        <v>3.8538587352589331</v>
      </c>
      <c r="V103" s="311">
        <f t="shared" si="82"/>
        <v>2.9704454302663167E-2</v>
      </c>
      <c r="W103" s="309">
        <f t="shared" si="89"/>
        <v>2.9704454302663167E-2</v>
      </c>
      <c r="X103" s="309">
        <f t="shared" si="61"/>
        <v>3.8538587352589331</v>
      </c>
      <c r="Y103" s="309">
        <f t="shared" si="83"/>
        <v>0.77231581186924225</v>
      </c>
      <c r="Z103" s="309">
        <f t="shared" si="62"/>
        <v>7.9676074326517368E-2</v>
      </c>
      <c r="AA103" s="309">
        <f t="shared" si="63"/>
        <v>6.9304499999999991E-2</v>
      </c>
      <c r="AB103" s="309">
        <f t="shared" si="64"/>
        <v>0</v>
      </c>
      <c r="AC103" s="309">
        <f t="shared" si="65"/>
        <v>1.1098746009705094</v>
      </c>
      <c r="AD103" s="309">
        <f t="shared" si="66"/>
        <v>6.0478112103462909</v>
      </c>
      <c r="AE103" s="309">
        <f t="shared" si="84"/>
        <v>0.36576020435990264</v>
      </c>
      <c r="AF103" s="309">
        <f t="shared" si="67"/>
        <v>9.5174999999999996E-2</v>
      </c>
      <c r="AG103" s="309">
        <f t="shared" si="68"/>
        <v>0.48958661225600314</v>
      </c>
      <c r="AH103" s="309">
        <f t="shared" si="69"/>
        <v>0</v>
      </c>
      <c r="AI103">
        <f t="shared" si="70"/>
        <v>0</v>
      </c>
      <c r="AJ103" s="310">
        <f t="shared" si="71"/>
        <v>0.22041750000000002</v>
      </c>
      <c r="AK103">
        <f t="shared" si="85"/>
        <v>3.6000000000000004E-2</v>
      </c>
      <c r="AL103" s="310">
        <f t="shared" si="72"/>
        <v>3.0374999999999999E-2</v>
      </c>
      <c r="AM103" s="310">
        <f t="shared" si="86"/>
        <v>5.5427027027027023E-2</v>
      </c>
      <c r="AN103" s="310">
        <f t="shared" si="90"/>
        <v>6.6375000000000003E-2</v>
      </c>
      <c r="AO103" s="310">
        <f t="shared" si="73"/>
        <v>2.4340634051582288</v>
      </c>
      <c r="AP103">
        <f t="shared" si="74"/>
        <v>35.25</v>
      </c>
      <c r="AQ103" s="9">
        <f t="shared" si="91"/>
        <v>0.93540867981808329</v>
      </c>
      <c r="AR103" s="51">
        <f t="shared" si="75"/>
        <v>61.043103053378019</v>
      </c>
      <c r="AS103" s="51">
        <f t="shared" si="92"/>
        <v>19.583464490240125</v>
      </c>
      <c r="AT103" s="9"/>
      <c r="AU103">
        <f t="shared" si="93"/>
        <v>93.540867981808333</v>
      </c>
      <c r="BE103" s="540"/>
      <c r="BF103" s="21"/>
    </row>
    <row r="104" spans="7:58">
      <c r="G104">
        <v>95</v>
      </c>
      <c r="H104">
        <f t="shared" si="55"/>
        <v>7.125</v>
      </c>
      <c r="I104" s="309">
        <f t="shared" si="76"/>
        <v>0.28891431154047148</v>
      </c>
      <c r="J104" s="310">
        <f t="shared" si="56"/>
        <v>4.5525891515468233</v>
      </c>
      <c r="K104" s="310">
        <f t="shared" si="77"/>
        <v>9.4012945757734112</v>
      </c>
      <c r="L104" s="310">
        <f t="shared" si="78"/>
        <v>4.8487054242265888</v>
      </c>
      <c r="M104" s="51">
        <f t="shared" si="57"/>
        <v>0</v>
      </c>
      <c r="N104" s="309">
        <f t="shared" si="58"/>
        <v>7.2451913247269379</v>
      </c>
      <c r="O104" s="309">
        <f t="shared" si="79"/>
        <v>0.32309772974133083</v>
      </c>
      <c r="P104">
        <f t="shared" si="59"/>
        <v>0.2</v>
      </c>
      <c r="Q104" s="309">
        <f t="shared" si="80"/>
        <v>0.52309772974133084</v>
      </c>
      <c r="R104" s="8">
        <f t="shared" si="87"/>
        <v>1.3142192860776643</v>
      </c>
      <c r="S104" s="8">
        <f t="shared" si="81"/>
        <v>1.7271723318984856E-3</v>
      </c>
      <c r="T104" s="8">
        <f t="shared" si="88"/>
        <v>1.7271723318984856E-3</v>
      </c>
      <c r="U104" s="309">
        <f t="shared" si="60"/>
        <v>3.8943446691297048</v>
      </c>
      <c r="V104" s="311">
        <f t="shared" si="82"/>
        <v>3.0331840803957899E-2</v>
      </c>
      <c r="W104" s="309">
        <f t="shared" si="89"/>
        <v>3.0331840803957899E-2</v>
      </c>
      <c r="X104" s="309">
        <f t="shared" si="61"/>
        <v>3.8943446691297048</v>
      </c>
      <c r="Y104" s="309">
        <f t="shared" si="83"/>
        <v>0.78862786090290538</v>
      </c>
      <c r="Z104" s="309">
        <f t="shared" si="62"/>
        <v>8.0652232582150277E-2</v>
      </c>
      <c r="AA104" s="309">
        <f t="shared" si="63"/>
        <v>6.9304499999999991E-2</v>
      </c>
      <c r="AB104" s="309">
        <f t="shared" si="64"/>
        <v>0</v>
      </c>
      <c r="AC104" s="309">
        <f t="shared" si="65"/>
        <v>1.1356109730303983</v>
      </c>
      <c r="AD104" s="309">
        <f t="shared" si="66"/>
        <v>6.1095725652388753</v>
      </c>
      <c r="AE104" s="309">
        <f t="shared" si="84"/>
        <v>0.37326876929919528</v>
      </c>
      <c r="AF104" s="309">
        <f t="shared" si="67"/>
        <v>9.6187499999999995E-2</v>
      </c>
      <c r="AG104" s="309">
        <f t="shared" si="68"/>
        <v>0.49927443810801547</v>
      </c>
      <c r="AH104" s="309">
        <f t="shared" si="69"/>
        <v>0</v>
      </c>
      <c r="AI104">
        <f t="shared" si="70"/>
        <v>0</v>
      </c>
      <c r="AJ104" s="310">
        <f t="shared" si="71"/>
        <v>0.22036874999999997</v>
      </c>
      <c r="AK104">
        <f t="shared" si="85"/>
        <v>3.6000000000000004E-2</v>
      </c>
      <c r="AL104" s="310">
        <f t="shared" si="72"/>
        <v>3.0374999999999999E-2</v>
      </c>
      <c r="AM104" s="310">
        <f t="shared" si="86"/>
        <v>5.5427027027027023E-2</v>
      </c>
      <c r="AN104" s="310">
        <f t="shared" si="90"/>
        <v>6.6375000000000003E-2</v>
      </c>
      <c r="AO104" s="310">
        <f t="shared" si="73"/>
        <v>2.4767859040156006</v>
      </c>
      <c r="AP104">
        <f t="shared" si="74"/>
        <v>35.625</v>
      </c>
      <c r="AQ104" s="9">
        <f t="shared" si="91"/>
        <v>0.93499554298438892</v>
      </c>
      <c r="AR104" s="51">
        <f t="shared" si="75"/>
        <v>62.458603516671907</v>
      </c>
      <c r="AS104" s="51">
        <f t="shared" si="92"/>
        <v>19.97097752432062</v>
      </c>
      <c r="AT104" s="9"/>
      <c r="AU104">
        <f t="shared" si="93"/>
        <v>93.499554298438895</v>
      </c>
      <c r="BE104" s="540"/>
      <c r="BF104" s="21"/>
    </row>
    <row r="105" spans="7:58">
      <c r="G105">
        <v>96</v>
      </c>
      <c r="H105">
        <f t="shared" si="55"/>
        <v>7.1999999999999993</v>
      </c>
      <c r="I105" s="309">
        <f t="shared" si="76"/>
        <v>0.28903354127113284</v>
      </c>
      <c r="J105" s="310">
        <f t="shared" si="56"/>
        <v>4.5544679230602751</v>
      </c>
      <c r="K105" s="310">
        <f t="shared" si="77"/>
        <v>9.4772339615301373</v>
      </c>
      <c r="L105" s="310">
        <f t="shared" si="78"/>
        <v>4.9227660384698613</v>
      </c>
      <c r="M105" s="51">
        <f t="shared" si="57"/>
        <v>0</v>
      </c>
      <c r="N105" s="309">
        <f t="shared" si="58"/>
        <v>7.3190571914590707</v>
      </c>
      <c r="O105" s="309">
        <f t="shared" si="79"/>
        <v>0.32989413282659896</v>
      </c>
      <c r="P105">
        <f t="shared" si="59"/>
        <v>0.2</v>
      </c>
      <c r="Q105" s="309">
        <f t="shared" si="80"/>
        <v>0.52989413282659892</v>
      </c>
      <c r="R105" s="8">
        <f t="shared" si="87"/>
        <v>1.3147616406971829</v>
      </c>
      <c r="S105" s="8">
        <f t="shared" si="81"/>
        <v>1.7285981718487484E-3</v>
      </c>
      <c r="T105" s="8">
        <f t="shared" si="88"/>
        <v>1.7285981718487484E-3</v>
      </c>
      <c r="U105" s="309">
        <f t="shared" si="60"/>
        <v>3.9348597980791862</v>
      </c>
      <c r="V105" s="311">
        <f t="shared" si="82"/>
        <v>3.0966243261079548E-2</v>
      </c>
      <c r="W105" s="309">
        <f t="shared" si="89"/>
        <v>3.0966243261079548E-2</v>
      </c>
      <c r="X105" s="309">
        <f t="shared" si="61"/>
        <v>3.9348597980791862</v>
      </c>
      <c r="Y105" s="309">
        <f t="shared" si="83"/>
        <v>0.80512232478806822</v>
      </c>
      <c r="Z105" s="309">
        <f t="shared" si="62"/>
        <v>8.1628388990992715E-2</v>
      </c>
      <c r="AA105" s="309">
        <f t="shared" si="63"/>
        <v>6.9304499999999991E-2</v>
      </c>
      <c r="AB105" s="309">
        <f t="shared" si="64"/>
        <v>0</v>
      </c>
      <c r="AC105" s="309">
        <f t="shared" ref="AC105:AC109" si="94">(AB105+AA105+Z105+Y105*(1+RdsonTopTc*Ta-RdsonTopTc*25))/(1-Y105*RdsonTopTc*ThetaJaTop)</f>
        <v>1.1618501407886177</v>
      </c>
      <c r="AD105" s="309">
        <f t="shared" si="66"/>
        <v>6.1713431715720501</v>
      </c>
      <c r="AE105" s="309">
        <f t="shared" si="84"/>
        <v>0.38085476541308971</v>
      </c>
      <c r="AF105" s="309">
        <f t="shared" si="67"/>
        <v>9.7199999999999995E-2</v>
      </c>
      <c r="AG105" s="309">
        <f t="shared" ref="AG105:AG109" si="95">(AF105+AE105*(1+RdsonBotTc*Ta-RdsonBotTc*25))/(1-AE105*RdsonBotTc*ThetaJaBot)</f>
        <v>0.50907622224518101</v>
      </c>
      <c r="AH105" s="309">
        <f t="shared" si="69"/>
        <v>0</v>
      </c>
      <c r="AI105">
        <f t="shared" si="70"/>
        <v>0</v>
      </c>
      <c r="AJ105" s="310">
        <f t="shared" si="71"/>
        <v>0.22031999999999996</v>
      </c>
      <c r="AK105">
        <f t="shared" si="85"/>
        <v>3.6000000000000004E-2</v>
      </c>
      <c r="AL105" s="310">
        <f t="shared" si="72"/>
        <v>3.0374999999999999E-2</v>
      </c>
      <c r="AM105" s="310">
        <f t="shared" si="86"/>
        <v>5.5427027027027023E-2</v>
      </c>
      <c r="AN105" s="310">
        <f t="shared" si="90"/>
        <v>6.6375000000000003E-2</v>
      </c>
      <c r="AO105" s="310">
        <f t="shared" ref="AO105:AO109" si="96">SUM(Q105,T105,W105,AC105,AJ105,AI105,AG105,AN105, AH105)</f>
        <v>2.5202103372933262</v>
      </c>
      <c r="AP105">
        <f t="shared" si="74"/>
        <v>36</v>
      </c>
      <c r="AQ105" s="9">
        <f t="shared" si="91"/>
        <v>0.93457433603748041</v>
      </c>
      <c r="AR105" s="51">
        <f t="shared" si="75"/>
        <v>63.90175774337397</v>
      </c>
      <c r="AS105" s="51">
        <f t="shared" si="92"/>
        <v>20.363048889807239</v>
      </c>
      <c r="AT105" s="9"/>
      <c r="AU105">
        <f t="shared" si="93"/>
        <v>93.457433603748044</v>
      </c>
      <c r="BE105" s="540"/>
      <c r="BF105" s="21"/>
    </row>
    <row r="106" spans="7:58">
      <c r="G106">
        <v>97</v>
      </c>
      <c r="H106">
        <f t="shared" si="55"/>
        <v>7.2749999999999995</v>
      </c>
      <c r="I106" s="309">
        <f t="shared" si="76"/>
        <v>0.28915281345280586</v>
      </c>
      <c r="J106" s="310">
        <f t="shared" si="56"/>
        <v>4.5563473634987597</v>
      </c>
      <c r="K106" s="310">
        <f t="shared" si="77"/>
        <v>9.5531736817493798</v>
      </c>
      <c r="L106" s="310">
        <f t="shared" si="78"/>
        <v>4.9968263182506192</v>
      </c>
      <c r="M106" s="51">
        <f t="shared" si="57"/>
        <v>0</v>
      </c>
      <c r="N106" s="309">
        <f t="shared" si="58"/>
        <v>7.3929459695084905</v>
      </c>
      <c r="O106" s="309">
        <f t="shared" si="79"/>
        <v>0.33676893673160041</v>
      </c>
      <c r="P106">
        <f t="shared" si="59"/>
        <v>0.2</v>
      </c>
      <c r="Q106" s="309">
        <f t="shared" si="80"/>
        <v>0.53676893673160042</v>
      </c>
      <c r="R106" s="8">
        <f t="shared" si="87"/>
        <v>1.3153041884187253</v>
      </c>
      <c r="S106" s="8">
        <f t="shared" si="81"/>
        <v>1.7300251080718417E-3</v>
      </c>
      <c r="T106" s="8">
        <f t="shared" si="88"/>
        <v>1.7300251080718417E-3</v>
      </c>
      <c r="U106" s="309">
        <f t="shared" si="60"/>
        <v>3.9754037530596968</v>
      </c>
      <c r="V106" s="311">
        <f t="shared" si="82"/>
        <v>3.1607669999682252E-2</v>
      </c>
      <c r="W106" s="309">
        <f t="shared" si="89"/>
        <v>3.1607669999682252E-2</v>
      </c>
      <c r="X106" s="309">
        <f t="shared" si="61"/>
        <v>3.9754037530596968</v>
      </c>
      <c r="Y106" s="309">
        <f t="shared" si="83"/>
        <v>0.82179941999173844</v>
      </c>
      <c r="Z106" s="309">
        <f t="shared" si="62"/>
        <v>8.2604543552058429E-2</v>
      </c>
      <c r="AA106" s="309">
        <f t="shared" si="63"/>
        <v>6.9304499999999991E-2</v>
      </c>
      <c r="AB106" s="309">
        <f t="shared" si="64"/>
        <v>0</v>
      </c>
      <c r="AC106" s="309">
        <f t="shared" si="94"/>
        <v>1.1886029754199159</v>
      </c>
      <c r="AD106" s="309">
        <f t="shared" si="66"/>
        <v>6.233122420443121</v>
      </c>
      <c r="AE106" s="309">
        <f t="shared" si="84"/>
        <v>0.38851815108230708</v>
      </c>
      <c r="AF106" s="309">
        <f t="shared" si="67"/>
        <v>9.8212499999999994E-2</v>
      </c>
      <c r="AG106" s="309">
        <f t="shared" si="95"/>
        <v>0.51899274751249613</v>
      </c>
      <c r="AH106" s="309">
        <f t="shared" si="69"/>
        <v>0</v>
      </c>
      <c r="AI106">
        <f t="shared" si="70"/>
        <v>0</v>
      </c>
      <c r="AJ106" s="310">
        <f t="shared" si="71"/>
        <v>0.22027125</v>
      </c>
      <c r="AK106">
        <f t="shared" si="85"/>
        <v>3.6000000000000004E-2</v>
      </c>
      <c r="AL106" s="310">
        <f t="shared" si="72"/>
        <v>3.0374999999999999E-2</v>
      </c>
      <c r="AM106" s="310">
        <f t="shared" si="86"/>
        <v>5.5427027027027023E-2</v>
      </c>
      <c r="AN106" s="310">
        <f t="shared" si="90"/>
        <v>6.6375000000000003E-2</v>
      </c>
      <c r="AO106" s="310">
        <f t="shared" si="96"/>
        <v>2.5643486047717663</v>
      </c>
      <c r="AP106">
        <f t="shared" si="74"/>
        <v>36.375</v>
      </c>
      <c r="AQ106" s="9">
        <f t="shared" si="91"/>
        <v>0.9341450564363698</v>
      </c>
      <c r="AR106" s="51">
        <f t="shared" si="75"/>
        <v>65.373163648095371</v>
      </c>
      <c r="AS106" s="51">
        <f t="shared" si="92"/>
        <v>20.759709900499846</v>
      </c>
      <c r="AT106" s="9"/>
      <c r="AU106">
        <f t="shared" si="93"/>
        <v>93.414505643636986</v>
      </c>
      <c r="BE106" s="540"/>
      <c r="BF106" s="21"/>
    </row>
    <row r="107" spans="7:58">
      <c r="G107">
        <v>98</v>
      </c>
      <c r="H107">
        <f t="shared" si="55"/>
        <v>7.35</v>
      </c>
      <c r="I107" s="309">
        <f t="shared" si="76"/>
        <v>0.28927212810816622</v>
      </c>
      <c r="J107" s="310">
        <f t="shared" si="56"/>
        <v>4.5582274732195893</v>
      </c>
      <c r="K107" s="310">
        <f t="shared" si="77"/>
        <v>9.6291137366097939</v>
      </c>
      <c r="L107" s="310">
        <f t="shared" si="78"/>
        <v>5.0708862633902054</v>
      </c>
      <c r="M107" s="51">
        <f t="shared" si="57"/>
        <v>0</v>
      </c>
      <c r="N107" s="309">
        <f t="shared" si="58"/>
        <v>7.4668569787741221</v>
      </c>
      <c r="O107" s="309">
        <f t="shared" si="79"/>
        <v>0.34372238200725796</v>
      </c>
      <c r="P107">
        <f t="shared" si="59"/>
        <v>0.2</v>
      </c>
      <c r="Q107" s="309">
        <f t="shared" si="80"/>
        <v>0.54372238200725798</v>
      </c>
      <c r="R107" s="8">
        <f t="shared" si="87"/>
        <v>1.3158469293454389</v>
      </c>
      <c r="S107" s="8">
        <f t="shared" si="81"/>
        <v>1.7314531414678205E-3</v>
      </c>
      <c r="T107" s="8">
        <f t="shared" si="88"/>
        <v>1.7314531414678205E-3</v>
      </c>
      <c r="U107" s="309">
        <f t="shared" si="60"/>
        <v>4.0159761796698161</v>
      </c>
      <c r="V107" s="311">
        <f t="shared" si="82"/>
        <v>3.2256129351350742E-2</v>
      </c>
      <c r="W107" s="309">
        <f t="shared" si="89"/>
        <v>3.2256129351350742E-2</v>
      </c>
      <c r="X107" s="309">
        <f t="shared" si="61"/>
        <v>4.0159761796698161</v>
      </c>
      <c r="Y107" s="309">
        <f t="shared" si="83"/>
        <v>0.83865936313511935</v>
      </c>
      <c r="Z107" s="309">
        <f t="shared" si="62"/>
        <v>8.3580696264360349E-2</v>
      </c>
      <c r="AA107" s="309">
        <f t="shared" si="63"/>
        <v>6.9304499999999991E-2</v>
      </c>
      <c r="AB107" s="309">
        <f t="shared" si="64"/>
        <v>0</v>
      </c>
      <c r="AC107" s="309">
        <f t="shared" si="94"/>
        <v>1.2158807009463479</v>
      </c>
      <c r="AD107" s="309">
        <f t="shared" si="66"/>
        <v>6.2949097265800749</v>
      </c>
      <c r="AE107" s="309">
        <f t="shared" si="84"/>
        <v>0.39625888465792436</v>
      </c>
      <c r="AF107" s="309">
        <f t="shared" si="67"/>
        <v>9.9224999999999994E-2</v>
      </c>
      <c r="AG107" s="309">
        <f t="shared" si="95"/>
        <v>0.52902480962058407</v>
      </c>
      <c r="AH107" s="309">
        <f t="shared" si="69"/>
        <v>0</v>
      </c>
      <c r="AI107">
        <f t="shared" si="70"/>
        <v>0</v>
      </c>
      <c r="AJ107" s="310">
        <f t="shared" si="71"/>
        <v>0.22022249999999996</v>
      </c>
      <c r="AK107">
        <f t="shared" si="85"/>
        <v>3.6000000000000004E-2</v>
      </c>
      <c r="AL107" s="310">
        <f t="shared" si="72"/>
        <v>3.0374999999999999E-2</v>
      </c>
      <c r="AM107" s="310">
        <f t="shared" si="86"/>
        <v>5.5427027027027023E-2</v>
      </c>
      <c r="AN107" s="310">
        <f t="shared" si="90"/>
        <v>6.6375000000000003E-2</v>
      </c>
      <c r="AO107" s="310">
        <f t="shared" si="96"/>
        <v>2.6092129750670083</v>
      </c>
      <c r="AP107">
        <f t="shared" si="74"/>
        <v>36.75</v>
      </c>
      <c r="AQ107" s="9">
        <f t="shared" si="91"/>
        <v>0.93370769439114865</v>
      </c>
      <c r="AR107" s="51">
        <f t="shared" si="75"/>
        <v>66.873438552049137</v>
      </c>
      <c r="AS107" s="51">
        <f t="shared" si="92"/>
        <v>21.160992384823363</v>
      </c>
      <c r="AT107" s="9"/>
      <c r="AU107">
        <f t="shared" si="93"/>
        <v>93.370769439114866</v>
      </c>
      <c r="BE107" s="540"/>
      <c r="BF107" s="21"/>
    </row>
    <row r="108" spans="7:58">
      <c r="G108">
        <v>99</v>
      </c>
      <c r="H108">
        <f t="shared" si="55"/>
        <v>7.4249999999999998</v>
      </c>
      <c r="I108" s="309">
        <f t="shared" si="76"/>
        <v>0.28939148525990566</v>
      </c>
      <c r="J108" s="310">
        <f t="shared" si="56"/>
        <v>4.5601082525803323</v>
      </c>
      <c r="K108" s="310">
        <f t="shared" si="77"/>
        <v>9.7050541262901664</v>
      </c>
      <c r="L108" s="310">
        <f t="shared" si="78"/>
        <v>5.1449458737098333</v>
      </c>
      <c r="M108" s="51">
        <f t="shared" si="57"/>
        <v>0</v>
      </c>
      <c r="N108" s="309">
        <f t="shared" si="58"/>
        <v>7.5407895656182848</v>
      </c>
      <c r="O108" s="309">
        <f t="shared" si="79"/>
        <v>0.35075471234306749</v>
      </c>
      <c r="P108">
        <f t="shared" si="59"/>
        <v>0.2</v>
      </c>
      <c r="Q108" s="309">
        <f t="shared" si="80"/>
        <v>0.5507547123430675</v>
      </c>
      <c r="R108" s="8">
        <f t="shared" si="87"/>
        <v>1.3163898635805444</v>
      </c>
      <c r="S108" s="8">
        <f t="shared" si="81"/>
        <v>1.7328822729376044E-3</v>
      </c>
      <c r="T108" s="8">
        <f t="shared" si="88"/>
        <v>1.7328822729376044E-3</v>
      </c>
      <c r="U108" s="309">
        <f t="shared" si="60"/>
        <v>4.0565767374478279</v>
      </c>
      <c r="V108" s="311">
        <f t="shared" si="82"/>
        <v>3.291162965360573E-2</v>
      </c>
      <c r="W108" s="309">
        <f t="shared" si="89"/>
        <v>3.291162965360573E-2</v>
      </c>
      <c r="X108" s="309">
        <f t="shared" si="61"/>
        <v>4.0565767374478279</v>
      </c>
      <c r="Y108" s="309">
        <f t="shared" si="83"/>
        <v>0.85570237099374891</v>
      </c>
      <c r="Z108" s="309">
        <f t="shared" si="62"/>
        <v>8.4556847126910792E-2</v>
      </c>
      <c r="AA108" s="309">
        <f t="shared" si="63"/>
        <v>6.9304499999999991E-2</v>
      </c>
      <c r="AB108" s="309">
        <f t="shared" si="64"/>
        <v>0</v>
      </c>
      <c r="AC108" s="309">
        <f t="shared" si="94"/>
        <v>1.2436949080809605</v>
      </c>
      <c r="AD108" s="309">
        <f t="shared" si="66"/>
        <v>6.3567045272007681</v>
      </c>
      <c r="AE108" s="309">
        <f t="shared" si="84"/>
        <v>0.40407692446134741</v>
      </c>
      <c r="AF108" s="309">
        <f t="shared" si="67"/>
        <v>0.10023749999999999</v>
      </c>
      <c r="AG108" s="309">
        <f t="shared" si="95"/>
        <v>0.53917321732684531</v>
      </c>
      <c r="AH108" s="309">
        <f t="shared" si="69"/>
        <v>0</v>
      </c>
      <c r="AI108">
        <f t="shared" si="70"/>
        <v>0</v>
      </c>
      <c r="AJ108" s="310">
        <f t="shared" si="71"/>
        <v>0.22017375</v>
      </c>
      <c r="AK108">
        <f t="shared" si="85"/>
        <v>3.6000000000000004E-2</v>
      </c>
      <c r="AL108" s="310">
        <f t="shared" si="72"/>
        <v>3.0374999999999999E-2</v>
      </c>
      <c r="AM108" s="310">
        <f t="shared" si="86"/>
        <v>5.5427027027027023E-2</v>
      </c>
      <c r="AN108" s="310">
        <f t="shared" si="90"/>
        <v>6.6375000000000003E-2</v>
      </c>
      <c r="AO108" s="310">
        <f t="shared" si="96"/>
        <v>2.6548160996774164</v>
      </c>
      <c r="AP108">
        <f t="shared" si="74"/>
        <v>37.125</v>
      </c>
      <c r="AQ108" s="9">
        <f t="shared" si="91"/>
        <v>0.933262232961933</v>
      </c>
      <c r="AR108" s="51">
        <f t="shared" si="75"/>
        <v>68.403219944452829</v>
      </c>
      <c r="AS108" s="51">
        <f t="shared" si="92"/>
        <v>21.566928693073812</v>
      </c>
      <c r="AT108" s="9"/>
      <c r="AU108">
        <f t="shared" si="93"/>
        <v>93.326223296193305</v>
      </c>
      <c r="BE108" s="540"/>
      <c r="BF108" s="21"/>
    </row>
    <row r="109" spans="7:58">
      <c r="G109">
        <v>100</v>
      </c>
      <c r="H109">
        <f t="shared" si="55"/>
        <v>7.5</v>
      </c>
      <c r="I109" s="309">
        <f t="shared" si="76"/>
        <v>0.28951088493073229</v>
      </c>
      <c r="J109" s="310">
        <f t="shared" si="56"/>
        <v>4.5619897019388116</v>
      </c>
      <c r="K109" s="310">
        <f t="shared" si="77"/>
        <v>9.7809948509694067</v>
      </c>
      <c r="L109" s="310">
        <f t="shared" si="78"/>
        <v>5.2190051490305942</v>
      </c>
      <c r="M109" s="51">
        <f t="shared" si="57"/>
        <v>0</v>
      </c>
      <c r="N109" s="309">
        <f t="shared" si="58"/>
        <v>7.6147431016011948</v>
      </c>
      <c r="O109" s="309">
        <f t="shared" si="79"/>
        <v>0.35786617458914627</v>
      </c>
      <c r="P109">
        <f t="shared" si="59"/>
        <v>0.2</v>
      </c>
      <c r="Q109" s="309">
        <f t="shared" si="80"/>
        <v>0.55786617458914622</v>
      </c>
      <c r="R109" s="8">
        <f t="shared" si="87"/>
        <v>1.3169329912273369</v>
      </c>
      <c r="S109" s="8">
        <f t="shared" si="81"/>
        <v>1.7343125033829809E-3</v>
      </c>
      <c r="T109" s="8">
        <f t="shared" si="88"/>
        <v>1.7343125033829809E-3</v>
      </c>
      <c r="U109" s="309">
        <f t="shared" si="60"/>
        <v>4.0972050992053752</v>
      </c>
      <c r="V109" s="311">
        <f t="shared" si="82"/>
        <v>3.3574179249909061E-2</v>
      </c>
      <c r="W109" s="309">
        <f t="shared" si="89"/>
        <v>3.3574179249909061E-2</v>
      </c>
      <c r="X109" s="309">
        <f t="shared" si="61"/>
        <v>4.0972050992053752</v>
      </c>
      <c r="Y109" s="309">
        <f t="shared" si="83"/>
        <v>0.87292866049763551</v>
      </c>
      <c r="Z109" s="309">
        <f t="shared" si="62"/>
        <v>8.5532996138721326E-2</v>
      </c>
      <c r="AA109" s="309">
        <f t="shared" si="63"/>
        <v>6.9304499999999991E-2</v>
      </c>
      <c r="AB109" s="309">
        <f t="shared" si="64"/>
        <v>0</v>
      </c>
      <c r="AC109" s="309">
        <f t="shared" si="94"/>
        <v>1.2720575687383862</v>
      </c>
      <c r="AD109" s="309">
        <f t="shared" si="66"/>
        <v>6.4185062809370574</v>
      </c>
      <c r="AE109" s="309">
        <f t="shared" si="84"/>
        <v>0.41197222878428458</v>
      </c>
      <c r="AF109" s="309">
        <f t="shared" si="67"/>
        <v>0.10124999999999999</v>
      </c>
      <c r="AG109" s="309">
        <f t="shared" si="95"/>
        <v>0.54943879262051154</v>
      </c>
      <c r="AH109" s="309">
        <f t="shared" si="69"/>
        <v>0</v>
      </c>
      <c r="AI109">
        <f t="shared" si="70"/>
        <v>0</v>
      </c>
      <c r="AJ109" s="310">
        <f t="shared" si="71"/>
        <v>0.22012499999999999</v>
      </c>
      <c r="AK109">
        <f t="shared" si="85"/>
        <v>3.6000000000000004E-2</v>
      </c>
      <c r="AL109" s="310">
        <f t="shared" si="72"/>
        <v>3.0374999999999999E-2</v>
      </c>
      <c r="AM109" s="310">
        <f t="shared" si="86"/>
        <v>5.5427027027027023E-2</v>
      </c>
      <c r="AN109" s="310">
        <f t="shared" si="90"/>
        <v>6.6375000000000003E-2</v>
      </c>
      <c r="AO109" s="310">
        <f t="shared" si="96"/>
        <v>2.7011710277013359</v>
      </c>
      <c r="AP109">
        <f t="shared" si="74"/>
        <v>37.5</v>
      </c>
      <c r="AQ109" s="9">
        <f t="shared" si="91"/>
        <v>0.93280864814012399</v>
      </c>
      <c r="AR109" s="51">
        <f t="shared" si="75"/>
        <v>69.963166280611233</v>
      </c>
      <c r="AS109" s="51">
        <f t="shared" si="92"/>
        <v>21.977551704820463</v>
      </c>
      <c r="AT109" s="9"/>
      <c r="AU109">
        <f t="shared" si="93"/>
        <v>93.280864814012403</v>
      </c>
      <c r="BE109" s="540"/>
      <c r="BF109" s="21"/>
    </row>
    <row r="110" spans="7:58">
      <c r="G110">
        <v>101</v>
      </c>
      <c r="H110">
        <f t="shared" si="55"/>
        <v>7.5750000000000002</v>
      </c>
      <c r="I110" s="309">
        <f t="shared" ref="I110:I173" si="97">(Vout+Rdcr*H110+RdsonBot*H110)/(Vin-RdsonTop*H110+RdsonBot*H110)</f>
        <v>0.28963032714337017</v>
      </c>
      <c r="J110" s="310">
        <f t="shared" si="56"/>
        <v>4.5638718216531062</v>
      </c>
      <c r="K110" s="310">
        <f t="shared" si="77"/>
        <v>9.8569359108265537</v>
      </c>
      <c r="L110" s="310">
        <f t="shared" ref="L110:L173" si="98">H110-J110/2</f>
        <v>5.2930640891734466</v>
      </c>
      <c r="M110" s="51">
        <f t="shared" si="57"/>
        <v>0</v>
      </c>
      <c r="N110" s="309">
        <f t="shared" ref="N110:N173" si="99">SQRT(H110^2+(J110^2)/12)</f>
        <v>7.6887169822868762</v>
      </c>
      <c r="O110" s="309">
        <f t="shared" ref="O110:O173" si="100">(N110^2*Rdcr*(1+Ltc*Ta-Ltc*25))/(1-N110^2*Rdcr*Ltc*ThetaCa)</f>
        <v>0.36505701877861563</v>
      </c>
      <c r="P110">
        <f t="shared" si="59"/>
        <v>0.2</v>
      </c>
      <c r="Q110" s="309">
        <f t="shared" si="80"/>
        <v>0.56505701877861569</v>
      </c>
      <c r="R110" s="8">
        <f t="shared" ref="R110:R173" si="101">J110/(2*SQRT(3))</f>
        <v>1.3174763123891844</v>
      </c>
      <c r="S110" s="8">
        <f t="shared" ref="S110:S173" si="102">RCoutEsr*R110^2</f>
        <v>1.7357438337066038E-3</v>
      </c>
      <c r="T110" s="8">
        <f t="shared" ref="T110:T173" si="103">S110</f>
        <v>1.7357438337066038E-3</v>
      </c>
      <c r="U110" s="309">
        <f t="shared" ref="U110:U173" si="104">SQRT(I110)*SQRT(H110^2+(J110^2)/12)</f>
        <v>4.1378609503987169</v>
      </c>
      <c r="V110" s="311">
        <f t="shared" ref="V110:V173" si="105">RCinEsr*U110^2</f>
        <v>3.4243786489669151E-2</v>
      </c>
      <c r="W110" s="309">
        <f t="shared" ref="W110:W173" si="106">V110</f>
        <v>3.4243786489669151E-2</v>
      </c>
      <c r="X110" s="309">
        <f t="shared" ref="X110:X173" si="107">SQRT(I110)*SQRT(H110^2+(J110^2)/12)</f>
        <v>4.1378609503987169</v>
      </c>
      <c r="Y110" s="309">
        <f t="shared" ref="Y110:Y173" si="108">RdsonTop*X110^2</f>
        <v>0.89033844873139778</v>
      </c>
      <c r="Z110" s="309">
        <f t="shared" si="62"/>
        <v>8.6509143298802854E-2</v>
      </c>
      <c r="AA110" s="309">
        <f t="shared" si="63"/>
        <v>6.9304499999999991E-2</v>
      </c>
      <c r="AB110" s="309">
        <f t="shared" si="64"/>
        <v>0</v>
      </c>
      <c r="AC110" s="309">
        <f t="shared" ref="AC110:AC173" si="109">(AB110+AA110+Z110+Y110*(1+RdsonTopTc*Ta-RdsonTopTc*25))/(1-Y110*RdsonTopTc*ThetaJaTop)</f>
        <v>1.3009810512499398</v>
      </c>
      <c r="AD110" s="309">
        <f t="shared" ref="AD110:AD173" si="110">SQRT(1-I110)*SQRT(H110^2+(J110^2)/12)</f>
        <v>6.4803144668196486</v>
      </c>
      <c r="AE110" s="309">
        <f t="shared" ref="AE110:AE173" si="111">RdsonBot*AD110^2</f>
        <v>0.41994475588872027</v>
      </c>
      <c r="AF110" s="309">
        <f t="shared" si="67"/>
        <v>0.10226250000000001</v>
      </c>
      <c r="AG110" s="309">
        <f t="shared" ref="AG110:AG173" si="112">(AF110+AE110*(1+RdsonBotTc*Ta-RdsonBotTc*25))/(1-AE110*RdsonBotTc*ThetaJaBot)</f>
        <v>0.55982237091168896</v>
      </c>
      <c r="AH110" s="309">
        <f t="shared" ref="AH110:AH173" si="113">IF(RDSON_sense=1, 0, AD110^2*Rshunt)</f>
        <v>0</v>
      </c>
      <c r="AI110">
        <f t="shared" si="70"/>
        <v>0</v>
      </c>
      <c r="AJ110" s="310">
        <f t="shared" si="71"/>
        <v>0.22007625</v>
      </c>
      <c r="AK110">
        <f t="shared" si="85"/>
        <v>3.6000000000000004E-2</v>
      </c>
      <c r="AL110" s="310">
        <f t="shared" si="72"/>
        <v>3.0374999999999999E-2</v>
      </c>
      <c r="AM110" s="310">
        <f t="shared" si="86"/>
        <v>5.5427027027027023E-2</v>
      </c>
      <c r="AN110" s="310">
        <f t="shared" ref="AN110:AN173" si="114">SUM(AK110:AL110)</f>
        <v>6.6375000000000003E-2</v>
      </c>
      <c r="AO110" s="310">
        <f t="shared" ref="AO110:AO173" si="115">SUM(Q110,T110,W110,AC110,AJ110,AI110,AG110,AN110, AH110)</f>
        <v>2.7482912212636199</v>
      </c>
      <c r="AP110">
        <f t="shared" si="74"/>
        <v>37.875</v>
      </c>
      <c r="AQ110" s="9">
        <f t="shared" ref="AQ110:AQ173" si="116">AP110/(AP110+AO110)</f>
        <v>0.93234690891256322</v>
      </c>
      <c r="AR110" s="51">
        <f t="shared" ref="AR110:AR173" si="117">ThetaJaTop*AC110</f>
        <v>71.553957818746682</v>
      </c>
      <c r="AS110" s="51">
        <f t="shared" ref="AS110:AS173" si="118">AG110*ThetaJaBot</f>
        <v>22.392894836467558</v>
      </c>
      <c r="AT110" s="9"/>
      <c r="AU110">
        <f t="shared" ref="AU110:AU173" si="119">AQ110*100</f>
        <v>93.234690891256321</v>
      </c>
    </row>
    <row r="111" spans="7:58">
      <c r="G111">
        <v>102</v>
      </c>
      <c r="H111">
        <f t="shared" si="55"/>
        <v>7.65</v>
      </c>
      <c r="I111" s="309">
        <f t="shared" si="97"/>
        <v>0.28974981192055976</v>
      </c>
      <c r="J111" s="310">
        <f t="shared" si="56"/>
        <v>4.5657546120815482</v>
      </c>
      <c r="K111" s="310">
        <f t="shared" si="77"/>
        <v>9.9328773060407745</v>
      </c>
      <c r="L111" s="310">
        <f t="shared" si="98"/>
        <v>5.3671226939592263</v>
      </c>
      <c r="M111" s="51">
        <f t="shared" si="57"/>
        <v>0</v>
      </c>
      <c r="N111" s="309">
        <f t="shared" si="99"/>
        <v>7.7627106261158545</v>
      </c>
      <c r="O111" s="309">
        <f t="shared" si="100"/>
        <v>0.37232749815032445</v>
      </c>
      <c r="P111">
        <f t="shared" si="59"/>
        <v>0.2</v>
      </c>
      <c r="Q111" s="309">
        <f t="shared" si="80"/>
        <v>0.57232749815032447</v>
      </c>
      <c r="R111" s="8">
        <f t="shared" si="101"/>
        <v>1.3180198271695287</v>
      </c>
      <c r="S111" s="8">
        <f t="shared" si="102"/>
        <v>1.7371762648119944E-3</v>
      </c>
      <c r="T111" s="8">
        <f t="shared" si="103"/>
        <v>1.7371762648119944E-3</v>
      </c>
      <c r="U111" s="309">
        <f t="shared" si="104"/>
        <v>4.1785439885351332</v>
      </c>
      <c r="V111" s="311">
        <f t="shared" si="105"/>
        <v>3.49204597282462E-2</v>
      </c>
      <c r="W111" s="309">
        <f t="shared" si="106"/>
        <v>3.49204597282462E-2</v>
      </c>
      <c r="X111" s="309">
        <f t="shared" si="107"/>
        <v>4.1785439885351332</v>
      </c>
      <c r="Y111" s="309">
        <f t="shared" si="108"/>
        <v>0.90793195293440121</v>
      </c>
      <c r="Z111" s="309">
        <f t="shared" si="62"/>
        <v>8.7485288606165515E-2</v>
      </c>
      <c r="AA111" s="309">
        <f t="shared" si="63"/>
        <v>6.9304499999999991E-2</v>
      </c>
      <c r="AB111" s="309">
        <f t="shared" si="64"/>
        <v>0</v>
      </c>
      <c r="AC111" s="309">
        <f t="shared" si="109"/>
        <v>1.330478136323231</v>
      </c>
      <c r="AD111" s="309">
        <f t="shared" si="110"/>
        <v>6.5421285833197214</v>
      </c>
      <c r="AE111" s="309">
        <f t="shared" si="111"/>
        <v>0.42799446400688906</v>
      </c>
      <c r="AF111" s="309">
        <f t="shared" si="67"/>
        <v>0.10327500000000001</v>
      </c>
      <c r="AG111" s="309">
        <f t="shared" si="112"/>
        <v>0.57032480122447382</v>
      </c>
      <c r="AH111" s="309">
        <f t="shared" si="113"/>
        <v>0</v>
      </c>
      <c r="AI111">
        <f t="shared" si="70"/>
        <v>0</v>
      </c>
      <c r="AJ111" s="310">
        <f t="shared" si="71"/>
        <v>0.22002749999999999</v>
      </c>
      <c r="AK111">
        <f t="shared" si="85"/>
        <v>3.6000000000000004E-2</v>
      </c>
      <c r="AL111" s="310">
        <f t="shared" si="72"/>
        <v>3.0374999999999999E-2</v>
      </c>
      <c r="AM111" s="310">
        <f t="shared" si="86"/>
        <v>5.5427027027027023E-2</v>
      </c>
      <c r="AN111" s="310">
        <f t="shared" si="114"/>
        <v>6.6375000000000003E-2</v>
      </c>
      <c r="AO111" s="310">
        <f t="shared" si="115"/>
        <v>2.7961905716910871</v>
      </c>
      <c r="AP111">
        <f t="shared" si="74"/>
        <v>38.25</v>
      </c>
      <c r="AQ111" s="9">
        <f t="shared" si="116"/>
        <v>0.93187697730908126</v>
      </c>
      <c r="AR111" s="51">
        <f t="shared" si="117"/>
        <v>73.176297497777711</v>
      </c>
      <c r="AS111" s="51">
        <f t="shared" si="118"/>
        <v>22.812992048978952</v>
      </c>
      <c r="AT111" s="9"/>
      <c r="AU111">
        <f t="shared" si="119"/>
        <v>93.187697730908127</v>
      </c>
    </row>
    <row r="112" spans="7:58">
      <c r="G112">
        <v>103</v>
      </c>
      <c r="H112">
        <f t="shared" si="55"/>
        <v>7.7250000000000005</v>
      </c>
      <c r="I112" s="309">
        <f t="shared" si="97"/>
        <v>0.2898693392850577</v>
      </c>
      <c r="J112" s="310">
        <f t="shared" si="56"/>
        <v>4.5676380735827271</v>
      </c>
      <c r="K112" s="310">
        <f t="shared" si="77"/>
        <v>10.008819036791364</v>
      </c>
      <c r="L112" s="310">
        <f t="shared" si="98"/>
        <v>5.4411809632086374</v>
      </c>
      <c r="M112" s="51">
        <f t="shared" si="57"/>
        <v>0</v>
      </c>
      <c r="N112" s="309">
        <f t="shared" si="99"/>
        <v>7.8367234733403448</v>
      </c>
      <c r="O112" s="309">
        <f t="shared" si="100"/>
        <v>0.37967786917191471</v>
      </c>
      <c r="P112">
        <f t="shared" si="59"/>
        <v>0.2</v>
      </c>
      <c r="Q112" s="309">
        <f t="shared" si="80"/>
        <v>0.57967786917191466</v>
      </c>
      <c r="R112" s="8">
        <f t="shared" si="101"/>
        <v>1.3185635356718857</v>
      </c>
      <c r="S112" s="8">
        <f t="shared" si="102"/>
        <v>1.7386097976035443E-3</v>
      </c>
      <c r="T112" s="8">
        <f t="shared" si="103"/>
        <v>1.7386097976035443E-3</v>
      </c>
      <c r="U112" s="309">
        <f t="shared" si="104"/>
        <v>4.2192539226122356</v>
      </c>
      <c r="V112" s="311">
        <f t="shared" si="105"/>
        <v>3.5604207326957474E-2</v>
      </c>
      <c r="W112" s="309">
        <f t="shared" si="106"/>
        <v>3.5604207326957474E-2</v>
      </c>
      <c r="X112" s="309">
        <f t="shared" si="107"/>
        <v>4.2192539226122356</v>
      </c>
      <c r="Y112" s="309">
        <f t="shared" si="108"/>
        <v>0.92570939050089418</v>
      </c>
      <c r="Z112" s="309">
        <f t="shared" si="62"/>
        <v>8.8461432059818809E-2</v>
      </c>
      <c r="AA112" s="309">
        <f t="shared" si="63"/>
        <v>6.9304499999999991E-2</v>
      </c>
      <c r="AB112" s="309">
        <f t="shared" si="64"/>
        <v>0</v>
      </c>
      <c r="AC112" s="309">
        <f t="shared" si="109"/>
        <v>1.3605620337889457</v>
      </c>
      <c r="AD112" s="309">
        <f t="shared" si="110"/>
        <v>6.6039481474436803</v>
      </c>
      <c r="AE112" s="309">
        <f t="shared" si="111"/>
        <v>0.43612131134124815</v>
      </c>
      <c r="AF112" s="309">
        <f t="shared" si="67"/>
        <v>0.10428750000000001</v>
      </c>
      <c r="AG112" s="309">
        <f t="shared" si="112"/>
        <v>0.58094694639423161</v>
      </c>
      <c r="AH112" s="309">
        <f t="shared" si="113"/>
        <v>0</v>
      </c>
      <c r="AI112">
        <f t="shared" si="70"/>
        <v>0</v>
      </c>
      <c r="AJ112" s="310">
        <f t="shared" si="71"/>
        <v>0.21997874999999997</v>
      </c>
      <c r="AK112">
        <f t="shared" si="85"/>
        <v>3.6000000000000004E-2</v>
      </c>
      <c r="AL112" s="310">
        <f t="shared" si="72"/>
        <v>3.0374999999999999E-2</v>
      </c>
      <c r="AM112" s="310">
        <f t="shared" si="86"/>
        <v>5.5427027027027023E-2</v>
      </c>
      <c r="AN112" s="310">
        <f t="shared" si="114"/>
        <v>6.6375000000000003E-2</v>
      </c>
      <c r="AO112" s="310">
        <f t="shared" si="115"/>
        <v>2.8448834164796528</v>
      </c>
      <c r="AP112">
        <f t="shared" si="74"/>
        <v>38.625</v>
      </c>
      <c r="AQ112" s="9">
        <f t="shared" si="116"/>
        <v>0.93139880843385425</v>
      </c>
      <c r="AR112" s="51">
        <f t="shared" si="117"/>
        <v>74.830911858392014</v>
      </c>
      <c r="AS112" s="51">
        <f t="shared" si="118"/>
        <v>23.237877855769263</v>
      </c>
      <c r="AT112" s="9"/>
      <c r="AU112">
        <f t="shared" si="119"/>
        <v>93.139880843385427</v>
      </c>
    </row>
    <row r="113" spans="7:47">
      <c r="G113">
        <v>104</v>
      </c>
      <c r="H113">
        <f t="shared" si="55"/>
        <v>7.8000000000000007</v>
      </c>
      <c r="I113" s="309">
        <f t="shared" si="97"/>
        <v>0.28998890925963655</v>
      </c>
      <c r="J113" s="310">
        <f t="shared" si="56"/>
        <v>4.5695222065154848</v>
      </c>
      <c r="K113" s="310">
        <f t="shared" si="77"/>
        <v>10.084761103257744</v>
      </c>
      <c r="L113" s="310">
        <f t="shared" si="98"/>
        <v>5.5152388967422583</v>
      </c>
      <c r="M113" s="51">
        <f t="shared" si="57"/>
        <v>0</v>
      </c>
      <c r="N113" s="309">
        <f t="shared" si="99"/>
        <v>7.9107549850179613</v>
      </c>
      <c r="O113" s="309">
        <f t="shared" si="100"/>
        <v>0.38710839156323557</v>
      </c>
      <c r="P113">
        <f t="shared" si="59"/>
        <v>0.2</v>
      </c>
      <c r="Q113" s="309">
        <f t="shared" si="80"/>
        <v>0.58710839156323558</v>
      </c>
      <c r="R113" s="8">
        <f t="shared" si="101"/>
        <v>1.319107437999844</v>
      </c>
      <c r="S113" s="8">
        <f t="shared" si="102"/>
        <v>1.7400444329865121E-3</v>
      </c>
      <c r="T113" s="8">
        <f t="shared" si="103"/>
        <v>1.7400444329865121E-3</v>
      </c>
      <c r="U113" s="309">
        <f t="shared" si="104"/>
        <v>4.2599904725880959</v>
      </c>
      <c r="V113" s="311">
        <f t="shared" si="105"/>
        <v>3.6295037653082694E-2</v>
      </c>
      <c r="W113" s="309">
        <f t="shared" si="106"/>
        <v>3.6295037653082694E-2</v>
      </c>
      <c r="X113" s="309">
        <f t="shared" si="107"/>
        <v>4.2599904725880959</v>
      </c>
      <c r="Y113" s="309">
        <f t="shared" si="108"/>
        <v>0.94367097898014995</v>
      </c>
      <c r="Z113" s="309">
        <f t="shared" si="62"/>
        <v>8.9437573658771474E-2</v>
      </c>
      <c r="AA113" s="309">
        <f t="shared" si="63"/>
        <v>6.9304499999999991E-2</v>
      </c>
      <c r="AB113" s="309">
        <f t="shared" si="64"/>
        <v>0</v>
      </c>
      <c r="AC113" s="309">
        <f t="shared" si="109"/>
        <v>1.3912464001802838</v>
      </c>
      <c r="AD113" s="309">
        <f t="shared" si="110"/>
        <v>6.6657726938776696</v>
      </c>
      <c r="AE113" s="309">
        <f t="shared" si="111"/>
        <v>0.44432525606445161</v>
      </c>
      <c r="AF113" s="309">
        <f t="shared" si="67"/>
        <v>0.1053</v>
      </c>
      <c r="AG113" s="309">
        <f t="shared" si="112"/>
        <v>0.59168968326913185</v>
      </c>
      <c r="AH113" s="309">
        <f t="shared" si="113"/>
        <v>0</v>
      </c>
      <c r="AI113">
        <f t="shared" si="70"/>
        <v>0</v>
      </c>
      <c r="AJ113" s="310">
        <f t="shared" si="71"/>
        <v>0.21992999999999999</v>
      </c>
      <c r="AK113">
        <f t="shared" si="85"/>
        <v>3.6000000000000004E-2</v>
      </c>
      <c r="AL113" s="310">
        <f t="shared" si="72"/>
        <v>3.0374999999999999E-2</v>
      </c>
      <c r="AM113" s="310">
        <f t="shared" si="86"/>
        <v>5.5427027027027023E-2</v>
      </c>
      <c r="AN113" s="310">
        <f t="shared" si="114"/>
        <v>6.6375000000000003E-2</v>
      </c>
      <c r="AO113" s="310">
        <f t="shared" si="115"/>
        <v>2.8943845570987206</v>
      </c>
      <c r="AP113">
        <f t="shared" si="74"/>
        <v>39</v>
      </c>
      <c r="AQ113" s="9">
        <f t="shared" si="116"/>
        <v>0.93091235048091225</v>
      </c>
      <c r="AR113" s="51">
        <f t="shared" si="117"/>
        <v>76.518552009915609</v>
      </c>
      <c r="AS113" s="51">
        <f t="shared" si="118"/>
        <v>23.667587330765272</v>
      </c>
      <c r="AT113" s="9"/>
      <c r="AU113">
        <f t="shared" si="119"/>
        <v>93.091235048091221</v>
      </c>
    </row>
    <row r="114" spans="7:47">
      <c r="G114">
        <v>105</v>
      </c>
      <c r="H114">
        <f t="shared" si="55"/>
        <v>7.875</v>
      </c>
      <c r="I114" s="309">
        <f t="shared" si="97"/>
        <v>0.29010852186708552</v>
      </c>
      <c r="J114" s="310">
        <f t="shared" si="56"/>
        <v>4.5714070112389233</v>
      </c>
      <c r="K114" s="310">
        <f t="shared" si="77"/>
        <v>10.160703505619463</v>
      </c>
      <c r="L114" s="310">
        <f t="shared" si="98"/>
        <v>5.5892964943805383</v>
      </c>
      <c r="M114" s="51">
        <f t="shared" si="57"/>
        <v>0</v>
      </c>
      <c r="N114" s="309">
        <f t="shared" si="99"/>
        <v>7.984804642060257</v>
      </c>
      <c r="O114" s="309">
        <f t="shared" si="100"/>
        <v>0.39461932832010937</v>
      </c>
      <c r="P114">
        <f t="shared" si="59"/>
        <v>0.2</v>
      </c>
      <c r="Q114" s="309">
        <f t="shared" si="80"/>
        <v>0.59461932832010933</v>
      </c>
      <c r="R114" s="8">
        <f t="shared" si="101"/>
        <v>1.3196515342570676</v>
      </c>
      <c r="S114" s="8">
        <f t="shared" si="102"/>
        <v>1.7414801718670327E-3</v>
      </c>
      <c r="T114" s="8">
        <f t="shared" si="103"/>
        <v>1.7414801718670327E-3</v>
      </c>
      <c r="U114" s="309">
        <f t="shared" si="104"/>
        <v>4.3007533688802306</v>
      </c>
      <c r="V114" s="311">
        <f t="shared" si="105"/>
        <v>3.6992959079869311E-2</v>
      </c>
      <c r="W114" s="309">
        <f t="shared" si="106"/>
        <v>3.6992959079869311E-2</v>
      </c>
      <c r="X114" s="309">
        <f t="shared" si="107"/>
        <v>4.3007533688802306</v>
      </c>
      <c r="Y114" s="309">
        <f t="shared" si="108"/>
        <v>0.96181693607660201</v>
      </c>
      <c r="Z114" s="309">
        <f t="shared" si="62"/>
        <v>9.0413713402031567E-2</v>
      </c>
      <c r="AA114" s="309">
        <f t="shared" si="63"/>
        <v>6.9304499999999991E-2</v>
      </c>
      <c r="AB114" s="309">
        <f t="shared" si="64"/>
        <v>0</v>
      </c>
      <c r="AC114" s="309">
        <f t="shared" si="109"/>
        <v>1.4225453571935256</v>
      </c>
      <c r="AD114" s="309">
        <f t="shared" si="110"/>
        <v>6.7276017741786989</v>
      </c>
      <c r="AE114" s="309">
        <f t="shared" si="111"/>
        <v>0.45260625631932377</v>
      </c>
      <c r="AF114" s="309">
        <f t="shared" si="67"/>
        <v>0.1063125</v>
      </c>
      <c r="AG114" s="309">
        <f t="shared" si="112"/>
        <v>0.60255390291603128</v>
      </c>
      <c r="AH114" s="309">
        <f t="shared" si="113"/>
        <v>0</v>
      </c>
      <c r="AI114">
        <f t="shared" si="70"/>
        <v>0</v>
      </c>
      <c r="AJ114" s="310">
        <f t="shared" si="71"/>
        <v>0.21988124999999997</v>
      </c>
      <c r="AK114">
        <f t="shared" si="85"/>
        <v>3.6000000000000004E-2</v>
      </c>
      <c r="AL114" s="310">
        <f t="shared" si="72"/>
        <v>3.0374999999999999E-2</v>
      </c>
      <c r="AM114" s="310">
        <f t="shared" si="86"/>
        <v>5.5427027027027023E-2</v>
      </c>
      <c r="AN114" s="310">
        <f t="shared" si="114"/>
        <v>6.6375000000000003E-2</v>
      </c>
      <c r="AO114" s="310">
        <f t="shared" si="115"/>
        <v>2.9447092776814023</v>
      </c>
      <c r="AP114">
        <f t="shared" si="74"/>
        <v>39.375</v>
      </c>
      <c r="AQ114" s="9">
        <f t="shared" si="116"/>
        <v>0.93041754473407057</v>
      </c>
      <c r="AR114" s="51">
        <f t="shared" si="117"/>
        <v>78.239994645643904</v>
      </c>
      <c r="AS114" s="51">
        <f t="shared" si="118"/>
        <v>24.10215611664125</v>
      </c>
      <c r="AT114" s="9"/>
      <c r="AU114">
        <f t="shared" si="119"/>
        <v>93.041754473407053</v>
      </c>
    </row>
    <row r="115" spans="7:47">
      <c r="G115">
        <v>106</v>
      </c>
      <c r="H115">
        <f t="shared" si="55"/>
        <v>7.95</v>
      </c>
      <c r="I115" s="309">
        <f t="shared" si="97"/>
        <v>0.29022817713020982</v>
      </c>
      <c r="J115" s="310">
        <f t="shared" si="56"/>
        <v>4.5732924881123971</v>
      </c>
      <c r="K115" s="310">
        <f t="shared" si="77"/>
        <v>10.2366462440562</v>
      </c>
      <c r="L115" s="310">
        <f t="shared" si="98"/>
        <v>5.6633537559438016</v>
      </c>
      <c r="M115" s="51">
        <f t="shared" si="57"/>
        <v>0</v>
      </c>
      <c r="N115" s="309">
        <f t="shared" si="99"/>
        <v>8.0588719443326617</v>
      </c>
      <c r="O115" s="309">
        <f t="shared" si="100"/>
        <v>0.40221094573845306</v>
      </c>
      <c r="P115">
        <f t="shared" si="59"/>
        <v>0.2</v>
      </c>
      <c r="Q115" s="309">
        <f t="shared" si="80"/>
        <v>0.60221094573845302</v>
      </c>
      <c r="R115" s="8">
        <f t="shared" si="101"/>
        <v>1.3201958245472929</v>
      </c>
      <c r="S115" s="8">
        <f t="shared" si="102"/>
        <v>1.7429170151521066E-3</v>
      </c>
      <c r="T115" s="8">
        <f t="shared" si="103"/>
        <v>1.7429170151521066E-3</v>
      </c>
      <c r="U115" s="309">
        <f t="shared" si="104"/>
        <v>4.3415423518916532</v>
      </c>
      <c r="V115" s="311">
        <f t="shared" si="105"/>
        <v>3.7697979986537816E-2</v>
      </c>
      <c r="W115" s="309">
        <f t="shared" si="106"/>
        <v>3.7697979986537816E-2</v>
      </c>
      <c r="X115" s="309">
        <f t="shared" si="107"/>
        <v>4.3415423518916532</v>
      </c>
      <c r="Y115" s="309">
        <f t="shared" si="108"/>
        <v>0.98014747964998317</v>
      </c>
      <c r="Z115" s="309">
        <f t="shared" si="62"/>
        <v>9.1389851288606452E-2</v>
      </c>
      <c r="AA115" s="309">
        <f t="shared" si="63"/>
        <v>6.9304499999999991E-2</v>
      </c>
      <c r="AB115" s="309">
        <f t="shared" si="64"/>
        <v>0</v>
      </c>
      <c r="AC115" s="309">
        <f t="shared" si="109"/>
        <v>1.4544735110815157</v>
      </c>
      <c r="AD115" s="309">
        <f t="shared" si="110"/>
        <v>6.7894349560094609</v>
      </c>
      <c r="AE115" s="309">
        <f t="shared" si="111"/>
        <v>0.46096427021883191</v>
      </c>
      <c r="AF115" s="309">
        <f t="shared" si="67"/>
        <v>0.10732500000000002</v>
      </c>
      <c r="AG115" s="309">
        <f t="shared" si="112"/>
        <v>0.61354051083080141</v>
      </c>
      <c r="AH115" s="309">
        <f t="shared" si="113"/>
        <v>0</v>
      </c>
      <c r="AI115">
        <f t="shared" si="70"/>
        <v>0</v>
      </c>
      <c r="AJ115" s="310">
        <f t="shared" si="71"/>
        <v>0.21983249999999999</v>
      </c>
      <c r="AK115">
        <f t="shared" si="85"/>
        <v>3.6000000000000004E-2</v>
      </c>
      <c r="AL115" s="310">
        <f t="shared" si="72"/>
        <v>3.0374999999999999E-2</v>
      </c>
      <c r="AM115" s="310">
        <f t="shared" si="86"/>
        <v>5.5427027027027023E-2</v>
      </c>
      <c r="AN115" s="310">
        <f t="shared" si="114"/>
        <v>6.6375000000000003E-2</v>
      </c>
      <c r="AO115" s="310">
        <f t="shared" si="115"/>
        <v>2.9958733646524598</v>
      </c>
      <c r="AP115">
        <f t="shared" si="74"/>
        <v>39.75</v>
      </c>
      <c r="AQ115" s="9">
        <f t="shared" si="116"/>
        <v>0.92991432555148545</v>
      </c>
      <c r="AR115" s="51">
        <f t="shared" si="117"/>
        <v>79.996043109483367</v>
      </c>
      <c r="AS115" s="51">
        <f t="shared" si="118"/>
        <v>24.541620433232055</v>
      </c>
      <c r="AT115" s="9"/>
      <c r="AU115">
        <f t="shared" si="119"/>
        <v>92.991432555148549</v>
      </c>
    </row>
    <row r="116" spans="7:47">
      <c r="G116">
        <v>107</v>
      </c>
      <c r="H116">
        <f t="shared" si="55"/>
        <v>8.0250000000000004</v>
      </c>
      <c r="I116" s="309">
        <f t="shared" si="97"/>
        <v>0.29034787507183119</v>
      </c>
      <c r="J116" s="310">
        <f t="shared" si="56"/>
        <v>4.5751786374955223</v>
      </c>
      <c r="K116" s="310">
        <f t="shared" si="77"/>
        <v>10.312589318747762</v>
      </c>
      <c r="L116" s="310">
        <f t="shared" si="98"/>
        <v>5.7374106812522392</v>
      </c>
      <c r="M116" s="51">
        <f t="shared" si="57"/>
        <v>0</v>
      </c>
      <c r="N116" s="309">
        <f t="shared" si="99"/>
        <v>8.1329564098026257</v>
      </c>
      <c r="O116" s="309">
        <f t="shared" si="100"/>
        <v>0.40988351343875917</v>
      </c>
      <c r="P116">
        <f t="shared" si="59"/>
        <v>0.2</v>
      </c>
      <c r="Q116" s="309">
        <f t="shared" si="80"/>
        <v>0.60988351343875924</v>
      </c>
      <c r="R116" s="8">
        <f t="shared" si="101"/>
        <v>1.3207403089743326</v>
      </c>
      <c r="S116" s="8">
        <f t="shared" si="102"/>
        <v>1.7443549637496155E-3</v>
      </c>
      <c r="T116" s="8">
        <f t="shared" si="103"/>
        <v>1.7443549637496155E-3</v>
      </c>
      <c r="U116" s="309">
        <f t="shared" si="104"/>
        <v>4.3823571715623038</v>
      </c>
      <c r="V116" s="311">
        <f t="shared" si="105"/>
        <v>3.8410108758287112E-2</v>
      </c>
      <c r="W116" s="309">
        <f t="shared" si="106"/>
        <v>3.8410108758287112E-2</v>
      </c>
      <c r="X116" s="309">
        <f t="shared" si="107"/>
        <v>4.3823571715623038</v>
      </c>
      <c r="Y116" s="309">
        <f t="shared" si="108"/>
        <v>0.99866282771546477</v>
      </c>
      <c r="Z116" s="309">
        <f t="shared" si="62"/>
        <v>9.2365987317502757E-2</v>
      </c>
      <c r="AA116" s="309">
        <f t="shared" si="63"/>
        <v>6.9304499999999991E-2</v>
      </c>
      <c r="AB116" s="309">
        <f t="shared" si="64"/>
        <v>0</v>
      </c>
      <c r="AC116" s="309">
        <f t="shared" si="109"/>
        <v>1.4870459730353249</v>
      </c>
      <c r="AD116" s="309">
        <f t="shared" si="110"/>
        <v>6.8512718224141471</v>
      </c>
      <c r="AE116" s="309">
        <f t="shared" si="111"/>
        <v>0.46939925584606068</v>
      </c>
      <c r="AF116" s="309">
        <f t="shared" si="67"/>
        <v>0.1083375</v>
      </c>
      <c r="AG116" s="309">
        <f t="shared" si="112"/>
        <v>0.62465042715320263</v>
      </c>
      <c r="AH116" s="309">
        <f t="shared" si="113"/>
        <v>0</v>
      </c>
      <c r="AI116">
        <f t="shared" si="70"/>
        <v>0</v>
      </c>
      <c r="AJ116" s="310">
        <f t="shared" si="71"/>
        <v>0.21978374999999997</v>
      </c>
      <c r="AK116">
        <f t="shared" si="85"/>
        <v>3.6000000000000004E-2</v>
      </c>
      <c r="AL116" s="310">
        <f t="shared" si="72"/>
        <v>3.0374999999999999E-2</v>
      </c>
      <c r="AM116" s="310">
        <f t="shared" si="86"/>
        <v>5.5427027027027023E-2</v>
      </c>
      <c r="AN116" s="310">
        <f t="shared" si="114"/>
        <v>6.6375000000000003E-2</v>
      </c>
      <c r="AO116" s="310">
        <f t="shared" si="115"/>
        <v>3.0478931273493233</v>
      </c>
      <c r="AP116">
        <f t="shared" si="74"/>
        <v>40.125</v>
      </c>
      <c r="AQ116" s="9">
        <f t="shared" si="116"/>
        <v>0.92940262033496812</v>
      </c>
      <c r="AR116" s="51">
        <f t="shared" si="117"/>
        <v>81.787528516942871</v>
      </c>
      <c r="AS116" s="51">
        <f t="shared" si="118"/>
        <v>24.986017086128104</v>
      </c>
      <c r="AT116" s="9"/>
      <c r="AU116">
        <f t="shared" si="119"/>
        <v>92.940262033496808</v>
      </c>
    </row>
    <row r="117" spans="7:47">
      <c r="G117">
        <v>108</v>
      </c>
      <c r="H117">
        <f t="shared" si="55"/>
        <v>8.1000000000000014</v>
      </c>
      <c r="I117" s="309">
        <f t="shared" si="97"/>
        <v>0.2904676157147873</v>
      </c>
      <c r="J117" s="310">
        <f t="shared" si="56"/>
        <v>4.5770654597481633</v>
      </c>
      <c r="K117" s="310">
        <f t="shared" si="77"/>
        <v>10.388532729874083</v>
      </c>
      <c r="L117" s="310">
        <f t="shared" si="98"/>
        <v>5.8114672701259202</v>
      </c>
      <c r="M117" s="51">
        <f t="shared" si="57"/>
        <v>0</v>
      </c>
      <c r="N117" s="309">
        <f t="shared" si="99"/>
        <v>8.2070575737330085</v>
      </c>
      <c r="O117" s="309">
        <f t="shared" si="100"/>
        <v>0.41763730439094277</v>
      </c>
      <c r="P117">
        <f t="shared" si="59"/>
        <v>0.2</v>
      </c>
      <c r="Q117" s="309">
        <f t="shared" si="80"/>
        <v>0.61763730439094278</v>
      </c>
      <c r="R117" s="8">
        <f t="shared" si="101"/>
        <v>1.3212849876420703</v>
      </c>
      <c r="S117" s="8">
        <f t="shared" si="102"/>
        <v>1.7457940185683059E-3</v>
      </c>
      <c r="T117" s="8">
        <f t="shared" si="103"/>
        <v>1.7457940185683059E-3</v>
      </c>
      <c r="U117" s="309">
        <f t="shared" si="104"/>
        <v>4.4231975869442994</v>
      </c>
      <c r="V117" s="311">
        <f t="shared" si="105"/>
        <v>3.9129353786299746E-2</v>
      </c>
      <c r="W117" s="309">
        <f t="shared" si="106"/>
        <v>3.9129353786299746E-2</v>
      </c>
      <c r="X117" s="309">
        <f t="shared" si="107"/>
        <v>4.4231975869442994</v>
      </c>
      <c r="Y117" s="309">
        <f t="shared" si="108"/>
        <v>1.0173631984437934</v>
      </c>
      <c r="Z117" s="309">
        <f t="shared" si="62"/>
        <v>9.3342121487726443E-2</v>
      </c>
      <c r="AA117" s="309">
        <f t="shared" si="63"/>
        <v>6.9304499999999991E-2</v>
      </c>
      <c r="AB117" s="309">
        <f t="shared" si="64"/>
        <v>0</v>
      </c>
      <c r="AC117" s="309">
        <f t="shared" si="109"/>
        <v>1.5202783806131368</v>
      </c>
      <c r="AD117" s="309">
        <f t="shared" si="110"/>
        <v>6.9131119711327154</v>
      </c>
      <c r="AE117" s="309">
        <f t="shared" si="111"/>
        <v>0.47791117125418459</v>
      </c>
      <c r="AF117" s="309">
        <f t="shared" si="67"/>
        <v>0.10935000000000002</v>
      </c>
      <c r="AG117" s="309">
        <f t="shared" si="112"/>
        <v>0.63588458688640292</v>
      </c>
      <c r="AH117" s="309">
        <f t="shared" si="113"/>
        <v>0</v>
      </c>
      <c r="AI117">
        <f t="shared" si="70"/>
        <v>0</v>
      </c>
      <c r="AJ117" s="310">
        <f t="shared" si="71"/>
        <v>0.21973499999999999</v>
      </c>
      <c r="AK117">
        <f t="shared" si="85"/>
        <v>3.6000000000000004E-2</v>
      </c>
      <c r="AL117" s="310">
        <f t="shared" si="72"/>
        <v>3.0374999999999999E-2</v>
      </c>
      <c r="AM117" s="310">
        <f t="shared" si="86"/>
        <v>5.5427027027027023E-2</v>
      </c>
      <c r="AN117" s="310">
        <f t="shared" si="114"/>
        <v>6.6375000000000003E-2</v>
      </c>
      <c r="AO117" s="310">
        <f t="shared" si="115"/>
        <v>3.1007854196953506</v>
      </c>
      <c r="AP117">
        <f t="shared" si="74"/>
        <v>40.500000000000007</v>
      </c>
      <c r="AQ117" s="9">
        <f t="shared" si="116"/>
        <v>0.92888234948412962</v>
      </c>
      <c r="AR117" s="51">
        <f t="shared" si="117"/>
        <v>83.615310933722526</v>
      </c>
      <c r="AS117" s="51">
        <f t="shared" si="118"/>
        <v>25.435383475456117</v>
      </c>
      <c r="AT117" s="9"/>
      <c r="AU117">
        <f t="shared" si="119"/>
        <v>92.888234948412958</v>
      </c>
    </row>
    <row r="118" spans="7:47">
      <c r="G118">
        <v>109</v>
      </c>
      <c r="H118">
        <f t="shared" si="55"/>
        <v>8.1750000000000007</v>
      </c>
      <c r="I118" s="309">
        <f t="shared" si="97"/>
        <v>0.29058739908193237</v>
      </c>
      <c r="J118" s="310">
        <f t="shared" si="56"/>
        <v>4.5789529552304495</v>
      </c>
      <c r="K118" s="310">
        <f t="shared" si="77"/>
        <v>10.464476477615225</v>
      </c>
      <c r="L118" s="310">
        <f t="shared" si="98"/>
        <v>5.8855235223847764</v>
      </c>
      <c r="M118" s="51">
        <f t="shared" si="57"/>
        <v>0</v>
      </c>
      <c r="N118" s="309">
        <f t="shared" si="99"/>
        <v>8.2811749879179484</v>
      </c>
      <c r="O118" s="309">
        <f t="shared" si="100"/>
        <v>0.42547259493955547</v>
      </c>
      <c r="P118">
        <f t="shared" si="59"/>
        <v>0.2</v>
      </c>
      <c r="Q118" s="309">
        <f t="shared" si="80"/>
        <v>0.62547259493955543</v>
      </c>
      <c r="R118" s="8">
        <f t="shared" si="101"/>
        <v>1.3218298606544663</v>
      </c>
      <c r="S118" s="8">
        <f t="shared" si="102"/>
        <v>1.7472341805178059E-3</v>
      </c>
      <c r="T118" s="8">
        <f t="shared" si="103"/>
        <v>1.7472341805178059E-3</v>
      </c>
      <c r="U118" s="309">
        <f t="shared" si="104"/>
        <v>4.4640633657995599</v>
      </c>
      <c r="V118" s="311">
        <f t="shared" si="105"/>
        <v>3.9855723467747392E-2</v>
      </c>
      <c r="W118" s="309">
        <f t="shared" si="106"/>
        <v>3.9855723467747392E-2</v>
      </c>
      <c r="X118" s="309">
        <f t="shared" si="107"/>
        <v>4.4640633657995599</v>
      </c>
      <c r="Y118" s="309">
        <f t="shared" si="108"/>
        <v>1.036248810161432</v>
      </c>
      <c r="Z118" s="309">
        <f t="shared" si="62"/>
        <v>9.4318253798282667E-2</v>
      </c>
      <c r="AA118" s="309">
        <f t="shared" si="63"/>
        <v>6.9304499999999991E-2</v>
      </c>
      <c r="AB118" s="309">
        <f t="shared" si="64"/>
        <v>0</v>
      </c>
      <c r="AC118" s="309">
        <f t="shared" si="109"/>
        <v>1.5541869202794933</v>
      </c>
      <c r="AD118" s="309">
        <f t="shared" si="110"/>
        <v>6.9749550139512833</v>
      </c>
      <c r="AE118" s="309">
        <f t="shared" si="111"/>
        <v>0.48649997446644144</v>
      </c>
      <c r="AF118" s="309">
        <f t="shared" si="67"/>
        <v>0.1103625</v>
      </c>
      <c r="AG118" s="309">
        <f t="shared" si="112"/>
        <v>0.64724394012124897</v>
      </c>
      <c r="AH118" s="309">
        <f t="shared" si="113"/>
        <v>0</v>
      </c>
      <c r="AI118">
        <f t="shared" si="70"/>
        <v>0</v>
      </c>
      <c r="AJ118" s="310">
        <f t="shared" si="71"/>
        <v>0.21968624999999997</v>
      </c>
      <c r="AK118">
        <f t="shared" si="85"/>
        <v>3.6000000000000004E-2</v>
      </c>
      <c r="AL118" s="310">
        <f t="shared" si="72"/>
        <v>3.0374999999999999E-2</v>
      </c>
      <c r="AM118" s="310">
        <f t="shared" si="86"/>
        <v>5.5427027027027023E-2</v>
      </c>
      <c r="AN118" s="310">
        <f t="shared" si="114"/>
        <v>6.6375000000000003E-2</v>
      </c>
      <c r="AO118" s="310">
        <f t="shared" si="115"/>
        <v>3.1545676629885628</v>
      </c>
      <c r="AP118">
        <f t="shared" si="74"/>
        <v>40.875</v>
      </c>
      <c r="AQ118" s="9">
        <f t="shared" si="116"/>
        <v>0.92835342633536</v>
      </c>
      <c r="AR118" s="51">
        <f t="shared" si="117"/>
        <v>85.480280615372138</v>
      </c>
      <c r="AS118" s="51">
        <f t="shared" si="118"/>
        <v>25.889757604849958</v>
      </c>
      <c r="AT118" s="9"/>
      <c r="AU118">
        <f t="shared" si="119"/>
        <v>92.835342633536001</v>
      </c>
    </row>
    <row r="119" spans="7:47">
      <c r="G119">
        <v>110</v>
      </c>
      <c r="H119">
        <f t="shared" si="55"/>
        <v>8.25</v>
      </c>
      <c r="I119" s="309">
        <f t="shared" si="97"/>
        <v>0.29070722519613673</v>
      </c>
      <c r="J119" s="310">
        <f t="shared" si="56"/>
        <v>4.5808411243027614</v>
      </c>
      <c r="K119" s="310">
        <f t="shared" si="77"/>
        <v>10.540420562151381</v>
      </c>
      <c r="L119" s="310">
        <f t="shared" si="98"/>
        <v>5.9595794378486193</v>
      </c>
      <c r="M119" s="51">
        <f t="shared" si="57"/>
        <v>0</v>
      </c>
      <c r="N119" s="309">
        <f t="shared" si="99"/>
        <v>8.3553082199586513</v>
      </c>
      <c r="O119" s="309">
        <f t="shared" si="100"/>
        <v>0.43338966482937513</v>
      </c>
      <c r="P119">
        <f t="shared" si="59"/>
        <v>0.2</v>
      </c>
      <c r="Q119" s="309">
        <f t="shared" si="80"/>
        <v>0.63338966482937509</v>
      </c>
      <c r="R119" s="8">
        <f t="shared" si="101"/>
        <v>1.3223749281155537</v>
      </c>
      <c r="S119" s="8">
        <f t="shared" si="102"/>
        <v>1.7486754505086158E-3</v>
      </c>
      <c r="T119" s="8">
        <f t="shared" si="103"/>
        <v>1.7486754505086158E-3</v>
      </c>
      <c r="U119" s="309">
        <f t="shared" si="104"/>
        <v>4.5049542842184334</v>
      </c>
      <c r="V119" s="311">
        <f t="shared" si="105"/>
        <v>4.0589226205796039E-2</v>
      </c>
      <c r="W119" s="309">
        <f t="shared" si="106"/>
        <v>4.0589226205796039E-2</v>
      </c>
      <c r="X119" s="309">
        <f t="shared" si="107"/>
        <v>4.5049542842184334</v>
      </c>
      <c r="Y119" s="309">
        <f t="shared" si="108"/>
        <v>1.055319881350697</v>
      </c>
      <c r="Z119" s="309">
        <f t="shared" si="62"/>
        <v>9.529438424817599E-2</v>
      </c>
      <c r="AA119" s="309">
        <f t="shared" si="63"/>
        <v>6.9304499999999991E-2</v>
      </c>
      <c r="AB119" s="309">
        <f t="shared" si="64"/>
        <v>0</v>
      </c>
      <c r="AC119" s="309">
        <f t="shared" si="109"/>
        <v>1.588788351122403</v>
      </c>
      <c r="AD119" s="309">
        <f t="shared" si="110"/>
        <v>7.0368005760864492</v>
      </c>
      <c r="AE119" s="309">
        <f t="shared" si="111"/>
        <v>0.49516562347610582</v>
      </c>
      <c r="AF119" s="309">
        <f t="shared" si="67"/>
        <v>0.111375</v>
      </c>
      <c r="AG119" s="309">
        <f t="shared" si="112"/>
        <v>0.65872945226539681</v>
      </c>
      <c r="AH119" s="309">
        <f t="shared" si="113"/>
        <v>0</v>
      </c>
      <c r="AI119">
        <f t="shared" si="70"/>
        <v>0</v>
      </c>
      <c r="AJ119" s="310">
        <f t="shared" si="71"/>
        <v>0.21963750000000001</v>
      </c>
      <c r="AK119">
        <f t="shared" si="85"/>
        <v>3.6000000000000004E-2</v>
      </c>
      <c r="AL119" s="310">
        <f t="shared" si="72"/>
        <v>3.0374999999999999E-2</v>
      </c>
      <c r="AM119" s="310">
        <f t="shared" si="86"/>
        <v>5.5427027027027023E-2</v>
      </c>
      <c r="AN119" s="310">
        <f t="shared" si="114"/>
        <v>6.6375000000000003E-2</v>
      </c>
      <c r="AO119" s="310">
        <f t="shared" si="115"/>
        <v>3.2092578698734795</v>
      </c>
      <c r="AP119">
        <f t="shared" si="74"/>
        <v>41.25</v>
      </c>
      <c r="AQ119" s="9">
        <f t="shared" si="116"/>
        <v>0.92781575708558683</v>
      </c>
      <c r="AR119" s="51">
        <f t="shared" si="117"/>
        <v>87.383359311732164</v>
      </c>
      <c r="AS119" s="51">
        <f t="shared" si="118"/>
        <v>26.349178090615872</v>
      </c>
      <c r="AT119" s="9"/>
      <c r="AU119">
        <f t="shared" si="119"/>
        <v>92.781575708558677</v>
      </c>
    </row>
    <row r="120" spans="7:47">
      <c r="G120">
        <v>111</v>
      </c>
      <c r="H120">
        <f t="shared" si="55"/>
        <v>8.3250000000000011</v>
      </c>
      <c r="I120" s="309">
        <f t="shared" si="97"/>
        <v>0.29082709408028734</v>
      </c>
      <c r="J120" s="310">
        <f t="shared" si="56"/>
        <v>4.58272996732574</v>
      </c>
      <c r="K120" s="310">
        <f t="shared" si="77"/>
        <v>10.616364983662871</v>
      </c>
      <c r="L120" s="310">
        <f t="shared" si="98"/>
        <v>6.0336350163371311</v>
      </c>
      <c r="M120" s="51">
        <f t="shared" si="57"/>
        <v>0</v>
      </c>
      <c r="N120" s="309">
        <f t="shared" si="99"/>
        <v>8.4294568525766902</v>
      </c>
      <c r="O120" s="309">
        <f t="shared" si="100"/>
        <v>0.44138879723137198</v>
      </c>
      <c r="P120">
        <f t="shared" si="59"/>
        <v>0.2</v>
      </c>
      <c r="Q120" s="309">
        <f t="shared" si="80"/>
        <v>0.64138879723137199</v>
      </c>
      <c r="R120" s="8">
        <f t="shared" si="101"/>
        <v>1.3229201901294405</v>
      </c>
      <c r="S120" s="8">
        <f t="shared" si="102"/>
        <v>1.7501178294521151E-3</v>
      </c>
      <c r="T120" s="8">
        <f t="shared" si="103"/>
        <v>1.7501178294521151E-3</v>
      </c>
      <c r="U120" s="309">
        <f t="shared" si="104"/>
        <v>4.5458701262580936</v>
      </c>
      <c r="V120" s="311">
        <f t="shared" si="105"/>
        <v>4.1329870409611551E-2</v>
      </c>
      <c r="W120" s="309">
        <f t="shared" si="106"/>
        <v>4.1329870409611551E-2</v>
      </c>
      <c r="X120" s="309">
        <f t="shared" si="107"/>
        <v>4.5458701262580936</v>
      </c>
      <c r="Y120" s="309">
        <f t="shared" si="108"/>
        <v>1.0745766306499003</v>
      </c>
      <c r="Z120" s="309">
        <f t="shared" si="62"/>
        <v>9.6270512836410221E-2</v>
      </c>
      <c r="AA120" s="309">
        <f t="shared" si="63"/>
        <v>6.9304499999999991E-2</v>
      </c>
      <c r="AB120" s="309">
        <f t="shared" si="64"/>
        <v>0</v>
      </c>
      <c r="AC120" s="309">
        <f t="shared" si="109"/>
        <v>1.6241000298205679</v>
      </c>
      <c r="AD120" s="309">
        <f t="shared" si="110"/>
        <v>7.0986482956015191</v>
      </c>
      <c r="AE120" s="309">
        <f t="shared" si="111"/>
        <v>0.5039080762464635</v>
      </c>
      <c r="AF120" s="309">
        <f t="shared" si="67"/>
        <v>0.11238750000000002</v>
      </c>
      <c r="AG120" s="309">
        <f t="shared" si="112"/>
        <v>0.67034210427741348</v>
      </c>
      <c r="AH120" s="309">
        <f t="shared" si="113"/>
        <v>0</v>
      </c>
      <c r="AI120">
        <f t="shared" si="70"/>
        <v>0</v>
      </c>
      <c r="AJ120" s="310">
        <f t="shared" si="71"/>
        <v>0.21958874999999997</v>
      </c>
      <c r="AK120">
        <f t="shared" si="85"/>
        <v>3.6000000000000004E-2</v>
      </c>
      <c r="AL120" s="310">
        <f t="shared" si="72"/>
        <v>3.0374999999999999E-2</v>
      </c>
      <c r="AM120" s="310">
        <f t="shared" si="86"/>
        <v>5.5427027027027023E-2</v>
      </c>
      <c r="AN120" s="310">
        <f t="shared" si="114"/>
        <v>6.6375000000000003E-2</v>
      </c>
      <c r="AO120" s="310">
        <f t="shared" si="115"/>
        <v>3.264874669568417</v>
      </c>
      <c r="AP120">
        <f t="shared" si="74"/>
        <v>41.625000000000007</v>
      </c>
      <c r="AQ120" s="9">
        <f t="shared" si="116"/>
        <v>0.92726924070069361</v>
      </c>
      <c r="AR120" s="51">
        <f t="shared" si="117"/>
        <v>89.325501640131236</v>
      </c>
      <c r="AS120" s="51">
        <f t="shared" si="118"/>
        <v>26.81368417109654</v>
      </c>
      <c r="AT120" s="9"/>
      <c r="AU120">
        <f t="shared" si="119"/>
        <v>92.726924070069359</v>
      </c>
    </row>
    <row r="121" spans="7:47">
      <c r="G121">
        <v>112</v>
      </c>
      <c r="H121">
        <f t="shared" si="55"/>
        <v>8.4</v>
      </c>
      <c r="I121" s="309">
        <f t="shared" si="97"/>
        <v>0.29094700575728727</v>
      </c>
      <c r="J121" s="310">
        <f t="shared" si="56"/>
        <v>4.5846194846602843</v>
      </c>
      <c r="K121" s="310">
        <f t="shared" si="77"/>
        <v>10.692309742330142</v>
      </c>
      <c r="L121" s="310">
        <f t="shared" si="98"/>
        <v>6.1076902576698586</v>
      </c>
      <c r="M121" s="51">
        <f t="shared" si="57"/>
        <v>0</v>
      </c>
      <c r="N121" s="309">
        <f t="shared" si="99"/>
        <v>8.5036204829625692</v>
      </c>
      <c r="O121" s="309">
        <f t="shared" si="100"/>
        <v>0.44947027876905665</v>
      </c>
      <c r="P121">
        <f t="shared" si="59"/>
        <v>0.2</v>
      </c>
      <c r="Q121" s="309">
        <f t="shared" si="80"/>
        <v>0.64947027876905672</v>
      </c>
      <c r="R121" s="8">
        <f t="shared" si="101"/>
        <v>1.3234656468003094</v>
      </c>
      <c r="S121" s="8">
        <f t="shared" si="102"/>
        <v>1.7515613182605614E-3</v>
      </c>
      <c r="T121" s="8">
        <f t="shared" si="103"/>
        <v>1.7515613182605614E-3</v>
      </c>
      <c r="U121" s="309">
        <f t="shared" si="104"/>
        <v>4.5868106835994862</v>
      </c>
      <c r="V121" s="311">
        <f t="shared" si="105"/>
        <v>4.2077664494364772E-2</v>
      </c>
      <c r="W121" s="309">
        <f t="shared" si="106"/>
        <v>4.2077664494364772E-2</v>
      </c>
      <c r="X121" s="309">
        <f t="shared" si="107"/>
        <v>4.5868106835994862</v>
      </c>
      <c r="Y121" s="309">
        <f t="shared" si="108"/>
        <v>1.094019276853484</v>
      </c>
      <c r="Z121" s="309">
        <f t="shared" si="62"/>
        <v>9.724663956198841E-2</v>
      </c>
      <c r="AA121" s="309">
        <f t="shared" si="63"/>
        <v>6.9304499999999991E-2</v>
      </c>
      <c r="AB121" s="309">
        <f t="shared" si="64"/>
        <v>0</v>
      </c>
      <c r="AC121" s="309">
        <f t="shared" si="109"/>
        <v>1.6601399369380818</v>
      </c>
      <c r="AD121" s="309">
        <f t="shared" si="110"/>
        <v>7.1604978228526939</v>
      </c>
      <c r="AE121" s="309">
        <f t="shared" si="111"/>
        <v>0.51272729071078171</v>
      </c>
      <c r="AF121" s="309">
        <f t="shared" si="67"/>
        <v>0.1134</v>
      </c>
      <c r="AG121" s="309">
        <f t="shared" si="112"/>
        <v>0.68208289290595681</v>
      </c>
      <c r="AH121" s="309">
        <f t="shared" si="113"/>
        <v>0</v>
      </c>
      <c r="AI121">
        <f t="shared" si="70"/>
        <v>0</v>
      </c>
      <c r="AJ121" s="310">
        <f t="shared" si="71"/>
        <v>0.21953999999999996</v>
      </c>
      <c r="AK121">
        <f t="shared" si="85"/>
        <v>3.6000000000000004E-2</v>
      </c>
      <c r="AL121" s="310">
        <f t="shared" si="72"/>
        <v>3.0374999999999999E-2</v>
      </c>
      <c r="AM121" s="310">
        <f t="shared" si="86"/>
        <v>5.5427027027027023E-2</v>
      </c>
      <c r="AN121" s="310">
        <f t="shared" si="114"/>
        <v>6.6375000000000003E-2</v>
      </c>
      <c r="AO121" s="310">
        <f t="shared" si="115"/>
        <v>3.3214373344257204</v>
      </c>
      <c r="AP121">
        <f t="shared" si="74"/>
        <v>42</v>
      </c>
      <c r="AQ121" s="9">
        <f t="shared" si="116"/>
        <v>0.9267137688084135</v>
      </c>
      <c r="AR121" s="51">
        <f t="shared" si="117"/>
        <v>91.307696531594502</v>
      </c>
      <c r="AS121" s="51">
        <f t="shared" si="118"/>
        <v>27.28331571623827</v>
      </c>
      <c r="AT121" s="9"/>
      <c r="AU121">
        <f t="shared" si="119"/>
        <v>92.67137688084135</v>
      </c>
    </row>
    <row r="122" spans="7:47">
      <c r="G122">
        <v>113</v>
      </c>
      <c r="H122">
        <f t="shared" si="55"/>
        <v>8.4749999999999996</v>
      </c>
      <c r="I122" s="309">
        <f t="shared" si="97"/>
        <v>0.29106696025005591</v>
      </c>
      <c r="J122" s="310">
        <f t="shared" si="56"/>
        <v>4.5865096766675482</v>
      </c>
      <c r="K122" s="310">
        <f t="shared" si="77"/>
        <v>10.768254838333775</v>
      </c>
      <c r="L122" s="310">
        <f t="shared" si="98"/>
        <v>6.1817451616662256</v>
      </c>
      <c r="M122" s="51">
        <f t="shared" si="57"/>
        <v>0</v>
      </c>
      <c r="N122" s="309">
        <f t="shared" si="99"/>
        <v>8.5777987221575138</v>
      </c>
      <c r="O122" s="309">
        <f t="shared" si="100"/>
        <v>0.45763439954521762</v>
      </c>
      <c r="P122">
        <f t="shared" si="59"/>
        <v>0.2</v>
      </c>
      <c r="Q122" s="309">
        <f t="shared" si="80"/>
        <v>0.65763439954521763</v>
      </c>
      <c r="R122" s="8">
        <f t="shared" si="101"/>
        <v>1.3240112982324164</v>
      </c>
      <c r="S122" s="8">
        <f t="shared" si="102"/>
        <v>1.7530059178470887E-3</v>
      </c>
      <c r="T122" s="8">
        <f t="shared" si="103"/>
        <v>1.7530059178470887E-3</v>
      </c>
      <c r="U122" s="309">
        <f t="shared" si="104"/>
        <v>4.6277757552217818</v>
      </c>
      <c r="V122" s="311">
        <f t="shared" si="105"/>
        <v>4.2832616881237066E-2</v>
      </c>
      <c r="W122" s="309">
        <f t="shared" si="106"/>
        <v>4.2832616881237066E-2</v>
      </c>
      <c r="X122" s="309">
        <f t="shared" si="107"/>
        <v>4.6277757552217818</v>
      </c>
      <c r="Y122" s="309">
        <f t="shared" si="108"/>
        <v>1.1136480389121637</v>
      </c>
      <c r="Z122" s="309">
        <f t="shared" si="62"/>
        <v>9.822276442391295E-2</v>
      </c>
      <c r="AA122" s="309">
        <f t="shared" si="63"/>
        <v>6.9304499999999991E-2</v>
      </c>
      <c r="AB122" s="309">
        <f t="shared" si="64"/>
        <v>0</v>
      </c>
      <c r="AC122" s="309">
        <f t="shared" si="109"/>
        <v>1.6969267046295102</v>
      </c>
      <c r="AD122" s="309">
        <f t="shared" si="110"/>
        <v>7.2223488199635266</v>
      </c>
      <c r="AE122" s="309">
        <f t="shared" si="111"/>
        <v>0.5216232247722854</v>
      </c>
      <c r="AF122" s="309">
        <f t="shared" si="67"/>
        <v>0.1144125</v>
      </c>
      <c r="AG122" s="309">
        <f t="shared" si="112"/>
        <v>0.69395283093416305</v>
      </c>
      <c r="AH122" s="309">
        <f t="shared" si="113"/>
        <v>0</v>
      </c>
      <c r="AI122">
        <f t="shared" si="70"/>
        <v>0</v>
      </c>
      <c r="AJ122" s="310">
        <f t="shared" si="71"/>
        <v>0.21949125</v>
      </c>
      <c r="AK122">
        <f t="shared" si="85"/>
        <v>3.6000000000000004E-2</v>
      </c>
      <c r="AL122" s="310">
        <f t="shared" si="72"/>
        <v>3.0374999999999999E-2</v>
      </c>
      <c r="AM122" s="310">
        <f t="shared" si="86"/>
        <v>5.5427027027027023E-2</v>
      </c>
      <c r="AN122" s="310">
        <f t="shared" si="114"/>
        <v>6.6375000000000003E-2</v>
      </c>
      <c r="AO122" s="310">
        <f t="shared" si="115"/>
        <v>3.3789658079079747</v>
      </c>
      <c r="AP122">
        <f t="shared" si="74"/>
        <v>42.375</v>
      </c>
      <c r="AQ122" s="9">
        <f t="shared" si="116"/>
        <v>0.92614922557545898</v>
      </c>
      <c r="AR122" s="51">
        <f t="shared" si="117"/>
        <v>93.330968754623058</v>
      </c>
      <c r="AS122" s="51">
        <f t="shared" si="118"/>
        <v>27.758113237366523</v>
      </c>
      <c r="AT122" s="9"/>
      <c r="AU122">
        <f t="shared" si="119"/>
        <v>92.614922557545896</v>
      </c>
    </row>
    <row r="123" spans="7:47">
      <c r="G123">
        <v>114</v>
      </c>
      <c r="H123">
        <f t="shared" si="55"/>
        <v>8.5499999999999989</v>
      </c>
      <c r="I123" s="309">
        <f t="shared" si="97"/>
        <v>0.29118695758152929</v>
      </c>
      <c r="J123" s="310">
        <f t="shared" si="56"/>
        <v>4.5884005437089463</v>
      </c>
      <c r="K123" s="310">
        <f t="shared" si="77"/>
        <v>10.844200271854472</v>
      </c>
      <c r="L123" s="310">
        <f t="shared" si="98"/>
        <v>6.2557997281455258</v>
      </c>
      <c r="M123" s="51">
        <f t="shared" si="57"/>
        <v>0</v>
      </c>
      <c r="N123" s="309">
        <f t="shared" si="99"/>
        <v>8.6519911944664898</v>
      </c>
      <c r="O123" s="309">
        <f t="shared" si="100"/>
        <v>0.46588145316904955</v>
      </c>
      <c r="P123">
        <f t="shared" si="59"/>
        <v>0.2</v>
      </c>
      <c r="Q123" s="309">
        <f t="shared" si="80"/>
        <v>0.66588145316904956</v>
      </c>
      <c r="R123" s="8">
        <f t="shared" si="101"/>
        <v>1.3245571445300928</v>
      </c>
      <c r="S123" s="8">
        <f t="shared" si="102"/>
        <v>1.7544516291257131E-3</v>
      </c>
      <c r="T123" s="8">
        <f t="shared" si="103"/>
        <v>1.7544516291257131E-3</v>
      </c>
      <c r="U123" s="309">
        <f t="shared" si="104"/>
        <v>4.668765147093267</v>
      </c>
      <c r="V123" s="311">
        <f t="shared" si="105"/>
        <v>4.3594735997425631E-2</v>
      </c>
      <c r="W123" s="309">
        <f t="shared" si="106"/>
        <v>4.3594735997425631E-2</v>
      </c>
      <c r="X123" s="309">
        <f t="shared" si="107"/>
        <v>4.668765147093267</v>
      </c>
      <c r="Y123" s="309">
        <f t="shared" si="108"/>
        <v>1.1334631359330662</v>
      </c>
      <c r="Z123" s="309">
        <f t="shared" si="62"/>
        <v>9.9198887421185516E-2</v>
      </c>
      <c r="AA123" s="309">
        <f t="shared" si="63"/>
        <v>6.9304499999999991E-2</v>
      </c>
      <c r="AB123" s="309">
        <f t="shared" si="64"/>
        <v>0</v>
      </c>
      <c r="AC123" s="309">
        <f t="shared" si="109"/>
        <v>1.7344796458441905</v>
      </c>
      <c r="AD123" s="309">
        <f t="shared" si="110"/>
        <v>7.284200960325907</v>
      </c>
      <c r="AE123" s="309">
        <f t="shared" si="111"/>
        <v>0.53059583630412865</v>
      </c>
      <c r="AF123" s="309">
        <f t="shared" si="67"/>
        <v>0.11542499999999999</v>
      </c>
      <c r="AG123" s="309">
        <f t="shared" si="112"/>
        <v>0.70595294742935122</v>
      </c>
      <c r="AH123" s="309">
        <f t="shared" si="113"/>
        <v>0</v>
      </c>
      <c r="AI123">
        <f t="shared" si="70"/>
        <v>0</v>
      </c>
      <c r="AJ123" s="310">
        <f t="shared" si="71"/>
        <v>0.21944249999999996</v>
      </c>
      <c r="AK123">
        <f t="shared" si="85"/>
        <v>3.6000000000000004E-2</v>
      </c>
      <c r="AL123" s="310">
        <f t="shared" si="72"/>
        <v>3.0374999999999999E-2</v>
      </c>
      <c r="AM123" s="310">
        <f t="shared" si="86"/>
        <v>5.5427027027027023E-2</v>
      </c>
      <c r="AN123" s="310">
        <f t="shared" si="114"/>
        <v>6.6375000000000003E-2</v>
      </c>
      <c r="AO123" s="310">
        <f t="shared" si="115"/>
        <v>3.4374807340691422</v>
      </c>
      <c r="AP123">
        <f t="shared" si="74"/>
        <v>42.749999999999993</v>
      </c>
      <c r="AQ123" s="9">
        <f t="shared" si="116"/>
        <v>0.92557548756857044</v>
      </c>
      <c r="AR123" s="51">
        <f t="shared" si="117"/>
        <v>95.396380521430473</v>
      </c>
      <c r="AS123" s="51">
        <f t="shared" si="118"/>
        <v>28.23811789717405</v>
      </c>
      <c r="AT123" s="9"/>
      <c r="AU123">
        <f t="shared" si="119"/>
        <v>92.557548756857045</v>
      </c>
    </row>
    <row r="124" spans="7:47">
      <c r="G124">
        <v>115</v>
      </c>
      <c r="H124">
        <f t="shared" si="55"/>
        <v>8.625</v>
      </c>
      <c r="I124" s="309">
        <f t="shared" si="97"/>
        <v>0.29130699777465946</v>
      </c>
      <c r="J124" s="310">
        <f t="shared" si="56"/>
        <v>4.5902920861461496</v>
      </c>
      <c r="K124" s="310">
        <f t="shared" si="77"/>
        <v>10.920146043073075</v>
      </c>
      <c r="L124" s="310">
        <f t="shared" si="98"/>
        <v>6.3298539569269252</v>
      </c>
      <c r="M124" s="51">
        <f t="shared" si="57"/>
        <v>0</v>
      </c>
      <c r="N124" s="309">
        <f t="shared" si="99"/>
        <v>8.7261975369006706</v>
      </c>
      <c r="O124" s="309">
        <f t="shared" si="100"/>
        <v>0.47421173678368</v>
      </c>
      <c r="P124">
        <f t="shared" si="59"/>
        <v>0.2</v>
      </c>
      <c r="Q124" s="309">
        <f t="shared" si="80"/>
        <v>0.67421173678367996</v>
      </c>
      <c r="R124" s="8">
        <f t="shared" si="101"/>
        <v>1.3251031857977442</v>
      </c>
      <c r="S124" s="8">
        <f t="shared" si="102"/>
        <v>1.755898453011331E-3</v>
      </c>
      <c r="T124" s="8">
        <f t="shared" si="103"/>
        <v>1.755898453011331E-3</v>
      </c>
      <c r="U124" s="309">
        <f t="shared" si="104"/>
        <v>4.7097786718777375</v>
      </c>
      <c r="V124" s="311">
        <f t="shared" si="105"/>
        <v>4.4364030276148853E-2</v>
      </c>
      <c r="W124" s="309">
        <f t="shared" si="106"/>
        <v>4.4364030276148853E-2</v>
      </c>
      <c r="X124" s="309">
        <f t="shared" si="107"/>
        <v>4.7097786718777375</v>
      </c>
      <c r="Y124" s="309">
        <f t="shared" si="108"/>
        <v>1.1534647871798702</v>
      </c>
      <c r="Z124" s="309">
        <f t="shared" si="62"/>
        <v>0.10017500855280706</v>
      </c>
      <c r="AA124" s="309">
        <f t="shared" si="63"/>
        <v>6.9304499999999991E-2</v>
      </c>
      <c r="AB124" s="309">
        <f t="shared" si="64"/>
        <v>0</v>
      </c>
      <c r="AC124" s="309">
        <f t="shared" si="109"/>
        <v>1.7728187851250909</v>
      </c>
      <c r="AD124" s="309">
        <f t="shared" si="110"/>
        <v>7.3460539281261008</v>
      </c>
      <c r="AE124" s="309">
        <f t="shared" si="111"/>
        <v>0.53964508314936921</v>
      </c>
      <c r="AF124" s="309">
        <f t="shared" si="67"/>
        <v>0.1164375</v>
      </c>
      <c r="AG124" s="309">
        <f t="shared" si="112"/>
        <v>0.71808428799817403</v>
      </c>
      <c r="AH124" s="309">
        <f t="shared" si="113"/>
        <v>0</v>
      </c>
      <c r="AI124">
        <f t="shared" si="70"/>
        <v>0</v>
      </c>
      <c r="AJ124" s="310">
        <f t="shared" si="71"/>
        <v>0.21939375</v>
      </c>
      <c r="AK124">
        <f t="shared" si="85"/>
        <v>3.6000000000000004E-2</v>
      </c>
      <c r="AL124" s="310">
        <f t="shared" si="72"/>
        <v>3.0374999999999999E-2</v>
      </c>
      <c r="AM124" s="310">
        <f t="shared" si="86"/>
        <v>5.5427027027027023E-2</v>
      </c>
      <c r="AN124" s="310">
        <f t="shared" si="114"/>
        <v>6.6375000000000003E-2</v>
      </c>
      <c r="AO124" s="310">
        <f t="shared" si="115"/>
        <v>3.4970034886361052</v>
      </c>
      <c r="AP124">
        <f t="shared" si="74"/>
        <v>43.125</v>
      </c>
      <c r="AQ124" s="9">
        <f t="shared" si="116"/>
        <v>0.92499242359911704</v>
      </c>
      <c r="AR124" s="51">
        <f t="shared" si="117"/>
        <v>97.505033181880009</v>
      </c>
      <c r="AS124" s="51">
        <f t="shared" si="118"/>
        <v>28.72337151992696</v>
      </c>
      <c r="AT124" s="9"/>
      <c r="AU124">
        <f t="shared" si="119"/>
        <v>92.499242359911705</v>
      </c>
    </row>
    <row r="125" spans="7:47">
      <c r="G125">
        <v>116</v>
      </c>
      <c r="H125">
        <f t="shared" si="55"/>
        <v>8.6999999999999993</v>
      </c>
      <c r="I125" s="309">
        <f t="shared" si="97"/>
        <v>0.29142708085241514</v>
      </c>
      <c r="J125" s="310">
        <f t="shared" si="56"/>
        <v>4.5921843043410879</v>
      </c>
      <c r="K125" s="310">
        <f t="shared" si="77"/>
        <v>10.996092152170544</v>
      </c>
      <c r="L125" s="310">
        <f t="shared" si="98"/>
        <v>6.4039078478294549</v>
      </c>
      <c r="M125" s="51">
        <f t="shared" si="57"/>
        <v>0</v>
      </c>
      <c r="N125" s="309">
        <f t="shared" si="99"/>
        <v>8.8004173986476175</v>
      </c>
      <c r="O125" s="309">
        <f t="shared" si="100"/>
        <v>0.48262555109409494</v>
      </c>
      <c r="P125">
        <f t="shared" si="59"/>
        <v>0.2</v>
      </c>
      <c r="Q125" s="309">
        <f t="shared" si="80"/>
        <v>0.68262555109409495</v>
      </c>
      <c r="R125" s="8">
        <f t="shared" si="101"/>
        <v>1.3256494221398507</v>
      </c>
      <c r="S125" s="8">
        <f t="shared" si="102"/>
        <v>1.7573463904197201E-3</v>
      </c>
      <c r="T125" s="8">
        <f t="shared" si="103"/>
        <v>1.7573463904197201E-3</v>
      </c>
      <c r="U125" s="309">
        <f t="shared" si="104"/>
        <v>4.7508161486554963</v>
      </c>
      <c r="V125" s="311">
        <f t="shared" si="105"/>
        <v>4.5140508156651687E-2</v>
      </c>
      <c r="W125" s="309">
        <f t="shared" si="106"/>
        <v>4.5140508156651687E-2</v>
      </c>
      <c r="X125" s="309">
        <f t="shared" si="107"/>
        <v>4.7508161486554963</v>
      </c>
      <c r="Y125" s="309">
        <f t="shared" si="108"/>
        <v>1.1736532120729437</v>
      </c>
      <c r="Z125" s="309">
        <f t="shared" si="62"/>
        <v>0.10115112781777781</v>
      </c>
      <c r="AA125" s="309">
        <f t="shared" si="63"/>
        <v>6.9304499999999991E-2</v>
      </c>
      <c r="AB125" s="309">
        <f t="shared" si="64"/>
        <v>0</v>
      </c>
      <c r="AC125" s="309">
        <f t="shared" si="109"/>
        <v>1.8119648911045338</v>
      </c>
      <c r="AD125" s="309">
        <f t="shared" si="110"/>
        <v>7.4079074178943314</v>
      </c>
      <c r="AE125" s="309">
        <f t="shared" si="111"/>
        <v>0.54877092312093856</v>
      </c>
      <c r="AF125" s="309">
        <f t="shared" si="67"/>
        <v>0.11744999999999998</v>
      </c>
      <c r="AG125" s="309">
        <f t="shared" si="112"/>
        <v>0.73034791504733509</v>
      </c>
      <c r="AH125" s="309">
        <f t="shared" si="113"/>
        <v>0</v>
      </c>
      <c r="AI125">
        <f t="shared" si="70"/>
        <v>0</v>
      </c>
      <c r="AJ125" s="310">
        <f t="shared" si="71"/>
        <v>0.21934499999999998</v>
      </c>
      <c r="AK125">
        <f t="shared" si="85"/>
        <v>3.6000000000000004E-2</v>
      </c>
      <c r="AL125" s="310">
        <f t="shared" si="72"/>
        <v>3.0374999999999999E-2</v>
      </c>
      <c r="AM125" s="310">
        <f t="shared" si="86"/>
        <v>5.5427027027027023E-2</v>
      </c>
      <c r="AN125" s="310">
        <f t="shared" si="114"/>
        <v>6.6375000000000003E-2</v>
      </c>
      <c r="AO125" s="310">
        <f t="shared" si="115"/>
        <v>3.5575562117930355</v>
      </c>
      <c r="AP125">
        <f t="shared" si="74"/>
        <v>43.5</v>
      </c>
      <c r="AQ125" s="9">
        <f t="shared" si="116"/>
        <v>0.92439989455080374</v>
      </c>
      <c r="AR125" s="51">
        <f t="shared" si="117"/>
        <v>99.658069010749358</v>
      </c>
      <c r="AS125" s="51">
        <f t="shared" si="118"/>
        <v>29.213916601893402</v>
      </c>
      <c r="AT125" s="9"/>
      <c r="AU125">
        <f t="shared" si="119"/>
        <v>92.439989455080379</v>
      </c>
    </row>
    <row r="126" spans="7:47">
      <c r="G126">
        <v>117</v>
      </c>
      <c r="H126">
        <f t="shared" si="55"/>
        <v>8.7749999999999986</v>
      </c>
      <c r="I126" s="309">
        <f t="shared" si="97"/>
        <v>0.29154720683778129</v>
      </c>
      <c r="J126" s="310">
        <f t="shared" si="56"/>
        <v>4.5940771986559481</v>
      </c>
      <c r="K126" s="310">
        <f t="shared" si="77"/>
        <v>11.072038599327973</v>
      </c>
      <c r="L126" s="310">
        <f t="shared" si="98"/>
        <v>6.4779614006720241</v>
      </c>
      <c r="M126" s="51">
        <f t="shared" si="57"/>
        <v>0</v>
      </c>
      <c r="N126" s="309">
        <f t="shared" si="99"/>
        <v>8.8746504405676454</v>
      </c>
      <c r="O126" s="309">
        <f t="shared" si="100"/>
        <v>0.49112320039547669</v>
      </c>
      <c r="P126">
        <f t="shared" si="59"/>
        <v>0.2</v>
      </c>
      <c r="Q126" s="309">
        <f t="shared" si="80"/>
        <v>0.6911232003954767</v>
      </c>
      <c r="R126" s="8">
        <f t="shared" si="101"/>
        <v>1.3261958536609668</v>
      </c>
      <c r="S126" s="8">
        <f t="shared" si="102"/>
        <v>1.7587954422675406E-3</v>
      </c>
      <c r="T126" s="8">
        <f t="shared" si="103"/>
        <v>1.7587954422675406E-3</v>
      </c>
      <c r="U126" s="309">
        <f t="shared" si="104"/>
        <v>4.7918774026581215</v>
      </c>
      <c r="V126" s="311">
        <f t="shared" si="105"/>
        <v>4.5924178084211086E-2</v>
      </c>
      <c r="W126" s="309">
        <f t="shared" si="106"/>
        <v>4.5924178084211086E-2</v>
      </c>
      <c r="X126" s="309">
        <f t="shared" si="107"/>
        <v>4.7918774026581215</v>
      </c>
      <c r="Y126" s="309">
        <f t="shared" si="108"/>
        <v>1.1940286301894882</v>
      </c>
      <c r="Z126" s="309">
        <f t="shared" si="62"/>
        <v>0.10212724521509728</v>
      </c>
      <c r="AA126" s="309">
        <f t="shared" si="63"/>
        <v>6.9304499999999991E-2</v>
      </c>
      <c r="AB126" s="309">
        <f t="shared" si="64"/>
        <v>0</v>
      </c>
      <c r="AC126" s="309">
        <f t="shared" si="109"/>
        <v>1.8519395108066929</v>
      </c>
      <c r="AD126" s="309">
        <f t="shared" si="110"/>
        <v>7.4697611340766414</v>
      </c>
      <c r="AE126" s="309">
        <f t="shared" si="111"/>
        <v>0.55797331400161954</v>
      </c>
      <c r="AF126" s="309">
        <f t="shared" si="67"/>
        <v>0.11846249999999998</v>
      </c>
      <c r="AG126" s="309">
        <f t="shared" si="112"/>
        <v>0.74274490805001914</v>
      </c>
      <c r="AH126" s="309">
        <f t="shared" si="113"/>
        <v>0</v>
      </c>
      <c r="AI126">
        <f t="shared" si="70"/>
        <v>0</v>
      </c>
      <c r="AJ126" s="310">
        <f t="shared" si="71"/>
        <v>0.21929625</v>
      </c>
      <c r="AK126">
        <f t="shared" si="85"/>
        <v>3.6000000000000004E-2</v>
      </c>
      <c r="AL126" s="310">
        <f t="shared" si="72"/>
        <v>3.0374999999999999E-2</v>
      </c>
      <c r="AM126" s="310">
        <f t="shared" si="86"/>
        <v>5.5427027027027023E-2</v>
      </c>
      <c r="AN126" s="310">
        <f t="shared" si="114"/>
        <v>6.6375000000000003E-2</v>
      </c>
      <c r="AO126" s="310">
        <f t="shared" si="115"/>
        <v>3.6191618427786674</v>
      </c>
      <c r="AP126">
        <f t="shared" si="74"/>
        <v>43.874999999999993</v>
      </c>
      <c r="AQ126" s="9">
        <f t="shared" si="116"/>
        <v>0.92379775318997548</v>
      </c>
      <c r="AR126" s="51">
        <f t="shared" si="117"/>
        <v>101.85667309436811</v>
      </c>
      <c r="AS126" s="51">
        <f t="shared" si="118"/>
        <v>29.709796322000766</v>
      </c>
      <c r="AT126" s="9"/>
      <c r="AU126">
        <f t="shared" si="119"/>
        <v>92.379775318997545</v>
      </c>
    </row>
    <row r="127" spans="7:47">
      <c r="G127">
        <v>118</v>
      </c>
      <c r="H127">
        <f t="shared" si="55"/>
        <v>8.85</v>
      </c>
      <c r="I127" s="309">
        <f t="shared" si="97"/>
        <v>0.29166737575375956</v>
      </c>
      <c r="J127" s="310">
        <f t="shared" si="56"/>
        <v>4.5959707694531815</v>
      </c>
      <c r="K127" s="310">
        <f t="shared" si="77"/>
        <v>11.14798538472659</v>
      </c>
      <c r="L127" s="310">
        <f t="shared" si="98"/>
        <v>6.5520146152734089</v>
      </c>
      <c r="M127" s="51">
        <f t="shared" si="57"/>
        <v>0</v>
      </c>
      <c r="N127" s="309">
        <f t="shared" si="99"/>
        <v>8.9488963347148189</v>
      </c>
      <c r="O127" s="309">
        <f t="shared" si="100"/>
        <v>0.49970499260195006</v>
      </c>
      <c r="P127">
        <f t="shared" si="59"/>
        <v>0.2</v>
      </c>
      <c r="Q127" s="309">
        <f t="shared" si="80"/>
        <v>0.69970499260195007</v>
      </c>
      <c r="R127" s="8">
        <f t="shared" si="101"/>
        <v>1.3267424804657231</v>
      </c>
      <c r="S127" s="8">
        <f t="shared" si="102"/>
        <v>1.7602456094723395E-3</v>
      </c>
      <c r="T127" s="8">
        <f t="shared" si="103"/>
        <v>1.7602456094723395E-3</v>
      </c>
      <c r="U127" s="309">
        <f t="shared" si="104"/>
        <v>4.832962265016219</v>
      </c>
      <c r="V127" s="311">
        <f t="shared" si="105"/>
        <v>4.6715048510141403E-2</v>
      </c>
      <c r="W127" s="309">
        <f t="shared" si="106"/>
        <v>4.6715048510141403E-2</v>
      </c>
      <c r="X127" s="309">
        <f t="shared" si="107"/>
        <v>4.832962265016219</v>
      </c>
      <c r="Y127" s="309">
        <f t="shared" si="108"/>
        <v>1.2145912612636764</v>
      </c>
      <c r="Z127" s="309">
        <f t="shared" si="62"/>
        <v>0.10310336074376433</v>
      </c>
      <c r="AA127" s="309">
        <f t="shared" si="63"/>
        <v>6.9304499999999991E-2</v>
      </c>
      <c r="AB127" s="309">
        <f t="shared" si="64"/>
        <v>0</v>
      </c>
      <c r="AC127" s="309">
        <f t="shared" si="109"/>
        <v>1.8927650058749499</v>
      </c>
      <c r="AD127" s="309">
        <f t="shared" si="110"/>
        <v>7.5316147906276791</v>
      </c>
      <c r="AE127" s="309">
        <f t="shared" si="111"/>
        <v>0.56725221354401623</v>
      </c>
      <c r="AF127" s="309">
        <f t="shared" si="67"/>
        <v>0.119475</v>
      </c>
      <c r="AG127" s="309">
        <f t="shared" si="112"/>
        <v>0.75527636381814733</v>
      </c>
      <c r="AH127" s="309">
        <f t="shared" si="113"/>
        <v>0</v>
      </c>
      <c r="AI127">
        <f t="shared" si="70"/>
        <v>0</v>
      </c>
      <c r="AJ127" s="310">
        <f t="shared" si="71"/>
        <v>0.21924749999999998</v>
      </c>
      <c r="AK127">
        <f t="shared" si="85"/>
        <v>3.6000000000000004E-2</v>
      </c>
      <c r="AL127" s="310">
        <f t="shared" si="72"/>
        <v>3.0374999999999999E-2</v>
      </c>
      <c r="AM127" s="310">
        <f t="shared" si="86"/>
        <v>5.5427027027027023E-2</v>
      </c>
      <c r="AN127" s="310">
        <f t="shared" si="114"/>
        <v>6.6375000000000003E-2</v>
      </c>
      <c r="AO127" s="310">
        <f t="shared" si="115"/>
        <v>3.6818441564146607</v>
      </c>
      <c r="AP127">
        <f t="shared" si="74"/>
        <v>44.25</v>
      </c>
      <c r="AQ127" s="9">
        <f t="shared" si="116"/>
        <v>0.92318584395793735</v>
      </c>
      <c r="AR127" s="51">
        <f t="shared" si="117"/>
        <v>104.10207532312225</v>
      </c>
      <c r="AS127" s="51">
        <f t="shared" si="118"/>
        <v>30.211054552725894</v>
      </c>
      <c r="AT127" s="9"/>
      <c r="AU127">
        <f t="shared" si="119"/>
        <v>92.318584395793735</v>
      </c>
    </row>
    <row r="128" spans="7:47">
      <c r="G128">
        <v>119</v>
      </c>
      <c r="H128">
        <f t="shared" si="55"/>
        <v>8.9249999999999989</v>
      </c>
      <c r="I128" s="309">
        <f t="shared" si="97"/>
        <v>0.29178758762336776</v>
      </c>
      <c r="J128" s="310">
        <f t="shared" si="56"/>
        <v>4.5978650170954927</v>
      </c>
      <c r="K128" s="310">
        <f t="shared" si="77"/>
        <v>11.223932508547746</v>
      </c>
      <c r="L128" s="310">
        <f t="shared" si="98"/>
        <v>6.6260674914522522</v>
      </c>
      <c r="M128" s="51">
        <f t="shared" si="57"/>
        <v>0</v>
      </c>
      <c r="N128" s="309">
        <f t="shared" si="99"/>
        <v>9.0231547638812302</v>
      </c>
      <c r="O128" s="309">
        <f t="shared" si="100"/>
        <v>0.50837123927574701</v>
      </c>
      <c r="P128">
        <f t="shared" si="59"/>
        <v>0.2</v>
      </c>
      <c r="Q128" s="309">
        <f t="shared" si="80"/>
        <v>0.70837123927574708</v>
      </c>
      <c r="R128" s="8">
        <f t="shared" si="101"/>
        <v>1.3272893026588231</v>
      </c>
      <c r="S128" s="8">
        <f t="shared" si="102"/>
        <v>1.7616968929525447E-3</v>
      </c>
      <c r="T128" s="8">
        <f t="shared" si="103"/>
        <v>1.7616968929525447E-3</v>
      </c>
      <c r="U128" s="309">
        <f t="shared" si="104"/>
        <v>4.8740705725194244</v>
      </c>
      <c r="V128" s="311">
        <f t="shared" si="105"/>
        <v>4.7513127891799664E-2</v>
      </c>
      <c r="W128" s="309">
        <f t="shared" si="106"/>
        <v>4.7513127891799664E-2</v>
      </c>
      <c r="X128" s="309">
        <f t="shared" si="107"/>
        <v>4.8740705725194244</v>
      </c>
      <c r="Y128" s="309">
        <f t="shared" si="108"/>
        <v>1.2353413251867911</v>
      </c>
      <c r="Z128" s="309">
        <f t="shared" si="62"/>
        <v>0.104079474402777</v>
      </c>
      <c r="AA128" s="309">
        <f t="shared" si="63"/>
        <v>6.9304499999999991E-2</v>
      </c>
      <c r="AB128" s="309">
        <f t="shared" si="64"/>
        <v>0</v>
      </c>
      <c r="AC128" s="309">
        <f t="shared" si="109"/>
        <v>1.9344645908511424</v>
      </c>
      <c r="AD128" s="309">
        <f t="shared" si="110"/>
        <v>7.5934681106232809</v>
      </c>
      <c r="AE128" s="309">
        <f t="shared" si="111"/>
        <v>0.57660757947052699</v>
      </c>
      <c r="AF128" s="309">
        <f t="shared" si="67"/>
        <v>0.12048749999999998</v>
      </c>
      <c r="AG128" s="309">
        <f t="shared" si="112"/>
        <v>0.76794339678061407</v>
      </c>
      <c r="AH128" s="309">
        <f t="shared" si="113"/>
        <v>0</v>
      </c>
      <c r="AI128">
        <f t="shared" si="70"/>
        <v>0</v>
      </c>
      <c r="AJ128" s="310">
        <f t="shared" si="71"/>
        <v>0.21919875</v>
      </c>
      <c r="AK128">
        <f t="shared" si="85"/>
        <v>3.6000000000000004E-2</v>
      </c>
      <c r="AL128" s="310">
        <f t="shared" si="72"/>
        <v>3.0374999999999999E-2</v>
      </c>
      <c r="AM128" s="310">
        <f t="shared" si="86"/>
        <v>5.5427027027027023E-2</v>
      </c>
      <c r="AN128" s="310">
        <f t="shared" si="114"/>
        <v>6.6375000000000003E-2</v>
      </c>
      <c r="AO128" s="310">
        <f t="shared" si="115"/>
        <v>3.7456278016922555</v>
      </c>
      <c r="AP128">
        <f t="shared" si="74"/>
        <v>44.624999999999993</v>
      </c>
      <c r="AQ128" s="9">
        <f t="shared" si="116"/>
        <v>0.92256400274463224</v>
      </c>
      <c r="AR128" s="51">
        <f t="shared" si="117"/>
        <v>106.39555249681283</v>
      </c>
      <c r="AS128" s="51">
        <f t="shared" si="118"/>
        <v>30.717735871224562</v>
      </c>
      <c r="AT128" s="9"/>
      <c r="AU128">
        <f t="shared" si="119"/>
        <v>92.256400274463218</v>
      </c>
    </row>
    <row r="129" spans="7:47">
      <c r="G129">
        <v>120</v>
      </c>
      <c r="H129">
        <f t="shared" si="55"/>
        <v>9</v>
      </c>
      <c r="I129" s="309">
        <f t="shared" si="97"/>
        <v>0.29190784246964024</v>
      </c>
      <c r="J129" s="310">
        <f t="shared" si="56"/>
        <v>4.5997599419458464</v>
      </c>
      <c r="K129" s="310">
        <f t="shared" si="77"/>
        <v>11.299879970972924</v>
      </c>
      <c r="L129" s="310">
        <f t="shared" si="98"/>
        <v>6.7001200290270768</v>
      </c>
      <c r="M129" s="51">
        <f t="shared" si="57"/>
        <v>0</v>
      </c>
      <c r="N129" s="309">
        <f t="shared" si="99"/>
        <v>9.0974254211632584</v>
      </c>
      <c r="O129" s="309">
        <f t="shared" si="100"/>
        <v>0.5171222556567957</v>
      </c>
      <c r="P129">
        <f t="shared" si="59"/>
        <v>0.2</v>
      </c>
      <c r="Q129" s="309">
        <f t="shared" si="80"/>
        <v>0.71712225565679577</v>
      </c>
      <c r="R129" s="8">
        <f t="shared" si="101"/>
        <v>1.3278363203450461</v>
      </c>
      <c r="S129" s="8">
        <f t="shared" si="102"/>
        <v>1.7631492936274718E-3</v>
      </c>
      <c r="T129" s="8">
        <f t="shared" si="103"/>
        <v>1.7631492936274718E-3</v>
      </c>
      <c r="U129" s="309">
        <f t="shared" si="104"/>
        <v>4.9152021673879842</v>
      </c>
      <c r="V129" s="311">
        <f t="shared" si="105"/>
        <v>4.8318424692591073E-2</v>
      </c>
      <c r="W129" s="309">
        <f t="shared" si="106"/>
        <v>4.8318424692591073E-2</v>
      </c>
      <c r="X129" s="309">
        <f t="shared" si="107"/>
        <v>4.9152021673879842</v>
      </c>
      <c r="Y129" s="309">
        <f t="shared" si="108"/>
        <v>1.2562790420073677</v>
      </c>
      <c r="Z129" s="309">
        <f t="shared" si="62"/>
        <v>0.10505558619113266</v>
      </c>
      <c r="AA129" s="309">
        <f t="shared" si="63"/>
        <v>6.9304499999999991E-2</v>
      </c>
      <c r="AB129" s="309">
        <f t="shared" si="64"/>
        <v>0</v>
      </c>
      <c r="AC129" s="309">
        <f t="shared" si="109"/>
        <v>1.9770623736434001</v>
      </c>
      <c r="AD129" s="309">
        <f t="shared" si="110"/>
        <v>7.655320825891752</v>
      </c>
      <c r="AE129" s="309">
        <f t="shared" si="111"/>
        <v>0.5860393694733198</v>
      </c>
      <c r="AF129" s="309">
        <f t="shared" si="67"/>
        <v>0.1215</v>
      </c>
      <c r="AG129" s="309">
        <f t="shared" si="112"/>
        <v>0.78074713926764094</v>
      </c>
      <c r="AH129" s="309">
        <f t="shared" si="113"/>
        <v>0</v>
      </c>
      <c r="AI129">
        <f t="shared" si="70"/>
        <v>0</v>
      </c>
      <c r="AJ129" s="310">
        <f t="shared" si="71"/>
        <v>0.21914999999999998</v>
      </c>
      <c r="AK129">
        <f t="shared" si="85"/>
        <v>3.6000000000000004E-2</v>
      </c>
      <c r="AL129" s="310">
        <f t="shared" si="72"/>
        <v>3.0374999999999999E-2</v>
      </c>
      <c r="AM129" s="310">
        <f t="shared" si="86"/>
        <v>5.5427027027027023E-2</v>
      </c>
      <c r="AN129" s="310">
        <f t="shared" si="114"/>
        <v>6.6375000000000003E-2</v>
      </c>
      <c r="AO129" s="310">
        <f t="shared" si="115"/>
        <v>3.8105383425540551</v>
      </c>
      <c r="AP129">
        <f t="shared" si="74"/>
        <v>45</v>
      </c>
      <c r="AQ129" s="9">
        <f t="shared" si="116"/>
        <v>0.92193205664294131</v>
      </c>
      <c r="AR129" s="51">
        <f t="shared" si="117"/>
        <v>108.73843055038701</v>
      </c>
      <c r="AS129" s="51">
        <f t="shared" si="118"/>
        <v>31.229885570705637</v>
      </c>
      <c r="AT129" s="9"/>
      <c r="AU129">
        <f t="shared" si="119"/>
        <v>92.193205664294126</v>
      </c>
    </row>
    <row r="130" spans="7:47">
      <c r="G130">
        <v>121</v>
      </c>
      <c r="H130">
        <f t="shared" si="55"/>
        <v>9.0749999999999993</v>
      </c>
      <c r="I130" s="309">
        <f t="shared" si="97"/>
        <v>0.2920281403156279</v>
      </c>
      <c r="J130" s="310">
        <f t="shared" si="56"/>
        <v>4.6016555443674703</v>
      </c>
      <c r="K130" s="310">
        <f t="shared" si="77"/>
        <v>11.375827772183735</v>
      </c>
      <c r="L130" s="310">
        <f t="shared" si="98"/>
        <v>6.7741722278162637</v>
      </c>
      <c r="M130" s="51">
        <f t="shared" si="57"/>
        <v>0</v>
      </c>
      <c r="N130" s="309">
        <f t="shared" si="99"/>
        <v>9.1717080095485652</v>
      </c>
      <c r="O130" s="309">
        <f t="shared" si="100"/>
        <v>0.52595836069273671</v>
      </c>
      <c r="P130">
        <f t="shared" si="59"/>
        <v>0.2</v>
      </c>
      <c r="Q130" s="309">
        <f t="shared" si="80"/>
        <v>0.72595836069273667</v>
      </c>
      <c r="R130" s="8">
        <f t="shared" si="101"/>
        <v>1.3283835336292464</v>
      </c>
      <c r="S130" s="8">
        <f t="shared" si="102"/>
        <v>1.7646028124173232E-3</v>
      </c>
      <c r="T130" s="8">
        <f t="shared" si="103"/>
        <v>1.7646028124173232E-3</v>
      </c>
      <c r="U130" s="309">
        <f t="shared" si="104"/>
        <v>4.9563568970552545</v>
      </c>
      <c r="V130" s="311">
        <f t="shared" si="105"/>
        <v>4.9130947381974384E-2</v>
      </c>
      <c r="W130" s="309">
        <f t="shared" si="106"/>
        <v>4.9130947381974384E-2</v>
      </c>
      <c r="X130" s="309">
        <f t="shared" si="107"/>
        <v>4.9563568970552545</v>
      </c>
      <c r="Y130" s="309">
        <f t="shared" si="108"/>
        <v>1.2774046319313339</v>
      </c>
      <c r="Z130" s="309">
        <f t="shared" si="62"/>
        <v>0.10603169610782799</v>
      </c>
      <c r="AA130" s="309">
        <f t="shared" si="63"/>
        <v>6.9304499999999991E-2</v>
      </c>
      <c r="AB130" s="309">
        <f t="shared" si="64"/>
        <v>0</v>
      </c>
      <c r="AC130" s="309">
        <f t="shared" si="109"/>
        <v>2.0205833983297596</v>
      </c>
      <c r="AD130" s="309">
        <f t="shared" si="110"/>
        <v>7.7171726766627495</v>
      </c>
      <c r="AE130" s="309">
        <f t="shared" si="111"/>
        <v>0.59554754121430109</v>
      </c>
      <c r="AF130" s="309">
        <f t="shared" si="67"/>
        <v>0.12251249999999998</v>
      </c>
      <c r="AG130" s="309">
        <f t="shared" si="112"/>
        <v>0.79368874180138727</v>
      </c>
      <c r="AH130" s="309">
        <f t="shared" si="113"/>
        <v>0</v>
      </c>
      <c r="AI130">
        <f t="shared" si="70"/>
        <v>0</v>
      </c>
      <c r="AJ130" s="310">
        <f t="shared" si="71"/>
        <v>0.21910124999999997</v>
      </c>
      <c r="AK130">
        <f t="shared" si="85"/>
        <v>3.6000000000000004E-2</v>
      </c>
      <c r="AL130" s="310">
        <f t="shared" si="72"/>
        <v>3.0374999999999999E-2</v>
      </c>
      <c r="AM130" s="310">
        <f t="shared" si="86"/>
        <v>5.5427027027027023E-2</v>
      </c>
      <c r="AN130" s="310">
        <f t="shared" si="114"/>
        <v>6.6375000000000003E-2</v>
      </c>
      <c r="AO130" s="310">
        <f t="shared" si="115"/>
        <v>3.8766023010182753</v>
      </c>
      <c r="AP130">
        <f t="shared" si="74"/>
        <v>45.375</v>
      </c>
      <c r="AQ130" s="9">
        <f t="shared" si="116"/>
        <v>0.92128982368278955</v>
      </c>
      <c r="AR130" s="51">
        <f t="shared" si="117"/>
        <v>111.13208690813678</v>
      </c>
      <c r="AS130" s="51">
        <f t="shared" si="118"/>
        <v>31.747549672055491</v>
      </c>
      <c r="AT130" s="9"/>
      <c r="AU130">
        <f t="shared" si="119"/>
        <v>92.128982368278955</v>
      </c>
    </row>
    <row r="131" spans="7:47">
      <c r="G131">
        <v>122</v>
      </c>
      <c r="H131">
        <f t="shared" si="55"/>
        <v>9.15</v>
      </c>
      <c r="I131" s="309">
        <f t="shared" si="97"/>
        <v>0.29214848118439801</v>
      </c>
      <c r="J131" s="310">
        <f t="shared" si="56"/>
        <v>4.6035518247238478</v>
      </c>
      <c r="K131" s="310">
        <f t="shared" si="77"/>
        <v>11.451775912361924</v>
      </c>
      <c r="L131" s="310">
        <f t="shared" si="98"/>
        <v>6.8482240876380764</v>
      </c>
      <c r="M131" s="51">
        <f t="shared" si="57"/>
        <v>0</v>
      </c>
      <c r="N131" s="309">
        <f t="shared" si="99"/>
        <v>9.2460022415227225</v>
      </c>
      <c r="O131" s="309">
        <f t="shared" si="100"/>
        <v>0.5348798770693749</v>
      </c>
      <c r="P131">
        <f t="shared" si="59"/>
        <v>0.2</v>
      </c>
      <c r="Q131" s="309">
        <f t="shared" si="80"/>
        <v>0.73487987706937496</v>
      </c>
      <c r="R131" s="8">
        <f t="shared" si="101"/>
        <v>1.3289309426163534</v>
      </c>
      <c r="S131" s="8">
        <f t="shared" si="102"/>
        <v>1.7660574502431894E-3</v>
      </c>
      <c r="T131" s="8">
        <f t="shared" si="103"/>
        <v>1.7660574502431894E-3</v>
      </c>
      <c r="U131" s="309">
        <f t="shared" si="104"/>
        <v>4.9975346139605374</v>
      </c>
      <c r="V131" s="311">
        <f t="shared" si="105"/>
        <v>4.9950704435467397E-2</v>
      </c>
      <c r="W131" s="309">
        <f t="shared" si="106"/>
        <v>4.9950704435467397E-2</v>
      </c>
      <c r="X131" s="309">
        <f t="shared" si="107"/>
        <v>4.9975346139605374</v>
      </c>
      <c r="Y131" s="309">
        <f t="shared" si="108"/>
        <v>1.2987183153221522</v>
      </c>
      <c r="Z131" s="309">
        <f t="shared" si="62"/>
        <v>0.10700780415185897</v>
      </c>
      <c r="AA131" s="309">
        <f t="shared" si="63"/>
        <v>6.9304499999999991E-2</v>
      </c>
      <c r="AB131" s="309">
        <f t="shared" si="64"/>
        <v>0</v>
      </c>
      <c r="AC131" s="309">
        <f t="shared" si="109"/>
        <v>2.0650536904562085</v>
      </c>
      <c r="AD131" s="309">
        <f t="shared" si="110"/>
        <v>7.779023411232898</v>
      </c>
      <c r="AE131" s="309">
        <f t="shared" si="111"/>
        <v>0.60513205232509515</v>
      </c>
      <c r="AF131" s="309">
        <f t="shared" si="67"/>
        <v>0.12352500000000001</v>
      </c>
      <c r="AG131" s="309">
        <f t="shared" si="112"/>
        <v>0.80676937339298793</v>
      </c>
      <c r="AH131" s="309">
        <f t="shared" si="113"/>
        <v>0</v>
      </c>
      <c r="AI131">
        <f t="shared" si="70"/>
        <v>0</v>
      </c>
      <c r="AJ131" s="310">
        <f t="shared" si="71"/>
        <v>0.21905249999999998</v>
      </c>
      <c r="AK131">
        <f t="shared" si="85"/>
        <v>3.6000000000000004E-2</v>
      </c>
      <c r="AL131" s="310">
        <f t="shared" si="72"/>
        <v>3.0374999999999999E-2</v>
      </c>
      <c r="AM131" s="310">
        <f t="shared" si="86"/>
        <v>5.5427027027027023E-2</v>
      </c>
      <c r="AN131" s="310">
        <f t="shared" si="114"/>
        <v>6.6375000000000003E-2</v>
      </c>
      <c r="AO131" s="310">
        <f t="shared" si="115"/>
        <v>3.9438472028042817</v>
      </c>
      <c r="AP131">
        <f t="shared" si="74"/>
        <v>45.75</v>
      </c>
      <c r="AQ131" s="9">
        <f t="shared" si="116"/>
        <v>0.9206371125441517</v>
      </c>
      <c r="AR131" s="51">
        <f t="shared" si="117"/>
        <v>113.57795297509146</v>
      </c>
      <c r="AS131" s="51">
        <f t="shared" si="118"/>
        <v>32.270774935719515</v>
      </c>
      <c r="AT131" s="9"/>
      <c r="AU131">
        <f t="shared" si="119"/>
        <v>92.063711254415168</v>
      </c>
    </row>
    <row r="132" spans="7:47">
      <c r="G132">
        <v>123</v>
      </c>
      <c r="H132">
        <f t="shared" si="55"/>
        <v>9.2249999999999996</v>
      </c>
      <c r="I132" s="309">
        <f t="shared" si="97"/>
        <v>0.29226886509903449</v>
      </c>
      <c r="J132" s="310">
        <f t="shared" si="56"/>
        <v>4.6054487833787254</v>
      </c>
      <c r="K132" s="310">
        <f t="shared" si="77"/>
        <v>11.527724391689363</v>
      </c>
      <c r="L132" s="310">
        <f t="shared" si="98"/>
        <v>6.9222756083106365</v>
      </c>
      <c r="M132" s="51">
        <f t="shared" si="57"/>
        <v>0</v>
      </c>
      <c r="N132" s="309">
        <f t="shared" si="99"/>
        <v>9.3203078386943332</v>
      </c>
      <c r="O132" s="309">
        <f t="shared" si="100"/>
        <v>0.54388713124156696</v>
      </c>
      <c r="P132">
        <f t="shared" si="59"/>
        <v>0.2</v>
      </c>
      <c r="Q132" s="309">
        <f t="shared" si="80"/>
        <v>0.74388713124156691</v>
      </c>
      <c r="R132" s="8">
        <f t="shared" si="101"/>
        <v>1.3294785474113708</v>
      </c>
      <c r="S132" s="8">
        <f t="shared" si="102"/>
        <v>1.7675132080270486E-3</v>
      </c>
      <c r="T132" s="8">
        <f t="shared" si="103"/>
        <v>1.7675132080270486E-3</v>
      </c>
      <c r="U132" s="309">
        <f t="shared" si="104"/>
        <v>5.0387351753516612</v>
      </c>
      <c r="V132" s="311">
        <f t="shared" si="105"/>
        <v>5.0777704334652271E-2</v>
      </c>
      <c r="W132" s="309">
        <f t="shared" si="106"/>
        <v>5.0777704334652271E-2</v>
      </c>
      <c r="X132" s="309">
        <f t="shared" si="107"/>
        <v>5.0387351753516612</v>
      </c>
      <c r="Y132" s="309">
        <f t="shared" si="108"/>
        <v>1.3202203127009591</v>
      </c>
      <c r="Z132" s="309">
        <f t="shared" si="62"/>
        <v>0.10798391032222075</v>
      </c>
      <c r="AA132" s="309">
        <f t="shared" si="63"/>
        <v>6.9304499999999991E-2</v>
      </c>
      <c r="AB132" s="309">
        <f t="shared" si="64"/>
        <v>0</v>
      </c>
      <c r="AC132" s="309">
        <f t="shared" si="109"/>
        <v>2.1105003050002047</v>
      </c>
      <c r="AD132" s="309">
        <f t="shared" si="110"/>
        <v>7.8408727856470728</v>
      </c>
      <c r="AE132" s="309">
        <f t="shared" si="111"/>
        <v>0.61479286040700887</v>
      </c>
      <c r="AF132" s="309">
        <f t="shared" si="67"/>
        <v>0.1245375</v>
      </c>
      <c r="AG132" s="309">
        <f t="shared" si="112"/>
        <v>0.81999022184613934</v>
      </c>
      <c r="AH132" s="309">
        <f t="shared" si="113"/>
        <v>0</v>
      </c>
      <c r="AI132">
        <f t="shared" si="70"/>
        <v>0</v>
      </c>
      <c r="AJ132" s="310">
        <f t="shared" si="71"/>
        <v>0.21900374999999997</v>
      </c>
      <c r="AK132">
        <f t="shared" si="85"/>
        <v>3.6000000000000004E-2</v>
      </c>
      <c r="AL132" s="310">
        <f t="shared" si="72"/>
        <v>3.0374999999999999E-2</v>
      </c>
      <c r="AM132" s="310">
        <f t="shared" si="86"/>
        <v>5.5427027027027023E-2</v>
      </c>
      <c r="AN132" s="310">
        <f t="shared" si="114"/>
        <v>6.6375000000000003E-2</v>
      </c>
      <c r="AO132" s="310">
        <f t="shared" si="115"/>
        <v>4.0123016256305908</v>
      </c>
      <c r="AP132">
        <f t="shared" si="74"/>
        <v>46.125</v>
      </c>
      <c r="AQ132" s="9">
        <f t="shared" si="116"/>
        <v>0.91997372224795859</v>
      </c>
      <c r="AR132" s="51">
        <f t="shared" si="117"/>
        <v>116.07751677501126</v>
      </c>
      <c r="AS132" s="51">
        <f t="shared" si="118"/>
        <v>32.799608873845571</v>
      </c>
      <c r="AT132" s="9"/>
      <c r="AU132">
        <f t="shared" si="119"/>
        <v>91.997372224795853</v>
      </c>
    </row>
    <row r="133" spans="7:47">
      <c r="G133">
        <v>124</v>
      </c>
      <c r="H133">
        <f t="shared" si="55"/>
        <v>9.3000000000000007</v>
      </c>
      <c r="I133" s="309">
        <f t="shared" si="97"/>
        <v>0.29238929208263764</v>
      </c>
      <c r="J133" s="310">
        <f t="shared" si="56"/>
        <v>4.6073464206961088</v>
      </c>
      <c r="K133" s="310">
        <f t="shared" si="77"/>
        <v>11.603673210348056</v>
      </c>
      <c r="L133" s="310">
        <f t="shared" si="98"/>
        <v>6.9963267896519463</v>
      </c>
      <c r="M133" s="51">
        <f t="shared" si="57"/>
        <v>0</v>
      </c>
      <c r="N133" s="309">
        <f t="shared" si="99"/>
        <v>9.3946245314377403</v>
      </c>
      <c r="O133" s="309">
        <f t="shared" si="100"/>
        <v>0.5529804534645606</v>
      </c>
      <c r="P133">
        <f t="shared" si="59"/>
        <v>0.2</v>
      </c>
      <c r="Q133" s="309">
        <f t="shared" si="80"/>
        <v>0.75298045346456055</v>
      </c>
      <c r="R133" s="8">
        <f t="shared" si="101"/>
        <v>1.3300263481193786</v>
      </c>
      <c r="S133" s="8">
        <f t="shared" si="102"/>
        <v>1.7689700866917704E-3</v>
      </c>
      <c r="T133" s="8">
        <f t="shared" si="103"/>
        <v>1.7689700866917704E-3</v>
      </c>
      <c r="U133" s="309">
        <f t="shared" si="104"/>
        <v>5.0799584430968041</v>
      </c>
      <c r="V133" s="311">
        <f t="shared" si="105"/>
        <v>5.1611955567181012E-2</v>
      </c>
      <c r="W133" s="309">
        <f t="shared" si="106"/>
        <v>5.1611955567181012E-2</v>
      </c>
      <c r="X133" s="309">
        <f t="shared" si="107"/>
        <v>5.0799584430968041</v>
      </c>
      <c r="Y133" s="309">
        <f t="shared" si="108"/>
        <v>1.3419108447467063</v>
      </c>
      <c r="Z133" s="309">
        <f t="shared" si="62"/>
        <v>0.10896001461790793</v>
      </c>
      <c r="AA133" s="309">
        <f t="shared" si="63"/>
        <v>6.9304499999999991E-2</v>
      </c>
      <c r="AB133" s="309">
        <f t="shared" si="64"/>
        <v>0</v>
      </c>
      <c r="AC133" s="309">
        <f t="shared" si="109"/>
        <v>2.1569513771843063</v>
      </c>
      <c r="AD133" s="309">
        <f t="shared" si="110"/>
        <v>7.9027205633946895</v>
      </c>
      <c r="AE133" s="309">
        <f t="shared" si="111"/>
        <v>0.62452992303101273</v>
      </c>
      <c r="AF133" s="309">
        <f t="shared" si="67"/>
        <v>0.12554999999999999</v>
      </c>
      <c r="AG133" s="309">
        <f t="shared" si="112"/>
        <v>0.83335249406743472</v>
      </c>
      <c r="AH133" s="309">
        <f t="shared" si="113"/>
        <v>0</v>
      </c>
      <c r="AI133">
        <f t="shared" si="70"/>
        <v>0</v>
      </c>
      <c r="AJ133" s="310">
        <f t="shared" si="71"/>
        <v>0.21895499999999998</v>
      </c>
      <c r="AK133">
        <f t="shared" si="85"/>
        <v>3.6000000000000004E-2</v>
      </c>
      <c r="AL133" s="310">
        <f t="shared" si="72"/>
        <v>3.0374999999999999E-2</v>
      </c>
      <c r="AM133" s="310">
        <f t="shared" si="86"/>
        <v>5.5427027027027023E-2</v>
      </c>
      <c r="AN133" s="310">
        <f t="shared" si="114"/>
        <v>6.6375000000000003E-2</v>
      </c>
      <c r="AO133" s="310">
        <f t="shared" si="115"/>
        <v>4.0819952503701744</v>
      </c>
      <c r="AP133">
        <f t="shared" si="74"/>
        <v>46.5</v>
      </c>
      <c r="AQ133" s="9">
        <f t="shared" si="116"/>
        <v>0.91929944182381174</v>
      </c>
      <c r="AR133" s="51">
        <f t="shared" si="117"/>
        <v>118.63232574513685</v>
      </c>
      <c r="AS133" s="51">
        <f t="shared" si="118"/>
        <v>33.334099762697392</v>
      </c>
      <c r="AT133" s="9"/>
      <c r="AU133">
        <f t="shared" si="119"/>
        <v>91.929944182381178</v>
      </c>
    </row>
    <row r="134" spans="7:47">
      <c r="G134">
        <v>125</v>
      </c>
      <c r="H134">
        <f t="shared" si="55"/>
        <v>9.375</v>
      </c>
      <c r="I134" s="309">
        <f t="shared" si="97"/>
        <v>0.29250976215832447</v>
      </c>
      <c r="J134" s="310">
        <f t="shared" si="56"/>
        <v>4.6092447370402647</v>
      </c>
      <c r="K134" s="310">
        <f t="shared" si="77"/>
        <v>11.679622368520132</v>
      </c>
      <c r="L134" s="310">
        <f t="shared" si="98"/>
        <v>7.0703776314798681</v>
      </c>
      <c r="M134" s="51">
        <f t="shared" si="57"/>
        <v>0</v>
      </c>
      <c r="N134" s="309">
        <f t="shared" si="99"/>
        <v>9.4689520585522615</v>
      </c>
      <c r="O134" s="309">
        <f t="shared" si="100"/>
        <v>0.56216017782577865</v>
      </c>
      <c r="P134">
        <f t="shared" si="59"/>
        <v>0.2</v>
      </c>
      <c r="Q134" s="309">
        <f t="shared" si="80"/>
        <v>0.76216017782577872</v>
      </c>
      <c r="R134" s="8">
        <f t="shared" si="101"/>
        <v>1.3305743448455314</v>
      </c>
      <c r="S134" s="8">
        <f t="shared" si="102"/>
        <v>1.7704280871611152E-3</v>
      </c>
      <c r="T134" s="8">
        <f t="shared" si="103"/>
        <v>1.7704280871611152E-3</v>
      </c>
      <c r="U134" s="309">
        <f t="shared" si="104"/>
        <v>5.1212042835050431</v>
      </c>
      <c r="V134" s="311">
        <f t="shared" si="105"/>
        <v>5.2453466626780805E-2</v>
      </c>
      <c r="W134" s="309">
        <f t="shared" si="106"/>
        <v>5.2453466626780805E-2</v>
      </c>
      <c r="X134" s="309">
        <f t="shared" si="107"/>
        <v>5.1212042835050431</v>
      </c>
      <c r="Y134" s="309">
        <f t="shared" si="108"/>
        <v>1.3637901322963009</v>
      </c>
      <c r="Z134" s="309">
        <f t="shared" si="62"/>
        <v>0.10993611703791417</v>
      </c>
      <c r="AA134" s="309">
        <f t="shared" si="63"/>
        <v>6.9304499999999991E-2</v>
      </c>
      <c r="AB134" s="309">
        <f t="shared" si="64"/>
        <v>0</v>
      </c>
      <c r="AC134" s="309">
        <f t="shared" si="109"/>
        <v>2.2044361763392866</v>
      </c>
      <c r="AD134" s="309">
        <f t="shared" si="110"/>
        <v>7.9645665151199978</v>
      </c>
      <c r="AE134" s="309">
        <f t="shared" si="111"/>
        <v>0.63434319773770709</v>
      </c>
      <c r="AF134" s="309">
        <f t="shared" si="67"/>
        <v>0.12656249999999999</v>
      </c>
      <c r="AG134" s="309">
        <f t="shared" si="112"/>
        <v>0.8468574163835707</v>
      </c>
      <c r="AH134" s="309">
        <f t="shared" si="113"/>
        <v>0</v>
      </c>
      <c r="AI134">
        <f t="shared" si="70"/>
        <v>0</v>
      </c>
      <c r="AJ134" s="310">
        <f t="shared" si="71"/>
        <v>0.21890624999999997</v>
      </c>
      <c r="AK134">
        <f t="shared" si="85"/>
        <v>3.6000000000000004E-2</v>
      </c>
      <c r="AL134" s="310">
        <f t="shared" si="72"/>
        <v>3.0374999999999999E-2</v>
      </c>
      <c r="AM134" s="310">
        <f t="shared" si="86"/>
        <v>5.5427027027027023E-2</v>
      </c>
      <c r="AN134" s="310">
        <f t="shared" si="114"/>
        <v>6.6375000000000003E-2</v>
      </c>
      <c r="AO134" s="310">
        <f t="shared" si="115"/>
        <v>4.1529589152625777</v>
      </c>
      <c r="AP134">
        <f t="shared" si="74"/>
        <v>46.875</v>
      </c>
      <c r="AQ134" s="9">
        <f t="shared" si="116"/>
        <v>0.91861404995330076</v>
      </c>
      <c r="AR134" s="51">
        <f t="shared" si="117"/>
        <v>121.24398969866076</v>
      </c>
      <c r="AS134" s="51">
        <f t="shared" si="118"/>
        <v>33.874296655342832</v>
      </c>
      <c r="AT134" s="9"/>
      <c r="AU134">
        <f t="shared" si="119"/>
        <v>91.861404995330076</v>
      </c>
    </row>
    <row r="135" spans="7:47">
      <c r="G135">
        <v>126</v>
      </c>
      <c r="H135">
        <f t="shared" si="55"/>
        <v>9.4499999999999993</v>
      </c>
      <c r="I135" s="309">
        <f t="shared" si="97"/>
        <v>0.29263027534922825</v>
      </c>
      <c r="J135" s="310">
        <f t="shared" si="56"/>
        <v>4.6111437327757185</v>
      </c>
      <c r="K135" s="310">
        <f t="shared" si="77"/>
        <v>11.755571866387859</v>
      </c>
      <c r="L135" s="310">
        <f t="shared" si="98"/>
        <v>7.1444281336121396</v>
      </c>
      <c r="M135" s="51">
        <f t="shared" si="57"/>
        <v>0</v>
      </c>
      <c r="N135" s="309">
        <f t="shared" si="99"/>
        <v>9.5432901669371724</v>
      </c>
      <c r="O135" s="309">
        <f t="shared" si="100"/>
        <v>0.57142664227706574</v>
      </c>
      <c r="P135">
        <f t="shared" si="59"/>
        <v>0.2</v>
      </c>
      <c r="Q135" s="309">
        <f t="shared" si="80"/>
        <v>0.7714266422770657</v>
      </c>
      <c r="R135" s="8">
        <f t="shared" si="101"/>
        <v>1.3311225376950586</v>
      </c>
      <c r="S135" s="8">
        <f t="shared" si="102"/>
        <v>1.7718872103597329E-3</v>
      </c>
      <c r="T135" s="8">
        <f t="shared" si="103"/>
        <v>1.7718872103597329E-3</v>
      </c>
      <c r="U135" s="309">
        <f t="shared" si="104"/>
        <v>5.1624725671551799</v>
      </c>
      <c r="V135" s="311">
        <f t="shared" si="105"/>
        <v>5.3302246013259585E-2</v>
      </c>
      <c r="W135" s="309">
        <f t="shared" si="106"/>
        <v>5.3302246013259585E-2</v>
      </c>
      <c r="X135" s="309">
        <f t="shared" si="107"/>
        <v>5.1624725671551799</v>
      </c>
      <c r="Y135" s="309">
        <f t="shared" si="108"/>
        <v>1.3858583963447491</v>
      </c>
      <c r="Z135" s="309">
        <f t="shared" si="62"/>
        <v>0.1109122175812326</v>
      </c>
      <c r="AA135" s="309">
        <f t="shared" si="63"/>
        <v>6.9304499999999991E-2</v>
      </c>
      <c r="AB135" s="309">
        <f t="shared" si="64"/>
        <v>0</v>
      </c>
      <c r="AC135" s="309">
        <f t="shared" si="109"/>
        <v>2.2529851630322169</v>
      </c>
      <c r="AD135" s="309">
        <f t="shared" si="110"/>
        <v>8.0264104183457956</v>
      </c>
      <c r="AE135" s="309">
        <f t="shared" si="111"/>
        <v>0.64423264203729935</v>
      </c>
      <c r="AF135" s="309">
        <f t="shared" si="67"/>
        <v>0.12757499999999999</v>
      </c>
      <c r="AG135" s="309">
        <f t="shared" si="112"/>
        <v>0.86050623486562772</v>
      </c>
      <c r="AH135" s="309">
        <f t="shared" si="113"/>
        <v>0</v>
      </c>
      <c r="AI135">
        <f t="shared" si="70"/>
        <v>0</v>
      </c>
      <c r="AJ135" s="310">
        <f t="shared" si="71"/>
        <v>0.21885750000000001</v>
      </c>
      <c r="AK135">
        <f t="shared" si="85"/>
        <v>3.6000000000000004E-2</v>
      </c>
      <c r="AL135" s="310">
        <f t="shared" si="72"/>
        <v>3.0374999999999999E-2</v>
      </c>
      <c r="AM135" s="310">
        <f t="shared" si="86"/>
        <v>5.5427027027027023E-2</v>
      </c>
      <c r="AN135" s="310">
        <f t="shared" si="114"/>
        <v>6.6375000000000003E-2</v>
      </c>
      <c r="AO135" s="310">
        <f t="shared" si="115"/>
        <v>4.2252246733985297</v>
      </c>
      <c r="AP135">
        <f t="shared" si="74"/>
        <v>47.25</v>
      </c>
      <c r="AQ135" s="9">
        <f t="shared" si="116"/>
        <v>0.91791731458761272</v>
      </c>
      <c r="AR135" s="51">
        <f t="shared" si="117"/>
        <v>123.91418396677193</v>
      </c>
      <c r="AS135" s="51">
        <f t="shared" si="118"/>
        <v>34.42024939462511</v>
      </c>
      <c r="AT135" s="9"/>
      <c r="AU135">
        <f t="shared" si="119"/>
        <v>91.791731458761276</v>
      </c>
    </row>
    <row r="136" spans="7:47">
      <c r="G136">
        <v>127</v>
      </c>
      <c r="H136">
        <f t="shared" si="55"/>
        <v>9.5250000000000004</v>
      </c>
      <c r="I136" s="309">
        <f t="shared" si="97"/>
        <v>0.29275083167849908</v>
      </c>
      <c r="J136" s="310">
        <f t="shared" si="56"/>
        <v>4.6130434082672584</v>
      </c>
      <c r="K136" s="310">
        <f t="shared" si="77"/>
        <v>11.83152170413363</v>
      </c>
      <c r="L136" s="310">
        <f t="shared" si="98"/>
        <v>7.2184782958663707</v>
      </c>
      <c r="M136" s="51">
        <f t="shared" si="57"/>
        <v>0</v>
      </c>
      <c r="N136" s="309">
        <f t="shared" si="99"/>
        <v>9.6176386112815226</v>
      </c>
      <c r="O136" s="309">
        <f t="shared" si="100"/>
        <v>0.58078018866739445</v>
      </c>
      <c r="P136">
        <f t="shared" si="59"/>
        <v>0.2</v>
      </c>
      <c r="Q136" s="309">
        <f t="shared" si="80"/>
        <v>0.7807801886673944</v>
      </c>
      <c r="R136" s="8">
        <f t="shared" si="101"/>
        <v>1.3316709267732654</v>
      </c>
      <c r="S136" s="8">
        <f t="shared" si="102"/>
        <v>1.7733474572131675E-3</v>
      </c>
      <c r="T136" s="8">
        <f t="shared" si="103"/>
        <v>1.7733474572131675E-3</v>
      </c>
      <c r="U136" s="309">
        <f t="shared" si="104"/>
        <v>5.2037631687323875</v>
      </c>
      <c r="V136" s="311">
        <f t="shared" si="105"/>
        <v>5.4158302232511474E-2</v>
      </c>
      <c r="W136" s="309">
        <f t="shared" si="106"/>
        <v>5.4158302232511474E-2</v>
      </c>
      <c r="X136" s="309">
        <f t="shared" si="107"/>
        <v>5.2037631687323875</v>
      </c>
      <c r="Y136" s="309">
        <f t="shared" si="108"/>
        <v>1.4081158580452982</v>
      </c>
      <c r="Z136" s="309">
        <f t="shared" si="62"/>
        <v>0.11188831624685561</v>
      </c>
      <c r="AA136" s="309">
        <f t="shared" si="63"/>
        <v>6.9304499999999991E-2</v>
      </c>
      <c r="AB136" s="309">
        <f t="shared" si="64"/>
        <v>0</v>
      </c>
      <c r="AC136" s="309">
        <f t="shared" si="109"/>
        <v>2.30263004969258</v>
      </c>
      <c r="AD136" s="309">
        <f t="shared" si="110"/>
        <v>8.0882520572097309</v>
      </c>
      <c r="AE136" s="309">
        <f t="shared" si="111"/>
        <v>0.6541982134095744</v>
      </c>
      <c r="AF136" s="309">
        <f t="shared" si="67"/>
        <v>0.12858749999999999</v>
      </c>
      <c r="AG136" s="309">
        <f t="shared" si="112"/>
        <v>0.87430021566057492</v>
      </c>
      <c r="AH136" s="309">
        <f t="shared" si="113"/>
        <v>0</v>
      </c>
      <c r="AI136">
        <f t="shared" si="70"/>
        <v>0</v>
      </c>
      <c r="AJ136" s="310">
        <f t="shared" si="71"/>
        <v>0.21880874999999997</v>
      </c>
      <c r="AK136">
        <f t="shared" si="85"/>
        <v>3.6000000000000004E-2</v>
      </c>
      <c r="AL136" s="310">
        <f t="shared" si="72"/>
        <v>3.0374999999999999E-2</v>
      </c>
      <c r="AM136" s="310">
        <f t="shared" si="86"/>
        <v>5.5427027027027023E-2</v>
      </c>
      <c r="AN136" s="310">
        <f t="shared" si="114"/>
        <v>6.6375000000000003E-2</v>
      </c>
      <c r="AO136" s="310">
        <f t="shared" si="115"/>
        <v>4.2988258537102739</v>
      </c>
      <c r="AP136">
        <f t="shared" si="74"/>
        <v>47.625</v>
      </c>
      <c r="AQ136" s="9">
        <f t="shared" si="116"/>
        <v>0.91720899253799693</v>
      </c>
      <c r="AR136" s="51">
        <f t="shared" si="117"/>
        <v>126.6446527330919</v>
      </c>
      <c r="AS136" s="51">
        <f t="shared" si="118"/>
        <v>34.972008626422998</v>
      </c>
      <c r="AT136" s="9"/>
      <c r="AU136">
        <f t="shared" si="119"/>
        <v>91.720899253799686</v>
      </c>
    </row>
    <row r="137" spans="7:47">
      <c r="G137">
        <v>128</v>
      </c>
      <c r="H137">
        <f t="shared" ref="H137:H200" si="120">Iout*(G137/200)</f>
        <v>9.6</v>
      </c>
      <c r="I137" s="309">
        <f t="shared" si="97"/>
        <v>0.29287143116930348</v>
      </c>
      <c r="J137" s="310">
        <f t="shared" ref="J137:J200" si="121">(Vin-Vout)*I137/(Fsw*Lout2)</f>
        <v>4.6149437638799338</v>
      </c>
      <c r="K137" s="310">
        <f t="shared" si="77"/>
        <v>11.907471881939966</v>
      </c>
      <c r="L137" s="310">
        <f t="shared" si="98"/>
        <v>7.2925281180600328</v>
      </c>
      <c r="M137" s="51">
        <f t="shared" ref="M137:M200" si="122">IF(MIN(Vin, -L137/(CossTop+CossBot)*0.00000002)&lt;0, 0, MIN(Vin, -L137/(CossTop+CossBot)*0.00000002))</f>
        <v>0</v>
      </c>
      <c r="N137" s="309">
        <f t="shared" si="99"/>
        <v>9.6919971537680443</v>
      </c>
      <c r="O137" s="309">
        <f t="shared" si="100"/>
        <v>0.59022116277604231</v>
      </c>
      <c r="P137">
        <f t="shared" ref="P137:P200" si="123">Core_Loss</f>
        <v>0.2</v>
      </c>
      <c r="Q137" s="309">
        <f t="shared" si="80"/>
        <v>0.79022116277604226</v>
      </c>
      <c r="R137" s="8">
        <f t="shared" si="101"/>
        <v>1.3322195121855323</v>
      </c>
      <c r="S137" s="8">
        <f t="shared" si="102"/>
        <v>1.7748088286478577E-3</v>
      </c>
      <c r="T137" s="8">
        <f t="shared" si="103"/>
        <v>1.7748088286478577E-3</v>
      </c>
      <c r="U137" s="309">
        <f t="shared" si="104"/>
        <v>5.2450759668722648</v>
      </c>
      <c r="V137" s="311">
        <f t="shared" si="105"/>
        <v>5.5021643796522052E-2</v>
      </c>
      <c r="W137" s="309">
        <f t="shared" si="106"/>
        <v>5.5021643796522052E-2</v>
      </c>
      <c r="X137" s="309">
        <f t="shared" si="107"/>
        <v>5.2450759668722648</v>
      </c>
      <c r="Y137" s="309">
        <f t="shared" si="108"/>
        <v>1.4305627387095732</v>
      </c>
      <c r="Z137" s="309">
        <f t="shared" ref="Z137:Z200" si="124">IF(L137&lt;0, (Vin*K137*Tf/2)*Fsw, (Vin*L137*Tr/2+Vin*K137*Tf/2)*Fsw)</f>
        <v>0.11286441303377474</v>
      </c>
      <c r="AA137" s="309">
        <f t="shared" ref="AA137:AA200" si="125">(0.5*CossTop*(Vin-M137)^2-0.5*CossBot*(Vin-M137)^2+(QossBot*(Vin-M137)/Vin)*Vin)*Fsw</f>
        <v>6.9304499999999991E-2</v>
      </c>
      <c r="AB137" s="309">
        <f t="shared" ref="AB137:AB200" si="126">IF(L137&gt;0,0,-L137*VsdTop*Deadtime*Fsw)</f>
        <v>0</v>
      </c>
      <c r="AC137" s="309">
        <f t="shared" si="109"/>
        <v>2.3534038649886888</v>
      </c>
      <c r="AD137" s="309">
        <f t="shared" si="110"/>
        <v>8.1500912222125983</v>
      </c>
      <c r="AE137" s="309">
        <f t="shared" si="111"/>
        <v>0.66423986930386847</v>
      </c>
      <c r="AF137" s="309">
        <f t="shared" ref="AF137:AF200" si="127">IF(L137&lt;0, Deadtime*Fsw*IF(VfdSky&gt;0,0,VsdBot)*K137, Deadtime*Fsw*IF(VfdSky&gt;0,0,VsdBot)*(K137+L137))</f>
        <v>0.12959999999999999</v>
      </c>
      <c r="AG137" s="309">
        <f t="shared" si="112"/>
        <v>0.88824064533018987</v>
      </c>
      <c r="AH137" s="309">
        <f t="shared" si="113"/>
        <v>0</v>
      </c>
      <c r="AI137">
        <f t="shared" ref="AI137:AI200" si="128">2*Deadtime*Fsw*IF(VfdSky&gt;0,VfdSky,0)*H137</f>
        <v>0</v>
      </c>
      <c r="AJ137" s="310">
        <f t="shared" ref="AJ137:AJ200" si="129">IF(QrrSky&gt;0,QrrSky,QrrBot)*Fsw*(Vin-H137*RdsonTop)</f>
        <v>0.21876000000000001</v>
      </c>
      <c r="AK137">
        <f t="shared" si="85"/>
        <v>3.6000000000000004E-2</v>
      </c>
      <c r="AL137" s="310">
        <f t="shared" ref="AL137:AL200" si="130">IF(Ext_VCC=1, Vdd*(QgTop+QgBot)*Fsw, Vin*(QgTop+QgBot)*Fsw)</f>
        <v>3.0374999999999999E-2</v>
      </c>
      <c r="AM137" s="310">
        <f t="shared" si="86"/>
        <v>5.5427027027027023E-2</v>
      </c>
      <c r="AN137" s="310">
        <f t="shared" si="114"/>
        <v>6.6375000000000003E-2</v>
      </c>
      <c r="AO137" s="310">
        <f t="shared" si="115"/>
        <v>4.3737971257200909</v>
      </c>
      <c r="AP137">
        <f t="shared" ref="AP137:AP200" si="131">Vout*H137</f>
        <v>48</v>
      </c>
      <c r="AQ137" s="9">
        <f t="shared" si="116"/>
        <v>0.91648882903752316</v>
      </c>
      <c r="AR137" s="51">
        <f t="shared" si="117"/>
        <v>129.4372125743779</v>
      </c>
      <c r="AS137" s="51">
        <f t="shared" si="118"/>
        <v>35.529625813207595</v>
      </c>
      <c r="AT137" s="9"/>
      <c r="AU137">
        <f t="shared" si="119"/>
        <v>91.648882903752309</v>
      </c>
    </row>
    <row r="138" spans="7:47">
      <c r="G138">
        <v>129</v>
      </c>
      <c r="H138">
        <f t="shared" si="120"/>
        <v>9.6750000000000007</v>
      </c>
      <c r="I138" s="309">
        <f t="shared" si="97"/>
        <v>0.29299207384482467</v>
      </c>
      <c r="J138" s="310">
        <f t="shared" si="121"/>
        <v>4.6168447999790558</v>
      </c>
      <c r="K138" s="310">
        <f t="shared" ref="K138:K201" si="132">H138+J138/2</f>
        <v>11.983422399989529</v>
      </c>
      <c r="L138" s="310">
        <f t="shared" si="98"/>
        <v>7.3665776000104728</v>
      </c>
      <c r="M138" s="51">
        <f t="shared" si="122"/>
        <v>0</v>
      </c>
      <c r="N138" s="309">
        <f t="shared" si="99"/>
        <v>9.7663655637904085</v>
      </c>
      <c r="O138" s="309">
        <f t="shared" si="100"/>
        <v>0.59974991434624569</v>
      </c>
      <c r="P138">
        <f t="shared" si="123"/>
        <v>0.2</v>
      </c>
      <c r="Q138" s="309">
        <f t="shared" ref="Q138:Q201" si="133">O138+P138</f>
        <v>0.79974991434624565</v>
      </c>
      <c r="R138" s="8">
        <f t="shared" si="101"/>
        <v>1.332768294037316</v>
      </c>
      <c r="S138" s="8">
        <f t="shared" si="102"/>
        <v>1.7762713255911377E-3</v>
      </c>
      <c r="T138" s="8">
        <f t="shared" si="103"/>
        <v>1.7762713255911377E-3</v>
      </c>
      <c r="U138" s="309">
        <f t="shared" si="104"/>
        <v>5.2864108440119377</v>
      </c>
      <c r="V138" s="311">
        <f t="shared" si="105"/>
        <v>5.5892279223374017E-2</v>
      </c>
      <c r="W138" s="309">
        <f t="shared" si="106"/>
        <v>5.5892279223374017E-2</v>
      </c>
      <c r="X138" s="309">
        <f t="shared" si="107"/>
        <v>5.2864108440119377</v>
      </c>
      <c r="Y138" s="309">
        <f t="shared" si="108"/>
        <v>1.4531992598077244</v>
      </c>
      <c r="Z138" s="309">
        <f t="shared" si="124"/>
        <v>0.11384050794098095</v>
      </c>
      <c r="AA138" s="309">
        <f t="shared" si="125"/>
        <v>6.9304499999999991E-2</v>
      </c>
      <c r="AB138" s="309">
        <f t="shared" si="126"/>
        <v>0</v>
      </c>
      <c r="AC138" s="309">
        <f t="shared" si="109"/>
        <v>2.4053410222277356</v>
      </c>
      <c r="AD138" s="309">
        <f t="shared" si="110"/>
        <v>8.2119277099779762</v>
      </c>
      <c r="AE138" s="309">
        <f t="shared" si="111"/>
        <v>0.67435756713904127</v>
      </c>
      <c r="AF138" s="309">
        <f t="shared" si="127"/>
        <v>0.13061250000000002</v>
      </c>
      <c r="AG138" s="309">
        <f t="shared" si="112"/>
        <v>0.90232883119757057</v>
      </c>
      <c r="AH138" s="309">
        <f t="shared" si="113"/>
        <v>0</v>
      </c>
      <c r="AI138">
        <f t="shared" si="128"/>
        <v>0</v>
      </c>
      <c r="AJ138" s="310">
        <f t="shared" si="129"/>
        <v>0.21871125</v>
      </c>
      <c r="AK138">
        <f t="shared" ref="AK138:AK201" si="134">Iq*Vin</f>
        <v>3.6000000000000004E-2</v>
      </c>
      <c r="AL138" s="310">
        <f t="shared" si="130"/>
        <v>3.0374999999999999E-2</v>
      </c>
      <c r="AM138" s="310">
        <f t="shared" ref="AM138:AM201" si="135">(Vin-Vdd)*Fsw*(QgTop+QgBot)+(RdsonDRT+RdsonDRT2)*Fsw*QgTop*Vdd/(RdsonDRT+2*RGateTop+RdsonDRT2)+(RdsonDRB+RdsonDRB2)*Fsw*QgBot*Vdd/(RdsonDRB+2*RGateBot+RdsonDRB2)</f>
        <v>5.5427027027027023E-2</v>
      </c>
      <c r="AN138" s="310">
        <f t="shared" si="114"/>
        <v>6.6375000000000003E-2</v>
      </c>
      <c r="AO138" s="310">
        <f t="shared" si="115"/>
        <v>4.4501745683205174</v>
      </c>
      <c r="AP138">
        <f t="shared" si="131"/>
        <v>48.375</v>
      </c>
      <c r="AQ138" s="9">
        <f t="shared" si="116"/>
        <v>0.91575655727242389</v>
      </c>
      <c r="AR138" s="51">
        <f t="shared" si="117"/>
        <v>132.29375622252545</v>
      </c>
      <c r="AS138" s="51">
        <f t="shared" si="118"/>
        <v>36.093153247902819</v>
      </c>
      <c r="AT138" s="9"/>
      <c r="AU138">
        <f t="shared" si="119"/>
        <v>91.575655727242392</v>
      </c>
    </row>
    <row r="139" spans="7:47">
      <c r="G139">
        <v>130</v>
      </c>
      <c r="H139">
        <f t="shared" si="120"/>
        <v>9.75</v>
      </c>
      <c r="I139" s="309">
        <f t="shared" si="97"/>
        <v>0.29311275972826245</v>
      </c>
      <c r="J139" s="310">
        <f t="shared" si="121"/>
        <v>4.6187465169301962</v>
      </c>
      <c r="K139" s="310">
        <f t="shared" si="132"/>
        <v>12.059373258465097</v>
      </c>
      <c r="L139" s="310">
        <f t="shared" si="98"/>
        <v>7.4406267415349019</v>
      </c>
      <c r="M139" s="51">
        <f t="shared" si="122"/>
        <v>0</v>
      </c>
      <c r="N139" s="309">
        <f t="shared" si="99"/>
        <v>9.8407436176831293</v>
      </c>
      <c r="O139" s="309">
        <f t="shared" si="100"/>
        <v>0.60936679711933384</v>
      </c>
      <c r="P139">
        <f t="shared" si="123"/>
        <v>0.2</v>
      </c>
      <c r="Q139" s="309">
        <f t="shared" si="133"/>
        <v>0.8093667971193339</v>
      </c>
      <c r="R139" s="8">
        <f t="shared" si="101"/>
        <v>1.3333172724341478</v>
      </c>
      <c r="S139" s="8">
        <f t="shared" si="102"/>
        <v>1.7777349489712356E-3</v>
      </c>
      <c r="T139" s="8">
        <f t="shared" si="103"/>
        <v>1.7777349489712356E-3</v>
      </c>
      <c r="U139" s="309">
        <f t="shared" si="104"/>
        <v>5.3277676862478058</v>
      </c>
      <c r="V139" s="311">
        <f t="shared" si="105"/>
        <v>5.6770217037252602E-2</v>
      </c>
      <c r="W139" s="309">
        <f t="shared" si="106"/>
        <v>5.6770217037252602E-2</v>
      </c>
      <c r="X139" s="309">
        <f t="shared" si="107"/>
        <v>5.3277676862478058</v>
      </c>
      <c r="Y139" s="309">
        <f t="shared" si="108"/>
        <v>1.4760256429685674</v>
      </c>
      <c r="Z139" s="309">
        <f t="shared" si="124"/>
        <v>0.11481660096746436</v>
      </c>
      <c r="AA139" s="309">
        <f t="shared" si="125"/>
        <v>6.9304499999999991E-2</v>
      </c>
      <c r="AB139" s="309">
        <f t="shared" si="126"/>
        <v>0</v>
      </c>
      <c r="AC139" s="309">
        <f t="shared" si="109"/>
        <v>2.4584773920757304</v>
      </c>
      <c r="AD139" s="309">
        <f t="shared" si="110"/>
        <v>8.273761323022617</v>
      </c>
      <c r="AE139" s="309">
        <f t="shared" si="111"/>
        <v>0.68455126430344959</v>
      </c>
      <c r="AF139" s="309">
        <f t="shared" si="127"/>
        <v>0.13162499999999999</v>
      </c>
      <c r="AG139" s="309">
        <f t="shared" si="112"/>
        <v>0.91656610170143371</v>
      </c>
      <c r="AH139" s="309">
        <f t="shared" si="113"/>
        <v>0</v>
      </c>
      <c r="AI139">
        <f t="shared" si="128"/>
        <v>0</v>
      </c>
      <c r="AJ139" s="310">
        <f t="shared" si="129"/>
        <v>0.21866249999999995</v>
      </c>
      <c r="AK139">
        <f t="shared" si="134"/>
        <v>3.6000000000000004E-2</v>
      </c>
      <c r="AL139" s="310">
        <f t="shared" si="130"/>
        <v>3.0374999999999999E-2</v>
      </c>
      <c r="AM139" s="310">
        <f t="shared" si="135"/>
        <v>5.5427027027027023E-2</v>
      </c>
      <c r="AN139" s="310">
        <f t="shared" si="114"/>
        <v>6.6375000000000003E-2</v>
      </c>
      <c r="AO139" s="310">
        <f t="shared" si="115"/>
        <v>4.5279957428827213</v>
      </c>
      <c r="AP139">
        <f t="shared" si="131"/>
        <v>48.75</v>
      </c>
      <c r="AQ139" s="9">
        <f t="shared" si="116"/>
        <v>0.91501189788116966</v>
      </c>
      <c r="AR139" s="51">
        <f t="shared" si="117"/>
        <v>135.21625656416518</v>
      </c>
      <c r="AS139" s="51">
        <f t="shared" si="118"/>
        <v>36.662644068057347</v>
      </c>
      <c r="AT139" s="9"/>
      <c r="AU139">
        <f t="shared" si="119"/>
        <v>91.50118978811696</v>
      </c>
    </row>
    <row r="140" spans="7:47">
      <c r="G140">
        <v>131</v>
      </c>
      <c r="H140">
        <f t="shared" si="120"/>
        <v>9.8250000000000011</v>
      </c>
      <c r="I140" s="309">
        <f t="shared" si="97"/>
        <v>0.29323348884283307</v>
      </c>
      <c r="J140" s="310">
        <f t="shared" si="121"/>
        <v>4.6206489150991885</v>
      </c>
      <c r="K140" s="310">
        <f t="shared" si="132"/>
        <v>12.135324457549595</v>
      </c>
      <c r="L140" s="310">
        <f t="shared" si="98"/>
        <v>7.5146755424504068</v>
      </c>
      <c r="M140" s="51">
        <f t="shared" si="122"/>
        <v>0</v>
      </c>
      <c r="N140" s="309">
        <f t="shared" si="99"/>
        <v>9.9151310984634637</v>
      </c>
      <c r="O140" s="309">
        <f t="shared" si="100"/>
        <v>0.61907216886935323</v>
      </c>
      <c r="P140">
        <f t="shared" si="123"/>
        <v>0.2</v>
      </c>
      <c r="Q140" s="309">
        <f t="shared" si="133"/>
        <v>0.81907216886935319</v>
      </c>
      <c r="R140" s="8">
        <f t="shared" si="101"/>
        <v>1.3338664474816344</v>
      </c>
      <c r="S140" s="8">
        <f t="shared" si="102"/>
        <v>1.7791996997172758E-3</v>
      </c>
      <c r="T140" s="8">
        <f t="shared" si="103"/>
        <v>1.7791996997172758E-3</v>
      </c>
      <c r="U140" s="309">
        <f t="shared" si="104"/>
        <v>5.3691463831996069</v>
      </c>
      <c r="V140" s="311">
        <f t="shared" si="105"/>
        <v>5.7655465768450841E-2</v>
      </c>
      <c r="W140" s="309">
        <f t="shared" si="106"/>
        <v>5.7655465768450841E-2</v>
      </c>
      <c r="X140" s="309">
        <f t="shared" si="107"/>
        <v>5.3691463831996069</v>
      </c>
      <c r="Y140" s="309">
        <f t="shared" si="108"/>
        <v>1.4990421099797218</v>
      </c>
      <c r="Z140" s="309">
        <f t="shared" si="124"/>
        <v>0.1157926921122145</v>
      </c>
      <c r="AA140" s="309">
        <f t="shared" si="125"/>
        <v>6.9304499999999991E-2</v>
      </c>
      <c r="AB140" s="309">
        <f t="shared" si="126"/>
        <v>0</v>
      </c>
      <c r="AC140" s="309">
        <f t="shared" si="109"/>
        <v>2.5128503799188562</v>
      </c>
      <c r="AD140" s="309">
        <f t="shared" si="110"/>
        <v>8.3355918695370317</v>
      </c>
      <c r="AE140" s="309">
        <f t="shared" si="111"/>
        <v>0.69482091815491875</v>
      </c>
      <c r="AF140" s="309">
        <f t="shared" si="127"/>
        <v>0.13263750000000002</v>
      </c>
      <c r="AG140" s="309">
        <f t="shared" si="112"/>
        <v>0.93095380675838746</v>
      </c>
      <c r="AH140" s="309">
        <f t="shared" si="113"/>
        <v>0</v>
      </c>
      <c r="AI140">
        <f t="shared" si="128"/>
        <v>0</v>
      </c>
      <c r="AJ140" s="310">
        <f t="shared" si="129"/>
        <v>0.21861375</v>
      </c>
      <c r="AK140">
        <f t="shared" si="134"/>
        <v>3.6000000000000004E-2</v>
      </c>
      <c r="AL140" s="310">
        <f t="shared" si="130"/>
        <v>3.0374999999999999E-2</v>
      </c>
      <c r="AM140" s="310">
        <f t="shared" si="135"/>
        <v>5.5427027027027023E-2</v>
      </c>
      <c r="AN140" s="310">
        <f t="shared" si="114"/>
        <v>6.6375000000000003E-2</v>
      </c>
      <c r="AO140" s="310">
        <f t="shared" si="115"/>
        <v>4.6072997710147643</v>
      </c>
      <c r="AP140">
        <f t="shared" si="131"/>
        <v>49.125000000000007</v>
      </c>
      <c r="AQ140" s="9">
        <f t="shared" si="116"/>
        <v>0.91425455841925241</v>
      </c>
      <c r="AR140" s="51">
        <f t="shared" si="117"/>
        <v>138.20677089553709</v>
      </c>
      <c r="AS140" s="51">
        <f t="shared" si="118"/>
        <v>37.238152270335497</v>
      </c>
      <c r="AT140" s="9"/>
      <c r="AU140">
        <f t="shared" si="119"/>
        <v>91.425455841925242</v>
      </c>
    </row>
    <row r="141" spans="7:47">
      <c r="G141">
        <v>132</v>
      </c>
      <c r="H141">
        <f t="shared" si="120"/>
        <v>9.9</v>
      </c>
      <c r="I141" s="309">
        <f t="shared" si="97"/>
        <v>0.29335426121176966</v>
      </c>
      <c r="J141" s="310">
        <f t="shared" si="121"/>
        <v>4.6225519948521283</v>
      </c>
      <c r="K141" s="310">
        <f t="shared" si="132"/>
        <v>12.211275997426064</v>
      </c>
      <c r="L141" s="310">
        <f t="shared" si="98"/>
        <v>7.5887240025739366</v>
      </c>
      <c r="M141" s="51">
        <f t="shared" si="122"/>
        <v>0</v>
      </c>
      <c r="N141" s="309">
        <f t="shared" si="99"/>
        <v>9.9895277955846993</v>
      </c>
      <c r="O141" s="309">
        <f t="shared" si="100"/>
        <v>0.62886639143818579</v>
      </c>
      <c r="P141">
        <f t="shared" si="123"/>
        <v>0.2</v>
      </c>
      <c r="Q141" s="309">
        <f t="shared" si="133"/>
        <v>0.82886639143818575</v>
      </c>
      <c r="R141" s="8">
        <f t="shared" si="101"/>
        <v>1.3344158192854589</v>
      </c>
      <c r="S141" s="8">
        <f t="shared" si="102"/>
        <v>1.7806655787592828E-3</v>
      </c>
      <c r="T141" s="8">
        <f t="shared" si="103"/>
        <v>1.7806655787592828E-3</v>
      </c>
      <c r="U141" s="309">
        <f t="shared" si="104"/>
        <v>5.4105468278804967</v>
      </c>
      <c r="V141" s="311">
        <f t="shared" si="105"/>
        <v>5.8548033953375413E-2</v>
      </c>
      <c r="W141" s="309">
        <f t="shared" si="106"/>
        <v>5.8548033953375413E-2</v>
      </c>
      <c r="X141" s="309">
        <f t="shared" si="107"/>
        <v>5.4105468278804967</v>
      </c>
      <c r="Y141" s="309">
        <f t="shared" si="108"/>
        <v>1.5222488827877605</v>
      </c>
      <c r="Z141" s="309">
        <f t="shared" si="124"/>
        <v>0.11676878137422003</v>
      </c>
      <c r="AA141" s="309">
        <f t="shared" si="125"/>
        <v>6.9304499999999991E-2</v>
      </c>
      <c r="AB141" s="309">
        <f t="shared" si="126"/>
        <v>0</v>
      </c>
      <c r="AC141" s="309">
        <f t="shared" si="109"/>
        <v>2.5684990082154013</v>
      </c>
      <c r="AD141" s="309">
        <f t="shared" si="110"/>
        <v>8.3974191631757673</v>
      </c>
      <c r="AE141" s="309">
        <f t="shared" si="111"/>
        <v>0.70516648602071597</v>
      </c>
      <c r="AF141" s="309">
        <f t="shared" si="127"/>
        <v>0.13364999999999999</v>
      </c>
      <c r="AG141" s="309">
        <f t="shared" si="112"/>
        <v>0.94549331813338577</v>
      </c>
      <c r="AH141" s="309">
        <f t="shared" si="113"/>
        <v>0</v>
      </c>
      <c r="AI141">
        <f t="shared" si="128"/>
        <v>0</v>
      </c>
      <c r="AJ141" s="310">
        <f t="shared" si="129"/>
        <v>0.21856499999999998</v>
      </c>
      <c r="AK141">
        <f t="shared" si="134"/>
        <v>3.6000000000000004E-2</v>
      </c>
      <c r="AL141" s="310">
        <f t="shared" si="130"/>
        <v>3.0374999999999999E-2</v>
      </c>
      <c r="AM141" s="310">
        <f t="shared" si="135"/>
        <v>5.5427027027027023E-2</v>
      </c>
      <c r="AN141" s="310">
        <f t="shared" si="114"/>
        <v>6.6375000000000003E-2</v>
      </c>
      <c r="AO141" s="310">
        <f t="shared" si="115"/>
        <v>4.6881274173191079</v>
      </c>
      <c r="AP141">
        <f t="shared" si="131"/>
        <v>49.5</v>
      </c>
      <c r="AQ141" s="9">
        <f t="shared" si="116"/>
        <v>0.91348423278748081</v>
      </c>
      <c r="AR141" s="51">
        <f t="shared" si="117"/>
        <v>141.26744545184707</v>
      </c>
      <c r="AS141" s="51">
        <f t="shared" si="118"/>
        <v>37.819732725335427</v>
      </c>
      <c r="AT141" s="9"/>
      <c r="AU141">
        <f t="shared" si="119"/>
        <v>91.348423278748086</v>
      </c>
    </row>
    <row r="142" spans="7:47">
      <c r="G142">
        <v>133</v>
      </c>
      <c r="H142">
        <f t="shared" si="120"/>
        <v>9.9750000000000014</v>
      </c>
      <c r="I142" s="309">
        <f t="shared" si="97"/>
        <v>0.29347507685832186</v>
      </c>
      <c r="J142" s="310">
        <f t="shared" si="121"/>
        <v>4.624455756555375</v>
      </c>
      <c r="K142" s="310">
        <f t="shared" si="132"/>
        <v>12.287227878277688</v>
      </c>
      <c r="L142" s="310">
        <f t="shared" si="98"/>
        <v>7.6627721217223144</v>
      </c>
      <c r="M142" s="51">
        <f t="shared" si="122"/>
        <v>0</v>
      </c>
      <c r="N142" s="309">
        <f t="shared" si="99"/>
        <v>10.063933504700247</v>
      </c>
      <c r="O142" s="309">
        <f t="shared" si="100"/>
        <v>0.63874983077116998</v>
      </c>
      <c r="P142">
        <f t="shared" si="123"/>
        <v>0.2</v>
      </c>
      <c r="Q142" s="309">
        <f t="shared" si="133"/>
        <v>0.83874983077117005</v>
      </c>
      <c r="R142" s="8">
        <f t="shared" si="101"/>
        <v>1.3349653879513801</v>
      </c>
      <c r="S142" s="8">
        <f t="shared" si="102"/>
        <v>1.7821325870281787E-3</v>
      </c>
      <c r="T142" s="8">
        <f t="shared" si="103"/>
        <v>1.7821325870281787E-3</v>
      </c>
      <c r="U142" s="309">
        <f t="shared" si="104"/>
        <v>5.4519689165727891</v>
      </c>
      <c r="V142" s="311">
        <f t="shared" si="105"/>
        <v>5.9447930134551748E-2</v>
      </c>
      <c r="W142" s="309">
        <f t="shared" si="106"/>
        <v>5.9447930134551748E-2</v>
      </c>
      <c r="X142" s="309">
        <f t="shared" si="107"/>
        <v>5.4519689165727891</v>
      </c>
      <c r="Y142" s="309">
        <f t="shared" si="108"/>
        <v>1.5456461834983453</v>
      </c>
      <c r="Z142" s="309">
        <f t="shared" si="124"/>
        <v>0.11774486875246898</v>
      </c>
      <c r="AA142" s="309">
        <f t="shared" si="125"/>
        <v>6.9304499999999991E-2</v>
      </c>
      <c r="AB142" s="309">
        <f t="shared" si="126"/>
        <v>0</v>
      </c>
      <c r="AC142" s="309">
        <f t="shared" si="109"/>
        <v>2.6254640042177244</v>
      </c>
      <c r="AD142" s="309">
        <f t="shared" si="110"/>
        <v>8.4592430228568514</v>
      </c>
      <c r="AE142" s="309">
        <f t="shared" si="111"/>
        <v>0.71558792519752312</v>
      </c>
      <c r="AF142" s="309">
        <f t="shared" si="127"/>
        <v>0.13466250000000002</v>
      </c>
      <c r="AG142" s="309">
        <f t="shared" si="112"/>
        <v>0.96018602981856538</v>
      </c>
      <c r="AH142" s="309">
        <f t="shared" si="113"/>
        <v>0</v>
      </c>
      <c r="AI142">
        <f t="shared" si="128"/>
        <v>0</v>
      </c>
      <c r="AJ142" s="310">
        <f t="shared" si="129"/>
        <v>0.21851625</v>
      </c>
      <c r="AK142">
        <f t="shared" si="134"/>
        <v>3.6000000000000004E-2</v>
      </c>
      <c r="AL142" s="310">
        <f t="shared" si="130"/>
        <v>3.0374999999999999E-2</v>
      </c>
      <c r="AM142" s="310">
        <f t="shared" si="135"/>
        <v>5.5427027027027023E-2</v>
      </c>
      <c r="AN142" s="310">
        <f t="shared" si="114"/>
        <v>6.6375000000000003E-2</v>
      </c>
      <c r="AO142" s="310">
        <f t="shared" si="115"/>
        <v>4.7705211775290399</v>
      </c>
      <c r="AP142">
        <f t="shared" si="131"/>
        <v>49.875000000000007</v>
      </c>
      <c r="AQ142" s="9">
        <f t="shared" si="116"/>
        <v>0.91270060062139657</v>
      </c>
      <c r="AR142" s="51">
        <f t="shared" si="117"/>
        <v>144.40052023197484</v>
      </c>
      <c r="AS142" s="51">
        <f t="shared" si="118"/>
        <v>38.407441192742617</v>
      </c>
      <c r="AT142" s="9"/>
      <c r="AU142">
        <f t="shared" si="119"/>
        <v>91.270060062139663</v>
      </c>
    </row>
    <row r="143" spans="7:47">
      <c r="G143">
        <v>134</v>
      </c>
      <c r="H143">
        <f t="shared" si="120"/>
        <v>10.050000000000001</v>
      </c>
      <c r="I143" s="309">
        <f t="shared" si="97"/>
        <v>0.2935959358057561</v>
      </c>
      <c r="J143" s="310">
        <f t="shared" si="121"/>
        <v>4.6263602005755509</v>
      </c>
      <c r="K143" s="310">
        <f t="shared" si="132"/>
        <v>12.363180100287776</v>
      </c>
      <c r="L143" s="310">
        <f t="shared" si="98"/>
        <v>7.7368198997122253</v>
      </c>
      <c r="M143" s="51">
        <f t="shared" si="122"/>
        <v>0</v>
      </c>
      <c r="N143" s="309">
        <f t="shared" si="99"/>
        <v>10.13834802743799</v>
      </c>
      <c r="O143" s="309">
        <f t="shared" si="100"/>
        <v>0.64872285695323084</v>
      </c>
      <c r="P143">
        <f t="shared" si="123"/>
        <v>0.2</v>
      </c>
      <c r="Q143" s="309">
        <f t="shared" si="133"/>
        <v>0.8487228569532308</v>
      </c>
      <c r="R143" s="8">
        <f t="shared" si="101"/>
        <v>1.3355151535852328</v>
      </c>
      <c r="S143" s="8">
        <f t="shared" si="102"/>
        <v>1.7836007254557881E-3</v>
      </c>
      <c r="T143" s="8">
        <f t="shared" si="103"/>
        <v>1.7836007254557881E-3</v>
      </c>
      <c r="U143" s="309">
        <f t="shared" si="104"/>
        <v>5.4934125487091263</v>
      </c>
      <c r="V143" s="311">
        <f t="shared" si="105"/>
        <v>6.03551628606298E-2</v>
      </c>
      <c r="W143" s="309">
        <f t="shared" si="106"/>
        <v>6.03551628606298E-2</v>
      </c>
      <c r="X143" s="309">
        <f t="shared" si="107"/>
        <v>5.4934125487091263</v>
      </c>
      <c r="Y143" s="309">
        <f t="shared" si="108"/>
        <v>1.5692342343763745</v>
      </c>
      <c r="Z143" s="309">
        <f t="shared" si="124"/>
        <v>0.11872095424594863</v>
      </c>
      <c r="AA143" s="309">
        <f t="shared" si="125"/>
        <v>6.9304499999999991E-2</v>
      </c>
      <c r="AB143" s="309">
        <f t="shared" si="126"/>
        <v>0</v>
      </c>
      <c r="AC143" s="309">
        <f t="shared" si="109"/>
        <v>2.6837878934771449</v>
      </c>
      <c r="AD143" s="309">
        <f t="shared" si="110"/>
        <v>8.5210632725699718</v>
      </c>
      <c r="AE143" s="309">
        <f t="shared" si="111"/>
        <v>0.72608519295140883</v>
      </c>
      <c r="AF143" s="309">
        <f t="shared" si="127"/>
        <v>0.13567500000000002</v>
      </c>
      <c r="AG143" s="309">
        <f t="shared" si="112"/>
        <v>0.97503335842067906</v>
      </c>
      <c r="AH143" s="309">
        <f t="shared" si="113"/>
        <v>0</v>
      </c>
      <c r="AI143">
        <f t="shared" si="128"/>
        <v>0</v>
      </c>
      <c r="AJ143" s="310">
        <f t="shared" si="129"/>
        <v>0.21846749999999998</v>
      </c>
      <c r="AK143">
        <f t="shared" si="134"/>
        <v>3.6000000000000004E-2</v>
      </c>
      <c r="AL143" s="310">
        <f t="shared" si="130"/>
        <v>3.0374999999999999E-2</v>
      </c>
      <c r="AM143" s="310">
        <f t="shared" si="135"/>
        <v>5.5427027027027023E-2</v>
      </c>
      <c r="AN143" s="310">
        <f t="shared" si="114"/>
        <v>6.6375000000000003E-2</v>
      </c>
      <c r="AO143" s="310">
        <f t="shared" si="115"/>
        <v>4.8545253724371404</v>
      </c>
      <c r="AP143">
        <f t="shared" si="131"/>
        <v>50.25</v>
      </c>
      <c r="AQ143" s="9">
        <f t="shared" si="116"/>
        <v>0.91190332663920681</v>
      </c>
      <c r="AR143" s="51">
        <f t="shared" si="117"/>
        <v>147.60833414124298</v>
      </c>
      <c r="AS143" s="51">
        <f t="shared" si="118"/>
        <v>39.001334336827163</v>
      </c>
      <c r="AT143" s="9"/>
      <c r="AU143">
        <f t="shared" si="119"/>
        <v>91.190332663920685</v>
      </c>
    </row>
    <row r="144" spans="7:47">
      <c r="G144">
        <v>135</v>
      </c>
      <c r="H144">
        <f t="shared" si="120"/>
        <v>10.125</v>
      </c>
      <c r="I144" s="309">
        <f t="shared" si="97"/>
        <v>0.29371683807735527</v>
      </c>
      <c r="J144" s="310">
        <f t="shared" si="121"/>
        <v>4.6282653272795375</v>
      </c>
      <c r="K144" s="310">
        <f t="shared" si="132"/>
        <v>12.439132663639768</v>
      </c>
      <c r="L144" s="310">
        <f t="shared" si="98"/>
        <v>7.8108673363602312</v>
      </c>
      <c r="M144" s="51">
        <f t="shared" si="122"/>
        <v>0</v>
      </c>
      <c r="N144" s="309">
        <f t="shared" si="99"/>
        <v>10.212771171184382</v>
      </c>
      <c r="O144" s="309">
        <f t="shared" si="100"/>
        <v>0.65878584424552544</v>
      </c>
      <c r="P144">
        <f t="shared" si="123"/>
        <v>0.2</v>
      </c>
      <c r="Q144" s="309">
        <f t="shared" si="133"/>
        <v>0.8587858442455254</v>
      </c>
      <c r="R144" s="8">
        <f t="shared" si="101"/>
        <v>1.3360651162929262</v>
      </c>
      <c r="S144" s="8">
        <f t="shared" si="102"/>
        <v>1.7850699949748306E-3</v>
      </c>
      <c r="T144" s="8">
        <f t="shared" si="103"/>
        <v>1.7850699949748306E-3</v>
      </c>
      <c r="U144" s="309">
        <f t="shared" si="104"/>
        <v>5.5348776267587558</v>
      </c>
      <c r="V144" s="311">
        <f t="shared" si="105"/>
        <v>6.1269740686389275E-2</v>
      </c>
      <c r="W144" s="309">
        <f t="shared" si="106"/>
        <v>6.1269740686389275E-2</v>
      </c>
      <c r="X144" s="309">
        <f t="shared" si="107"/>
        <v>5.5348776267587558</v>
      </c>
      <c r="Y144" s="309">
        <f t="shared" si="108"/>
        <v>1.5930132578461211</v>
      </c>
      <c r="Z144" s="309">
        <f t="shared" si="124"/>
        <v>0.11969703785364551</v>
      </c>
      <c r="AA144" s="309">
        <f t="shared" si="125"/>
        <v>6.9304499999999991E-2</v>
      </c>
      <c r="AB144" s="309">
        <f t="shared" si="126"/>
        <v>0</v>
      </c>
      <c r="AC144" s="309">
        <f t="shared" si="109"/>
        <v>2.7435150995812285</v>
      </c>
      <c r="AD144" s="309">
        <f t="shared" si="110"/>
        <v>8.5828797411929401</v>
      </c>
      <c r="AE144" s="309">
        <f t="shared" si="111"/>
        <v>0.73665824651780187</v>
      </c>
      <c r="AF144" s="309">
        <f t="shared" si="127"/>
        <v>0.13668749999999999</v>
      </c>
      <c r="AG144" s="309">
        <f t="shared" si="112"/>
        <v>0.99003674355734561</v>
      </c>
      <c r="AH144" s="309">
        <f t="shared" si="113"/>
        <v>0</v>
      </c>
      <c r="AI144">
        <f t="shared" si="128"/>
        <v>0</v>
      </c>
      <c r="AJ144" s="310">
        <f t="shared" si="129"/>
        <v>0.21841874999999999</v>
      </c>
      <c r="AK144">
        <f t="shared" si="134"/>
        <v>3.6000000000000004E-2</v>
      </c>
      <c r="AL144" s="310">
        <f t="shared" si="130"/>
        <v>3.0374999999999999E-2</v>
      </c>
      <c r="AM144" s="310">
        <f t="shared" si="135"/>
        <v>5.5427027027027023E-2</v>
      </c>
      <c r="AN144" s="310">
        <f t="shared" si="114"/>
        <v>6.6375000000000003E-2</v>
      </c>
      <c r="AO144" s="310">
        <f t="shared" si="115"/>
        <v>4.9401862480654639</v>
      </c>
      <c r="AP144">
        <f t="shared" si="131"/>
        <v>50.625</v>
      </c>
      <c r="AQ144" s="9">
        <f t="shared" si="116"/>
        <v>0.91109205994540399</v>
      </c>
      <c r="AR144" s="51">
        <f t="shared" si="117"/>
        <v>150.89333047696758</v>
      </c>
      <c r="AS144" s="51">
        <f t="shared" si="118"/>
        <v>39.601469742293823</v>
      </c>
      <c r="AT144" s="9"/>
      <c r="AU144">
        <f t="shared" si="119"/>
        <v>91.109205994540403</v>
      </c>
    </row>
    <row r="145" spans="7:47">
      <c r="G145">
        <v>136</v>
      </c>
      <c r="H145">
        <f t="shared" si="120"/>
        <v>10.200000000000001</v>
      </c>
      <c r="I145" s="309">
        <f t="shared" si="97"/>
        <v>0.29383778369641927</v>
      </c>
      <c r="J145" s="310">
        <f t="shared" si="121"/>
        <v>4.6301711370344858</v>
      </c>
      <c r="K145" s="310">
        <f t="shared" si="132"/>
        <v>12.515085568517243</v>
      </c>
      <c r="L145" s="310">
        <f t="shared" si="98"/>
        <v>7.8849144314827582</v>
      </c>
      <c r="M145" s="51">
        <f t="shared" si="122"/>
        <v>0</v>
      </c>
      <c r="N145" s="309">
        <f t="shared" si="99"/>
        <v>10.2872027488778</v>
      </c>
      <c r="O145" s="309">
        <f t="shared" si="100"/>
        <v>0.66893917112261181</v>
      </c>
      <c r="P145">
        <f t="shared" si="123"/>
        <v>0.2</v>
      </c>
      <c r="Q145" s="309">
        <f t="shared" si="133"/>
        <v>0.86893917112261176</v>
      </c>
      <c r="R145" s="8">
        <f t="shared" si="101"/>
        <v>1.3366152761804482</v>
      </c>
      <c r="S145" s="8">
        <f t="shared" si="102"/>
        <v>1.7865403965189358E-3</v>
      </c>
      <c r="T145" s="8">
        <f t="shared" si="103"/>
        <v>1.7865403965189358E-3</v>
      </c>
      <c r="U145" s="309">
        <f t="shared" si="104"/>
        <v>5.5763640561187104</v>
      </c>
      <c r="V145" s="311">
        <f t="shared" si="105"/>
        <v>6.2191672172745432E-2</v>
      </c>
      <c r="W145" s="309">
        <f t="shared" si="106"/>
        <v>6.2191672172745432E-2</v>
      </c>
      <c r="X145" s="309">
        <f t="shared" si="107"/>
        <v>5.5763640561187104</v>
      </c>
      <c r="Y145" s="309">
        <f t="shared" si="108"/>
        <v>1.6169834764913813</v>
      </c>
      <c r="Z145" s="309">
        <f t="shared" si="124"/>
        <v>0.12067311957454553</v>
      </c>
      <c r="AA145" s="309">
        <f t="shared" si="125"/>
        <v>6.9304499999999991E-2</v>
      </c>
      <c r="AB145" s="309">
        <f t="shared" si="126"/>
        <v>0</v>
      </c>
      <c r="AC145" s="309">
        <f t="shared" si="109"/>
        <v>2.8046920506134283</v>
      </c>
      <c r="AD145" s="309">
        <f t="shared" si="110"/>
        <v>8.6446922623160081</v>
      </c>
      <c r="AE145" s="309">
        <f t="shared" si="111"/>
        <v>0.74730704310146268</v>
      </c>
      <c r="AF145" s="309">
        <f t="shared" si="127"/>
        <v>0.13770000000000002</v>
      </c>
      <c r="AG145" s="309">
        <f t="shared" si="112"/>
        <v>1.0051976482623382</v>
      </c>
      <c r="AH145" s="309">
        <f t="shared" si="113"/>
        <v>0</v>
      </c>
      <c r="AI145">
        <f t="shared" si="128"/>
        <v>0</v>
      </c>
      <c r="AJ145" s="310">
        <f t="shared" si="129"/>
        <v>0.21836999999999998</v>
      </c>
      <c r="AK145">
        <f t="shared" si="134"/>
        <v>3.6000000000000004E-2</v>
      </c>
      <c r="AL145" s="310">
        <f t="shared" si="130"/>
        <v>3.0374999999999999E-2</v>
      </c>
      <c r="AM145" s="310">
        <f t="shared" si="135"/>
        <v>5.5427027027027023E-2</v>
      </c>
      <c r="AN145" s="310">
        <f t="shared" si="114"/>
        <v>6.6375000000000003E-2</v>
      </c>
      <c r="AO145" s="310">
        <f t="shared" si="115"/>
        <v>5.0275520825676425</v>
      </c>
      <c r="AP145">
        <f t="shared" si="131"/>
        <v>51.000000000000007</v>
      </c>
      <c r="AQ145" s="9">
        <f t="shared" si="116"/>
        <v>0.91026643328699142</v>
      </c>
      <c r="AR145" s="51">
        <f t="shared" si="117"/>
        <v>154.25806278373855</v>
      </c>
      <c r="AS145" s="51">
        <f t="shared" si="118"/>
        <v>40.207905930493524</v>
      </c>
      <c r="AT145" s="9"/>
      <c r="AU145">
        <f t="shared" si="119"/>
        <v>91.026643328699137</v>
      </c>
    </row>
    <row r="146" spans="7:47">
      <c r="G146">
        <v>137</v>
      </c>
      <c r="H146">
        <f t="shared" si="120"/>
        <v>10.275</v>
      </c>
      <c r="I146" s="309">
        <f t="shared" si="97"/>
        <v>0.29395877268626436</v>
      </c>
      <c r="J146" s="310">
        <f t="shared" si="121"/>
        <v>4.6320776302078022</v>
      </c>
      <c r="K146" s="310">
        <f t="shared" si="132"/>
        <v>12.591038815103902</v>
      </c>
      <c r="L146" s="310">
        <f t="shared" si="98"/>
        <v>7.9589611848960988</v>
      </c>
      <c r="M146" s="51">
        <f t="shared" si="122"/>
        <v>0</v>
      </c>
      <c r="N146" s="309">
        <f t="shared" si="99"/>
        <v>10.36164257881069</v>
      </c>
      <c r="O146" s="309">
        <f t="shared" si="100"/>
        <v>0.67918322031014611</v>
      </c>
      <c r="P146">
        <f t="shared" si="123"/>
        <v>0.2</v>
      </c>
      <c r="Q146" s="309">
        <f t="shared" si="133"/>
        <v>0.87918322031014617</v>
      </c>
      <c r="R146" s="8">
        <f t="shared" si="101"/>
        <v>1.3371656333538593</v>
      </c>
      <c r="S146" s="8">
        <f t="shared" si="102"/>
        <v>1.7880119310226276E-3</v>
      </c>
      <c r="T146" s="8">
        <f t="shared" si="103"/>
        <v>1.7880119310226276E-3</v>
      </c>
      <c r="U146" s="309">
        <f t="shared" si="104"/>
        <v>5.617871745009591</v>
      </c>
      <c r="V146" s="311">
        <f t="shared" si="105"/>
        <v>6.3120965886754213E-2</v>
      </c>
      <c r="W146" s="309">
        <f t="shared" si="106"/>
        <v>6.3120965886754213E-2</v>
      </c>
      <c r="X146" s="309">
        <f t="shared" si="107"/>
        <v>5.617871745009591</v>
      </c>
      <c r="Y146" s="309">
        <f t="shared" si="108"/>
        <v>1.6411451130556094</v>
      </c>
      <c r="Z146" s="309">
        <f t="shared" si="124"/>
        <v>0.12164919940763369</v>
      </c>
      <c r="AA146" s="309">
        <f t="shared" si="125"/>
        <v>6.9304499999999991E-2</v>
      </c>
      <c r="AB146" s="309">
        <f t="shared" si="126"/>
        <v>0</v>
      </c>
      <c r="AC146" s="309">
        <f t="shared" si="109"/>
        <v>2.8673672928694423</v>
      </c>
      <c r="AD146" s="309">
        <f t="shared" si="110"/>
        <v>8.7065006740736859</v>
      </c>
      <c r="AE146" s="309">
        <f t="shared" si="111"/>
        <v>0.75803153987645544</v>
      </c>
      <c r="AF146" s="309">
        <f t="shared" si="127"/>
        <v>0.13871250000000002</v>
      </c>
      <c r="AG146" s="309">
        <f t="shared" si="112"/>
        <v>1.0205175594001439</v>
      </c>
      <c r="AH146" s="309">
        <f t="shared" si="113"/>
        <v>0</v>
      </c>
      <c r="AI146">
        <f t="shared" si="128"/>
        <v>0</v>
      </c>
      <c r="AJ146" s="310">
        <f t="shared" si="129"/>
        <v>0.21832124999999997</v>
      </c>
      <c r="AK146">
        <f t="shared" si="134"/>
        <v>3.6000000000000004E-2</v>
      </c>
      <c r="AL146" s="310">
        <f t="shared" si="130"/>
        <v>3.0374999999999999E-2</v>
      </c>
      <c r="AM146" s="310">
        <f t="shared" si="135"/>
        <v>5.5427027027027023E-2</v>
      </c>
      <c r="AN146" s="310">
        <f t="shared" si="114"/>
        <v>6.6375000000000003E-2</v>
      </c>
      <c r="AO146" s="310">
        <f t="shared" si="115"/>
        <v>5.1166733003975091</v>
      </c>
      <c r="AP146">
        <f t="shared" si="131"/>
        <v>51.375</v>
      </c>
      <c r="AQ146" s="9">
        <f t="shared" si="116"/>
        <v>0.90942606225895761</v>
      </c>
      <c r="AR146" s="51">
        <f t="shared" si="117"/>
        <v>157.70520110781933</v>
      </c>
      <c r="AS146" s="51">
        <f t="shared" si="118"/>
        <v>40.820702376005755</v>
      </c>
      <c r="AT146" s="9"/>
      <c r="AU146">
        <f t="shared" si="119"/>
        <v>90.942606225895759</v>
      </c>
    </row>
    <row r="147" spans="7:47">
      <c r="G147">
        <v>138</v>
      </c>
      <c r="H147">
        <f t="shared" si="120"/>
        <v>10.35</v>
      </c>
      <c r="I147" s="309">
        <f t="shared" si="97"/>
        <v>0.29407980507022369</v>
      </c>
      <c r="J147" s="310">
        <f t="shared" si="121"/>
        <v>4.6339848071671614</v>
      </c>
      <c r="K147" s="310">
        <f t="shared" si="132"/>
        <v>12.666992403583581</v>
      </c>
      <c r="L147" s="310">
        <f t="shared" si="98"/>
        <v>8.033007596416418</v>
      </c>
      <c r="M147" s="51">
        <f t="shared" si="122"/>
        <v>0</v>
      </c>
      <c r="N147" s="309">
        <f t="shared" si="99"/>
        <v>10.436090484440106</v>
      </c>
      <c r="O147" s="309">
        <f t="shared" si="100"/>
        <v>0.68951837882312084</v>
      </c>
      <c r="P147">
        <f t="shared" si="123"/>
        <v>0.2</v>
      </c>
      <c r="Q147" s="309">
        <f t="shared" si="133"/>
        <v>0.8895183788231209</v>
      </c>
      <c r="R147" s="8">
        <f t="shared" si="101"/>
        <v>1.3377161879192985</v>
      </c>
      <c r="S147" s="8">
        <f t="shared" si="102"/>
        <v>1.7894845994213401E-3</v>
      </c>
      <c r="T147" s="8">
        <f t="shared" si="103"/>
        <v>1.7894845994213401E-3</v>
      </c>
      <c r="U147" s="309">
        <f t="shared" si="104"/>
        <v>5.6594006043757874</v>
      </c>
      <c r="V147" s="311">
        <f t="shared" si="105"/>
        <v>6.4057630401618063E-2</v>
      </c>
      <c r="W147" s="309">
        <f t="shared" si="106"/>
        <v>6.4057630401618063E-2</v>
      </c>
      <c r="X147" s="309">
        <f t="shared" si="107"/>
        <v>5.6594006043757874</v>
      </c>
      <c r="Y147" s="309">
        <f t="shared" si="108"/>
        <v>1.6654983904420693</v>
      </c>
      <c r="Z147" s="309">
        <f t="shared" si="124"/>
        <v>0.12262527735189438</v>
      </c>
      <c r="AA147" s="309">
        <f t="shared" si="125"/>
        <v>6.9304499999999991E-2</v>
      </c>
      <c r="AB147" s="309">
        <f t="shared" si="126"/>
        <v>0</v>
      </c>
      <c r="AC147" s="309">
        <f t="shared" si="109"/>
        <v>2.9315916124139068</v>
      </c>
      <c r="AD147" s="309">
        <f t="shared" si="110"/>
        <v>8.7683048189836725</v>
      </c>
      <c r="AE147" s="309">
        <f t="shared" si="111"/>
        <v>0.76883169398612294</v>
      </c>
      <c r="AF147" s="309">
        <f t="shared" si="127"/>
        <v>0.13972499999999999</v>
      </c>
      <c r="AG147" s="309">
        <f t="shared" si="112"/>
        <v>1.0359979880900398</v>
      </c>
      <c r="AH147" s="309">
        <f t="shared" si="113"/>
        <v>0</v>
      </c>
      <c r="AI147">
        <f t="shared" si="128"/>
        <v>0</v>
      </c>
      <c r="AJ147" s="310">
        <f t="shared" si="129"/>
        <v>0.21827249999999998</v>
      </c>
      <c r="AK147">
        <f t="shared" si="134"/>
        <v>3.6000000000000004E-2</v>
      </c>
      <c r="AL147" s="310">
        <f t="shared" si="130"/>
        <v>3.0374999999999999E-2</v>
      </c>
      <c r="AM147" s="310">
        <f t="shared" si="135"/>
        <v>5.5427027027027023E-2</v>
      </c>
      <c r="AN147" s="310">
        <f t="shared" si="114"/>
        <v>6.6375000000000003E-2</v>
      </c>
      <c r="AO147" s="310">
        <f t="shared" si="115"/>
        <v>5.2076025943281072</v>
      </c>
      <c r="AP147">
        <f t="shared" si="131"/>
        <v>51.75</v>
      </c>
      <c r="AQ147" s="9">
        <f t="shared" si="116"/>
        <v>0.90857054445534746</v>
      </c>
      <c r="AR147" s="51">
        <f t="shared" si="117"/>
        <v>161.23753868276486</v>
      </c>
      <c r="AS147" s="51">
        <f t="shared" si="118"/>
        <v>41.439919523601596</v>
      </c>
      <c r="AT147" s="9"/>
      <c r="AU147">
        <f t="shared" si="119"/>
        <v>90.857054445534743</v>
      </c>
    </row>
    <row r="148" spans="7:47">
      <c r="G148">
        <v>139</v>
      </c>
      <c r="H148">
        <f t="shared" si="120"/>
        <v>10.424999999999999</v>
      </c>
      <c r="I148" s="309">
        <f t="shared" si="97"/>
        <v>0.29420088087164731</v>
      </c>
      <c r="J148" s="310">
        <f t="shared" si="121"/>
        <v>4.6358926682805031</v>
      </c>
      <c r="K148" s="310">
        <f t="shared" si="132"/>
        <v>12.74294633414025</v>
      </c>
      <c r="L148" s="310">
        <f t="shared" si="98"/>
        <v>8.1070536658597483</v>
      </c>
      <c r="M148" s="51">
        <f t="shared" si="122"/>
        <v>0</v>
      </c>
      <c r="N148" s="309">
        <f t="shared" si="99"/>
        <v>10.510546294206186</v>
      </c>
      <c r="O148" s="309">
        <f t="shared" si="100"/>
        <v>0.69994503800464547</v>
      </c>
      <c r="P148">
        <f t="shared" si="123"/>
        <v>0.2</v>
      </c>
      <c r="Q148" s="309">
        <f t="shared" si="133"/>
        <v>0.89994503800464543</v>
      </c>
      <c r="R148" s="8">
        <f t="shared" si="101"/>
        <v>1.3382669399829805</v>
      </c>
      <c r="S148" s="8">
        <f t="shared" si="102"/>
        <v>1.7909584026514105E-3</v>
      </c>
      <c r="T148" s="8">
        <f t="shared" si="103"/>
        <v>1.7909584026514105E-3</v>
      </c>
      <c r="U148" s="309">
        <f t="shared" si="104"/>
        <v>5.7009505477898763</v>
      </c>
      <c r="V148" s="311">
        <f t="shared" si="105"/>
        <v>6.5001674296691375E-2</v>
      </c>
      <c r="W148" s="309">
        <f t="shared" si="106"/>
        <v>6.5001674296691375E-2</v>
      </c>
      <c r="X148" s="309">
        <f t="shared" si="107"/>
        <v>5.7009505477898763</v>
      </c>
      <c r="Y148" s="309">
        <f t="shared" si="108"/>
        <v>1.6900435317139757</v>
      </c>
      <c r="Z148" s="309">
        <f t="shared" si="124"/>
        <v>0.12360135340631132</v>
      </c>
      <c r="AA148" s="309">
        <f t="shared" si="125"/>
        <v>6.9304499999999991E-2</v>
      </c>
      <c r="AB148" s="309">
        <f t="shared" si="126"/>
        <v>0</v>
      </c>
      <c r="AC148" s="309">
        <f t="shared" si="109"/>
        <v>2.9974181651151501</v>
      </c>
      <c r="AD148" s="309">
        <f t="shared" si="110"/>
        <v>8.8301045437925421</v>
      </c>
      <c r="AE148" s="309">
        <f t="shared" si="111"/>
        <v>0.77970746254305701</v>
      </c>
      <c r="AF148" s="309">
        <f t="shared" si="127"/>
        <v>0.14073749999999999</v>
      </c>
      <c r="AG148" s="309">
        <f t="shared" si="112"/>
        <v>1.0516404701399182</v>
      </c>
      <c r="AH148" s="309">
        <f t="shared" si="113"/>
        <v>0</v>
      </c>
      <c r="AI148">
        <f t="shared" si="128"/>
        <v>0</v>
      </c>
      <c r="AJ148" s="310">
        <f t="shared" si="129"/>
        <v>0.21822374999999997</v>
      </c>
      <c r="AK148">
        <f t="shared" si="134"/>
        <v>3.6000000000000004E-2</v>
      </c>
      <c r="AL148" s="310">
        <f t="shared" si="130"/>
        <v>3.0374999999999999E-2</v>
      </c>
      <c r="AM148" s="310">
        <f t="shared" si="135"/>
        <v>5.5427027027027023E-2</v>
      </c>
      <c r="AN148" s="310">
        <f t="shared" si="114"/>
        <v>6.6375000000000003E-2</v>
      </c>
      <c r="AO148" s="310">
        <f t="shared" si="115"/>
        <v>5.300395055959056</v>
      </c>
      <c r="AP148">
        <f t="shared" si="131"/>
        <v>52.124999999999993</v>
      </c>
      <c r="AQ148" s="9">
        <f t="shared" si="116"/>
        <v>0.907699458561948</v>
      </c>
      <c r="AR148" s="51">
        <f t="shared" si="117"/>
        <v>164.85799908133325</v>
      </c>
      <c r="AS148" s="51">
        <f t="shared" si="118"/>
        <v>42.065618805596728</v>
      </c>
      <c r="AT148" s="9"/>
      <c r="AU148">
        <f t="shared" si="119"/>
        <v>90.769945856194795</v>
      </c>
    </row>
    <row r="149" spans="7:47">
      <c r="G149">
        <v>140</v>
      </c>
      <c r="H149">
        <f t="shared" si="120"/>
        <v>10.5</v>
      </c>
      <c r="I149" s="309">
        <f t="shared" si="97"/>
        <v>0.29432200011390169</v>
      </c>
      <c r="J149" s="310">
        <f t="shared" si="121"/>
        <v>4.6378012139160267</v>
      </c>
      <c r="K149" s="310">
        <f t="shared" si="132"/>
        <v>12.818900606958014</v>
      </c>
      <c r="L149" s="310">
        <f t="shared" si="98"/>
        <v>8.1810993930419862</v>
      </c>
      <c r="M149" s="51">
        <f t="shared" si="122"/>
        <v>0</v>
      </c>
      <c r="N149" s="309">
        <f t="shared" si="99"/>
        <v>10.585009841358206</v>
      </c>
      <c r="O149" s="309">
        <f t="shared" si="100"/>
        <v>0.71046359356527977</v>
      </c>
      <c r="P149">
        <f t="shared" si="123"/>
        <v>0.2</v>
      </c>
      <c r="Q149" s="309">
        <f t="shared" si="133"/>
        <v>0.91046359356527984</v>
      </c>
      <c r="R149" s="8">
        <f t="shared" si="101"/>
        <v>1.3388178896511957</v>
      </c>
      <c r="S149" s="8">
        <f t="shared" si="102"/>
        <v>1.7924333416500812E-3</v>
      </c>
      <c r="T149" s="8">
        <f t="shared" si="103"/>
        <v>1.7924333416500812E-3</v>
      </c>
      <c r="U149" s="309">
        <f t="shared" si="104"/>
        <v>5.742521491360999</v>
      </c>
      <c r="V149" s="311">
        <f t="shared" si="105"/>
        <v>6.5953106157485911E-2</v>
      </c>
      <c r="W149" s="309">
        <f t="shared" si="106"/>
        <v>6.5953106157485911E-2</v>
      </c>
      <c r="X149" s="309">
        <f t="shared" si="107"/>
        <v>5.742521491360999</v>
      </c>
      <c r="Y149" s="309">
        <f t="shared" si="108"/>
        <v>1.7147807600946334</v>
      </c>
      <c r="Z149" s="309">
        <f t="shared" si="124"/>
        <v>0.12457742756986737</v>
      </c>
      <c r="AA149" s="309">
        <f t="shared" si="125"/>
        <v>6.9304499999999991E-2</v>
      </c>
      <c r="AB149" s="309">
        <f t="shared" si="126"/>
        <v>0</v>
      </c>
      <c r="AC149" s="309">
        <f t="shared" si="109"/>
        <v>3.0649026158558215</v>
      </c>
      <c r="AD149" s="309">
        <f t="shared" si="110"/>
        <v>8.8918996993278725</v>
      </c>
      <c r="AE149" s="309">
        <f t="shared" si="111"/>
        <v>0.79065880262907118</v>
      </c>
      <c r="AF149" s="309">
        <f t="shared" si="127"/>
        <v>0.14174999999999999</v>
      </c>
      <c r="AG149" s="309">
        <f t="shared" si="112"/>
        <v>1.0674465664901265</v>
      </c>
      <c r="AH149" s="309">
        <f t="shared" si="113"/>
        <v>0</v>
      </c>
      <c r="AI149">
        <f t="shared" si="128"/>
        <v>0</v>
      </c>
      <c r="AJ149" s="310">
        <f t="shared" si="129"/>
        <v>0.21817499999999998</v>
      </c>
      <c r="AK149">
        <f t="shared" si="134"/>
        <v>3.6000000000000004E-2</v>
      </c>
      <c r="AL149" s="310">
        <f t="shared" si="130"/>
        <v>3.0374999999999999E-2</v>
      </c>
      <c r="AM149" s="310">
        <f t="shared" si="135"/>
        <v>5.5427027027027023E-2</v>
      </c>
      <c r="AN149" s="310">
        <f t="shared" si="114"/>
        <v>6.6375000000000003E-2</v>
      </c>
      <c r="AO149" s="310">
        <f t="shared" si="115"/>
        <v>5.3951083154103632</v>
      </c>
      <c r="AP149">
        <f t="shared" si="131"/>
        <v>52.5</v>
      </c>
      <c r="AQ149" s="9">
        <f t="shared" si="116"/>
        <v>0.90681236338624649</v>
      </c>
      <c r="AR149" s="51">
        <f t="shared" si="117"/>
        <v>168.56964387207017</v>
      </c>
      <c r="AS149" s="51">
        <f t="shared" si="118"/>
        <v>42.697862659605057</v>
      </c>
      <c r="AT149" s="9"/>
      <c r="AU149">
        <f t="shared" si="119"/>
        <v>90.681236338624643</v>
      </c>
    </row>
    <row r="150" spans="7:47">
      <c r="G150">
        <v>141</v>
      </c>
      <c r="H150">
        <f t="shared" si="120"/>
        <v>10.574999999999999</v>
      </c>
      <c r="I150" s="309">
        <f t="shared" si="97"/>
        <v>0.29444316282037036</v>
      </c>
      <c r="J150" s="310">
        <f t="shared" si="121"/>
        <v>4.6397104444422004</v>
      </c>
      <c r="K150" s="310">
        <f t="shared" si="132"/>
        <v>12.8948552222211</v>
      </c>
      <c r="L150" s="310">
        <f t="shared" si="98"/>
        <v>8.2551447777788987</v>
      </c>
      <c r="M150" s="51">
        <f t="shared" si="122"/>
        <v>0</v>
      </c>
      <c r="N150" s="309">
        <f t="shared" si="99"/>
        <v>10.659480963787848</v>
      </c>
      <c r="O150" s="309">
        <f t="shared" si="100"/>
        <v>0.72107444562292877</v>
      </c>
      <c r="P150">
        <f t="shared" si="123"/>
        <v>0.2</v>
      </c>
      <c r="Q150" s="309">
        <f t="shared" si="133"/>
        <v>0.92107444562292873</v>
      </c>
      <c r="R150" s="8">
        <f t="shared" si="101"/>
        <v>1.3393690370303113</v>
      </c>
      <c r="S150" s="8">
        <f t="shared" si="102"/>
        <v>1.7939094173555035E-3</v>
      </c>
      <c r="T150" s="8">
        <f t="shared" si="103"/>
        <v>1.7939094173555035E-3</v>
      </c>
      <c r="U150" s="309">
        <f t="shared" si="104"/>
        <v>5.7841133536470553</v>
      </c>
      <c r="V150" s="311">
        <f t="shared" si="105"/>
        <v>6.6911934575676374E-2</v>
      </c>
      <c r="W150" s="309">
        <f t="shared" si="106"/>
        <v>6.6911934575676374E-2</v>
      </c>
      <c r="X150" s="309">
        <f t="shared" si="107"/>
        <v>5.7841133536470553</v>
      </c>
      <c r="Y150" s="309">
        <f t="shared" si="108"/>
        <v>1.7397102989675854</v>
      </c>
      <c r="Z150" s="309">
        <f t="shared" si="124"/>
        <v>0.12555349984154465</v>
      </c>
      <c r="AA150" s="309">
        <f t="shared" si="125"/>
        <v>6.9304499999999991E-2</v>
      </c>
      <c r="AB150" s="309">
        <f t="shared" si="126"/>
        <v>0</v>
      </c>
      <c r="AC150" s="309">
        <f t="shared" si="109"/>
        <v>3.1341032876836361</v>
      </c>
      <c r="AD150" s="309">
        <f t="shared" si="110"/>
        <v>8.9536901403565068</v>
      </c>
      <c r="AE150" s="309">
        <f t="shared" si="111"/>
        <v>0.80168567129517332</v>
      </c>
      <c r="AF150" s="309">
        <f t="shared" si="127"/>
        <v>0.14276249999999999</v>
      </c>
      <c r="AG150" s="309">
        <f t="shared" si="112"/>
        <v>1.0834178636675773</v>
      </c>
      <c r="AH150" s="309">
        <f t="shared" si="113"/>
        <v>0</v>
      </c>
      <c r="AI150">
        <f t="shared" si="128"/>
        <v>0</v>
      </c>
      <c r="AJ150" s="310">
        <f t="shared" si="129"/>
        <v>0.21812624999999997</v>
      </c>
      <c r="AK150">
        <f t="shared" si="134"/>
        <v>3.6000000000000004E-2</v>
      </c>
      <c r="AL150" s="310">
        <f t="shared" si="130"/>
        <v>3.0374999999999999E-2</v>
      </c>
      <c r="AM150" s="310">
        <f t="shared" si="135"/>
        <v>5.5427027027027023E-2</v>
      </c>
      <c r="AN150" s="310">
        <f t="shared" si="114"/>
        <v>6.6375000000000003E-2</v>
      </c>
      <c r="AO150" s="310">
        <f t="shared" si="115"/>
        <v>5.491802690967174</v>
      </c>
      <c r="AP150">
        <f t="shared" si="131"/>
        <v>52.875</v>
      </c>
      <c r="AQ150" s="9">
        <f t="shared" si="116"/>
        <v>0.90590879681992442</v>
      </c>
      <c r="AR150" s="51">
        <f t="shared" si="117"/>
        <v>172.37568082259997</v>
      </c>
      <c r="AS150" s="51">
        <f t="shared" si="118"/>
        <v>43.336714546703092</v>
      </c>
      <c r="AT150" s="9"/>
      <c r="AU150">
        <f t="shared" si="119"/>
        <v>90.590879681992448</v>
      </c>
    </row>
    <row r="151" spans="7:47">
      <c r="G151">
        <v>142</v>
      </c>
      <c r="H151">
        <f t="shared" si="120"/>
        <v>10.649999999999999</v>
      </c>
      <c r="I151" s="309">
        <f t="shared" si="97"/>
        <v>0.2945643690144536</v>
      </c>
      <c r="J151" s="310">
        <f t="shared" si="121"/>
        <v>4.6416203602277539</v>
      </c>
      <c r="K151" s="310">
        <f t="shared" si="132"/>
        <v>12.970810180113876</v>
      </c>
      <c r="L151" s="310">
        <f t="shared" si="98"/>
        <v>8.3291898198861212</v>
      </c>
      <c r="M151" s="51">
        <f t="shared" si="122"/>
        <v>0</v>
      </c>
      <c r="N151" s="309">
        <f t="shared" si="99"/>
        <v>10.733959503869329</v>
      </c>
      <c r="O151" s="309">
        <f t="shared" si="100"/>
        <v>0.73177799874330485</v>
      </c>
      <c r="P151">
        <f t="shared" si="123"/>
        <v>0.2</v>
      </c>
      <c r="Q151" s="309">
        <f t="shared" si="133"/>
        <v>0.9317779987433048</v>
      </c>
      <c r="R151" s="8">
        <f t="shared" si="101"/>
        <v>1.3399203822267709</v>
      </c>
      <c r="S151" s="8">
        <f t="shared" si="102"/>
        <v>1.7953866307067359E-3</v>
      </c>
      <c r="T151" s="8">
        <f t="shared" si="103"/>
        <v>1.7953866307067359E-3</v>
      </c>
      <c r="U151" s="309">
        <f t="shared" si="104"/>
        <v>5.8257260555704962</v>
      </c>
      <c r="V151" s="311">
        <f t="shared" si="105"/>
        <v>6.7878168149105952E-2</v>
      </c>
      <c r="W151" s="309">
        <f t="shared" si="106"/>
        <v>6.7878168149105952E-2</v>
      </c>
      <c r="X151" s="309">
        <f t="shared" si="107"/>
        <v>5.8257260555704962</v>
      </c>
      <c r="Y151" s="309">
        <f t="shared" si="108"/>
        <v>1.7648323718767545</v>
      </c>
      <c r="Z151" s="309">
        <f t="shared" si="124"/>
        <v>0.12652957022032468</v>
      </c>
      <c r="AA151" s="309">
        <f t="shared" si="125"/>
        <v>6.9304499999999991E-2</v>
      </c>
      <c r="AB151" s="309">
        <f t="shared" si="126"/>
        <v>0</v>
      </c>
      <c r="AC151" s="309">
        <f t="shared" si="109"/>
        <v>3.2050813217400367</v>
      </c>
      <c r="AD151" s="309">
        <f t="shared" si="110"/>
        <v>9.015475725448642</v>
      </c>
      <c r="AE151" s="309">
        <f t="shared" si="111"/>
        <v>0.81278802556153718</v>
      </c>
      <c r="AF151" s="309">
        <f t="shared" si="127"/>
        <v>0.14377499999999999</v>
      </c>
      <c r="AG151" s="309">
        <f t="shared" si="112"/>
        <v>1.0995559742503969</v>
      </c>
      <c r="AH151" s="309">
        <f t="shared" si="113"/>
        <v>0</v>
      </c>
      <c r="AI151">
        <f t="shared" si="128"/>
        <v>0</v>
      </c>
      <c r="AJ151" s="310">
        <f t="shared" si="129"/>
        <v>0.21807750000000001</v>
      </c>
      <c r="AK151">
        <f t="shared" si="134"/>
        <v>3.6000000000000004E-2</v>
      </c>
      <c r="AL151" s="310">
        <f t="shared" si="130"/>
        <v>3.0374999999999999E-2</v>
      </c>
      <c r="AM151" s="310">
        <f t="shared" si="135"/>
        <v>5.5427027027027023E-2</v>
      </c>
      <c r="AN151" s="310">
        <f t="shared" si="114"/>
        <v>6.6375000000000003E-2</v>
      </c>
      <c r="AO151" s="310">
        <f t="shared" si="115"/>
        <v>5.5905413495135496</v>
      </c>
      <c r="AP151">
        <f t="shared" si="131"/>
        <v>53.249999999999993</v>
      </c>
      <c r="AQ151" s="9">
        <f t="shared" si="116"/>
        <v>0.90498827472871701</v>
      </c>
      <c r="AR151" s="51">
        <f t="shared" si="117"/>
        <v>176.27947269570203</v>
      </c>
      <c r="AS151" s="51">
        <f t="shared" si="118"/>
        <v>43.982238970015871</v>
      </c>
      <c r="AT151" s="9"/>
      <c r="AU151">
        <f t="shared" si="119"/>
        <v>90.498827472871696</v>
      </c>
    </row>
    <row r="152" spans="7:47">
      <c r="G152">
        <v>143</v>
      </c>
      <c r="H152">
        <f t="shared" si="120"/>
        <v>10.725</v>
      </c>
      <c r="I152" s="309">
        <f t="shared" si="97"/>
        <v>0.29468561871956828</v>
      </c>
      <c r="J152" s="310">
        <f t="shared" si="121"/>
        <v>4.643530961641682</v>
      </c>
      <c r="K152" s="310">
        <f t="shared" si="132"/>
        <v>13.046765480820842</v>
      </c>
      <c r="L152" s="310">
        <f t="shared" si="98"/>
        <v>8.4032345191791578</v>
      </c>
      <c r="M152" s="51">
        <f t="shared" si="122"/>
        <v>0</v>
      </c>
      <c r="N152" s="309">
        <f t="shared" si="99"/>
        <v>10.80844530830608</v>
      </c>
      <c r="O152" s="309">
        <f t="shared" si="100"/>
        <v>0.74257466198096789</v>
      </c>
      <c r="P152">
        <f t="shared" si="123"/>
        <v>0.2</v>
      </c>
      <c r="Q152" s="309">
        <f t="shared" si="133"/>
        <v>0.94257466198096784</v>
      </c>
      <c r="R152" s="8">
        <f t="shared" si="101"/>
        <v>1.3404719253470936</v>
      </c>
      <c r="S152" s="8">
        <f t="shared" si="102"/>
        <v>1.7968649826437439E-3</v>
      </c>
      <c r="T152" s="8">
        <f t="shared" si="103"/>
        <v>1.7968649826437439E-3</v>
      </c>
      <c r="U152" s="309">
        <f t="shared" si="104"/>
        <v>5.8673595203375708</v>
      </c>
      <c r="V152" s="311">
        <f t="shared" si="105"/>
        <v>6.8851815481791867E-2</v>
      </c>
      <c r="W152" s="309">
        <f t="shared" si="106"/>
        <v>6.8851815481791867E-2</v>
      </c>
      <c r="X152" s="309">
        <f t="shared" si="107"/>
        <v>5.8673595203375708</v>
      </c>
      <c r="Y152" s="309">
        <f t="shared" si="108"/>
        <v>1.7901472025265883</v>
      </c>
      <c r="Z152" s="309">
        <f t="shared" si="124"/>
        <v>0.12750563870518825</v>
      </c>
      <c r="AA152" s="309">
        <f t="shared" si="125"/>
        <v>6.9304499999999991E-2</v>
      </c>
      <c r="AB152" s="309">
        <f t="shared" si="126"/>
        <v>0</v>
      </c>
      <c r="AC152" s="309">
        <f t="shared" si="109"/>
        <v>3.2779008488863184</v>
      </c>
      <c r="AD152" s="309">
        <f t="shared" si="110"/>
        <v>9.077256316847496</v>
      </c>
      <c r="AE152" s="309">
        <f t="shared" si="111"/>
        <v>0.82396582241747762</v>
      </c>
      <c r="AF152" s="309">
        <f t="shared" si="127"/>
        <v>0.14478749999999999</v>
      </c>
      <c r="AG152" s="309">
        <f t="shared" si="112"/>
        <v>1.1158625373433986</v>
      </c>
      <c r="AH152" s="309">
        <f t="shared" si="113"/>
        <v>0</v>
      </c>
      <c r="AI152">
        <f t="shared" si="128"/>
        <v>0</v>
      </c>
      <c r="AJ152" s="310">
        <f t="shared" si="129"/>
        <v>0.21802874999999997</v>
      </c>
      <c r="AK152">
        <f t="shared" si="134"/>
        <v>3.6000000000000004E-2</v>
      </c>
      <c r="AL152" s="310">
        <f t="shared" si="130"/>
        <v>3.0374999999999999E-2</v>
      </c>
      <c r="AM152" s="310">
        <f t="shared" si="135"/>
        <v>5.5427027027027023E-2</v>
      </c>
      <c r="AN152" s="310">
        <f t="shared" si="114"/>
        <v>6.6375000000000003E-2</v>
      </c>
      <c r="AO152" s="310">
        <f t="shared" si="115"/>
        <v>5.6913904786751202</v>
      </c>
      <c r="AP152">
        <f t="shared" si="131"/>
        <v>53.625</v>
      </c>
      <c r="AQ152" s="9">
        <f t="shared" si="116"/>
        <v>0.90405028976398638</v>
      </c>
      <c r="AR152" s="51">
        <f t="shared" si="117"/>
        <v>180.28454668874753</v>
      </c>
      <c r="AS152" s="51">
        <f t="shared" si="118"/>
        <v>44.634501493735939</v>
      </c>
      <c r="AT152" s="9"/>
      <c r="AU152">
        <f t="shared" si="119"/>
        <v>90.40502897639864</v>
      </c>
    </row>
    <row r="153" spans="7:47">
      <c r="G153">
        <v>144</v>
      </c>
      <c r="H153">
        <f t="shared" si="120"/>
        <v>10.799999999999999</v>
      </c>
      <c r="I153" s="309">
        <f t="shared" si="97"/>
        <v>0.29480691195914827</v>
      </c>
      <c r="J153" s="310">
        <f t="shared" si="121"/>
        <v>4.6454422490532457</v>
      </c>
      <c r="K153" s="310">
        <f t="shared" si="132"/>
        <v>13.122721124526622</v>
      </c>
      <c r="L153" s="310">
        <f t="shared" si="98"/>
        <v>8.4772788754733757</v>
      </c>
      <c r="M153" s="51">
        <f t="shared" si="122"/>
        <v>0</v>
      </c>
      <c r="N153" s="309">
        <f t="shared" si="99"/>
        <v>10.882938227983626</v>
      </c>
      <c r="O153" s="309">
        <f t="shared" si="100"/>
        <v>0.75346484892094701</v>
      </c>
      <c r="P153">
        <f t="shared" si="123"/>
        <v>0.2</v>
      </c>
      <c r="Q153" s="309">
        <f t="shared" si="133"/>
        <v>0.95346484892094696</v>
      </c>
      <c r="R153" s="8">
        <f t="shared" si="101"/>
        <v>1.3410236664978761</v>
      </c>
      <c r="S153" s="8">
        <f t="shared" si="102"/>
        <v>1.7983444741074069E-3</v>
      </c>
      <c r="T153" s="8">
        <f t="shared" si="103"/>
        <v>1.7983444741074069E-3</v>
      </c>
      <c r="U153" s="309">
        <f t="shared" si="104"/>
        <v>5.909013673360846</v>
      </c>
      <c r="V153" s="311">
        <f t="shared" si="105"/>
        <v>6.9832885183930882E-2</v>
      </c>
      <c r="W153" s="309">
        <f t="shared" si="106"/>
        <v>6.9832885183930882E-2</v>
      </c>
      <c r="X153" s="309">
        <f t="shared" si="107"/>
        <v>5.909013673360846</v>
      </c>
      <c r="Y153" s="309">
        <f t="shared" si="108"/>
        <v>1.8156550147822028</v>
      </c>
      <c r="Z153" s="309">
        <f t="shared" si="124"/>
        <v>0.12848170529511521</v>
      </c>
      <c r="AA153" s="309">
        <f t="shared" si="125"/>
        <v>6.9304499999999991E-2</v>
      </c>
      <c r="AB153" s="309">
        <f t="shared" si="126"/>
        <v>0</v>
      </c>
      <c r="AC153" s="309">
        <f t="shared" si="109"/>
        <v>3.3526291740375069</v>
      </c>
      <c r="AD153" s="309">
        <f t="shared" si="110"/>
        <v>9.1390317803442347</v>
      </c>
      <c r="AE153" s="309">
        <f t="shared" si="111"/>
        <v>0.83521901882141925</v>
      </c>
      <c r="AF153" s="309">
        <f t="shared" si="127"/>
        <v>0.14579999999999999</v>
      </c>
      <c r="AG153" s="309">
        <f t="shared" si="112"/>
        <v>1.1323392190646493</v>
      </c>
      <c r="AH153" s="309">
        <f t="shared" si="113"/>
        <v>0</v>
      </c>
      <c r="AI153">
        <f t="shared" si="128"/>
        <v>0</v>
      </c>
      <c r="AJ153" s="310">
        <f t="shared" si="129"/>
        <v>0.21798000000000001</v>
      </c>
      <c r="AK153">
        <f t="shared" si="134"/>
        <v>3.6000000000000004E-2</v>
      </c>
      <c r="AL153" s="310">
        <f t="shared" si="130"/>
        <v>3.0374999999999999E-2</v>
      </c>
      <c r="AM153" s="310">
        <f t="shared" si="135"/>
        <v>5.5427027027027023E-2</v>
      </c>
      <c r="AN153" s="310">
        <f t="shared" si="114"/>
        <v>6.6375000000000003E-2</v>
      </c>
      <c r="AO153" s="310">
        <f t="shared" si="115"/>
        <v>5.7944194716811408</v>
      </c>
      <c r="AP153">
        <f t="shared" si="131"/>
        <v>53.999999999999993</v>
      </c>
      <c r="AQ153" s="9">
        <f t="shared" si="116"/>
        <v>0.90309431008983376</v>
      </c>
      <c r="AR153" s="51">
        <f t="shared" si="117"/>
        <v>184.39460457206289</v>
      </c>
      <c r="AS153" s="51">
        <f t="shared" si="118"/>
        <v>45.29356876258597</v>
      </c>
      <c r="AT153" s="9"/>
      <c r="AU153">
        <f t="shared" si="119"/>
        <v>90.309431008983381</v>
      </c>
    </row>
    <row r="154" spans="7:47">
      <c r="G154">
        <v>145</v>
      </c>
      <c r="H154">
        <f t="shared" si="120"/>
        <v>10.875</v>
      </c>
      <c r="I154" s="309">
        <f t="shared" si="97"/>
        <v>0.29492824875664425</v>
      </c>
      <c r="J154" s="310">
        <f t="shared" si="121"/>
        <v>4.6473542228319706</v>
      </c>
      <c r="K154" s="310">
        <f t="shared" si="132"/>
        <v>13.198677111415986</v>
      </c>
      <c r="L154" s="310">
        <f t="shared" si="98"/>
        <v>8.5513228885840142</v>
      </c>
      <c r="M154" s="51">
        <f t="shared" si="122"/>
        <v>0</v>
      </c>
      <c r="N154" s="309">
        <f t="shared" si="99"/>
        <v>10.957438117828433</v>
      </c>
      <c r="O154" s="309">
        <f t="shared" si="100"/>
        <v>0.76444897772095799</v>
      </c>
      <c r="P154">
        <f t="shared" si="123"/>
        <v>0.2</v>
      </c>
      <c r="Q154" s="309">
        <f t="shared" si="133"/>
        <v>0.96444897772095795</v>
      </c>
      <c r="R154" s="8">
        <f t="shared" si="101"/>
        <v>1.3415756057857913</v>
      </c>
      <c r="S154" s="8">
        <f t="shared" si="102"/>
        <v>1.7998251060395128E-3</v>
      </c>
      <c r="T154" s="8">
        <f t="shared" si="103"/>
        <v>1.7998251060395128E-3</v>
      </c>
      <c r="U154" s="309">
        <f t="shared" si="104"/>
        <v>5.9506884421848598</v>
      </c>
      <c r="V154" s="311">
        <f t="shared" si="105"/>
        <v>7.0821385871904952E-2</v>
      </c>
      <c r="W154" s="309">
        <f t="shared" si="106"/>
        <v>7.0821385871904952E-2</v>
      </c>
      <c r="X154" s="309">
        <f t="shared" si="107"/>
        <v>5.9506884421848598</v>
      </c>
      <c r="Y154" s="309">
        <f t="shared" si="108"/>
        <v>1.8413560326695286</v>
      </c>
      <c r="Z154" s="309">
        <f t="shared" si="124"/>
        <v>0.12945776998908493</v>
      </c>
      <c r="AA154" s="309">
        <f t="shared" si="125"/>
        <v>6.9304499999999991E-2</v>
      </c>
      <c r="AB154" s="309">
        <f t="shared" si="126"/>
        <v>0</v>
      </c>
      <c r="AC154" s="309">
        <f t="shared" si="109"/>
        <v>3.4293369743152757</v>
      </c>
      <c r="AD154" s="309">
        <f t="shared" si="110"/>
        <v>9.2008019851579803</v>
      </c>
      <c r="AE154" s="309">
        <f t="shared" si="111"/>
        <v>0.84654757170087036</v>
      </c>
      <c r="AF154" s="309">
        <f t="shared" si="127"/>
        <v>0.14681249999999998</v>
      </c>
      <c r="AG154" s="309">
        <f t="shared" si="112"/>
        <v>1.1489877130434401</v>
      </c>
      <c r="AH154" s="309">
        <f t="shared" si="113"/>
        <v>0</v>
      </c>
      <c r="AI154">
        <f t="shared" si="128"/>
        <v>0</v>
      </c>
      <c r="AJ154" s="310">
        <f t="shared" si="129"/>
        <v>0.21793124999999999</v>
      </c>
      <c r="AK154">
        <f t="shared" si="134"/>
        <v>3.6000000000000004E-2</v>
      </c>
      <c r="AL154" s="310">
        <f t="shared" si="130"/>
        <v>3.0374999999999999E-2</v>
      </c>
      <c r="AM154" s="310">
        <f t="shared" si="135"/>
        <v>5.5427027027027023E-2</v>
      </c>
      <c r="AN154" s="310">
        <f t="shared" si="114"/>
        <v>6.6375000000000003E-2</v>
      </c>
      <c r="AO154" s="310">
        <f t="shared" si="115"/>
        <v>5.8997011260576189</v>
      </c>
      <c r="AP154">
        <f t="shared" si="131"/>
        <v>54.375</v>
      </c>
      <c r="AQ154" s="9">
        <f t="shared" si="116"/>
        <v>0.9021197780189889</v>
      </c>
      <c r="AR154" s="51">
        <f t="shared" si="117"/>
        <v>188.61353358734016</v>
      </c>
      <c r="AS154" s="51">
        <f t="shared" si="118"/>
        <v>45.959508521737604</v>
      </c>
      <c r="AT154" s="9"/>
      <c r="AU154">
        <f t="shared" si="119"/>
        <v>90.211977801898897</v>
      </c>
    </row>
    <row r="155" spans="7:47">
      <c r="G155">
        <v>146</v>
      </c>
      <c r="H155">
        <f t="shared" si="120"/>
        <v>10.95</v>
      </c>
      <c r="I155" s="309">
        <f t="shared" si="97"/>
        <v>0.29504962913552374</v>
      </c>
      <c r="J155" s="310">
        <f t="shared" si="121"/>
        <v>4.6492668833476465</v>
      </c>
      <c r="K155" s="310">
        <f t="shared" si="132"/>
        <v>13.274633441673823</v>
      </c>
      <c r="L155" s="310">
        <f t="shared" si="98"/>
        <v>8.625366558326176</v>
      </c>
      <c r="M155" s="51">
        <f t="shared" si="122"/>
        <v>0</v>
      </c>
      <c r="N155" s="309">
        <f t="shared" si="99"/>
        <v>11.031944836672396</v>
      </c>
      <c r="O155" s="309">
        <f t="shared" si="100"/>
        <v>0.77552747115422105</v>
      </c>
      <c r="P155">
        <f t="shared" si="123"/>
        <v>0.2</v>
      </c>
      <c r="Q155" s="309">
        <f t="shared" si="133"/>
        <v>0.975527471154221</v>
      </c>
      <c r="R155" s="8">
        <f t="shared" si="101"/>
        <v>1.3421277433175882</v>
      </c>
      <c r="S155" s="8">
        <f t="shared" si="102"/>
        <v>1.8013068793827621E-3</v>
      </c>
      <c r="T155" s="8">
        <f t="shared" si="103"/>
        <v>1.8013068793827621E-3</v>
      </c>
      <c r="U155" s="309">
        <f t="shared" si="104"/>
        <v>5.9923837564147444</v>
      </c>
      <c r="V155" s="311">
        <f t="shared" si="105"/>
        <v>7.1817326168286566E-2</v>
      </c>
      <c r="W155" s="309">
        <f t="shared" si="106"/>
        <v>7.1817326168286566E-2</v>
      </c>
      <c r="X155" s="309">
        <f t="shared" si="107"/>
        <v>5.9923837564147444</v>
      </c>
      <c r="Y155" s="309">
        <f t="shared" si="108"/>
        <v>1.8672504803754508</v>
      </c>
      <c r="Z155" s="309">
        <f t="shared" si="124"/>
        <v>0.13043383278607584</v>
      </c>
      <c r="AA155" s="309">
        <f t="shared" si="125"/>
        <v>6.9304499999999991E-2</v>
      </c>
      <c r="AB155" s="309">
        <f t="shared" si="126"/>
        <v>0</v>
      </c>
      <c r="AC155" s="309">
        <f t="shared" si="109"/>
        <v>3.5080985122436088</v>
      </c>
      <c r="AD155" s="309">
        <f t="shared" si="110"/>
        <v>9.2625668038206044</v>
      </c>
      <c r="AE155" s="309">
        <f t="shared" si="111"/>
        <v>0.85795143795239437</v>
      </c>
      <c r="AF155" s="309">
        <f t="shared" si="127"/>
        <v>0.14782499999999998</v>
      </c>
      <c r="AG155" s="309">
        <f t="shared" si="112"/>
        <v>1.1658097409299566</v>
      </c>
      <c r="AH155" s="309">
        <f t="shared" si="113"/>
        <v>0</v>
      </c>
      <c r="AI155">
        <f t="shared" si="128"/>
        <v>0</v>
      </c>
      <c r="AJ155" s="310">
        <f t="shared" si="129"/>
        <v>0.21788249999999995</v>
      </c>
      <c r="AK155">
        <f t="shared" si="134"/>
        <v>3.6000000000000004E-2</v>
      </c>
      <c r="AL155" s="310">
        <f t="shared" si="130"/>
        <v>3.0374999999999999E-2</v>
      </c>
      <c r="AM155" s="310">
        <f t="shared" si="135"/>
        <v>5.5427027027027023E-2</v>
      </c>
      <c r="AN155" s="310">
        <f t="shared" si="114"/>
        <v>6.6375000000000003E-2</v>
      </c>
      <c r="AO155" s="310">
        <f t="shared" si="115"/>
        <v>6.0073118573754556</v>
      </c>
      <c r="AP155">
        <f t="shared" si="131"/>
        <v>54.75</v>
      </c>
      <c r="AQ155" s="9">
        <f t="shared" si="116"/>
        <v>0.9011261085500738</v>
      </c>
      <c r="AR155" s="51">
        <f t="shared" si="117"/>
        <v>192.94541817339848</v>
      </c>
      <c r="AS155" s="51">
        <f t="shared" si="118"/>
        <v>46.632389637198266</v>
      </c>
      <c r="AT155" s="9"/>
      <c r="AU155">
        <f t="shared" si="119"/>
        <v>90.112610855007375</v>
      </c>
    </row>
    <row r="156" spans="7:47">
      <c r="G156">
        <v>147</v>
      </c>
      <c r="H156">
        <f t="shared" si="120"/>
        <v>11.025</v>
      </c>
      <c r="I156" s="309">
        <f t="shared" si="97"/>
        <v>0.295171053119271</v>
      </c>
      <c r="J156" s="310">
        <f t="shared" si="121"/>
        <v>4.651180230970331</v>
      </c>
      <c r="K156" s="310">
        <f t="shared" si="132"/>
        <v>13.350590115485165</v>
      </c>
      <c r="L156" s="310">
        <f t="shared" si="98"/>
        <v>8.6994098845148358</v>
      </c>
      <c r="M156" s="51">
        <f t="shared" si="122"/>
        <v>0</v>
      </c>
      <c r="N156" s="309">
        <f t="shared" si="99"/>
        <v>11.106458247122742</v>
      </c>
      <c r="O156" s="309">
        <f t="shared" si="100"/>
        <v>0.7867007566528883</v>
      </c>
      <c r="P156">
        <f t="shared" si="123"/>
        <v>0.2</v>
      </c>
      <c r="Q156" s="309">
        <f t="shared" si="133"/>
        <v>0.98670075665288826</v>
      </c>
      <c r="R156" s="8">
        <f t="shared" si="101"/>
        <v>1.3426800792000932</v>
      </c>
      <c r="S156" s="8">
        <f t="shared" si="102"/>
        <v>1.8027897950807688E-3</v>
      </c>
      <c r="T156" s="8">
        <f t="shared" si="103"/>
        <v>1.8027897950807688E-3</v>
      </c>
      <c r="U156" s="309">
        <f t="shared" si="104"/>
        <v>6.0340995476477062</v>
      </c>
      <c r="V156" s="311">
        <f t="shared" si="105"/>
        <v>7.2820714701844508E-2</v>
      </c>
      <c r="W156" s="309">
        <f t="shared" si="106"/>
        <v>7.2820714701844508E-2</v>
      </c>
      <c r="X156" s="309">
        <f t="shared" si="107"/>
        <v>6.0340995476477062</v>
      </c>
      <c r="Y156" s="309">
        <f t="shared" si="108"/>
        <v>1.8933385822479571</v>
      </c>
      <c r="Z156" s="309">
        <f t="shared" si="124"/>
        <v>0.13140989368506581</v>
      </c>
      <c r="AA156" s="309">
        <f t="shared" si="125"/>
        <v>6.9304499999999991E-2</v>
      </c>
      <c r="AB156" s="309">
        <f t="shared" si="126"/>
        <v>0</v>
      </c>
      <c r="AC156" s="309">
        <f t="shared" si="109"/>
        <v>3.5889918653364448</v>
      </c>
      <c r="AD156" s="309">
        <f t="shared" si="110"/>
        <v>9.3243261120661423</v>
      </c>
      <c r="AE156" s="309">
        <f t="shared" si="111"/>
        <v>0.869430574441585</v>
      </c>
      <c r="AF156" s="309">
        <f t="shared" si="127"/>
        <v>0.14883750000000001</v>
      </c>
      <c r="AG156" s="309">
        <f t="shared" si="112"/>
        <v>1.1828070529169705</v>
      </c>
      <c r="AH156" s="309">
        <f t="shared" si="113"/>
        <v>0</v>
      </c>
      <c r="AI156">
        <f t="shared" si="128"/>
        <v>0</v>
      </c>
      <c r="AJ156" s="310">
        <f t="shared" si="129"/>
        <v>0.21783374999999999</v>
      </c>
      <c r="AK156">
        <f t="shared" si="134"/>
        <v>3.6000000000000004E-2</v>
      </c>
      <c r="AL156" s="310">
        <f t="shared" si="130"/>
        <v>3.0374999999999999E-2</v>
      </c>
      <c r="AM156" s="310">
        <f t="shared" si="135"/>
        <v>5.5427027027027023E-2</v>
      </c>
      <c r="AN156" s="310">
        <f t="shared" si="114"/>
        <v>6.6375000000000003E-2</v>
      </c>
      <c r="AO156" s="310">
        <f t="shared" si="115"/>
        <v>6.1173319294032282</v>
      </c>
      <c r="AP156">
        <f t="shared" si="131"/>
        <v>55.125</v>
      </c>
      <c r="AQ156" s="9">
        <f t="shared" si="116"/>
        <v>0.90011268779812381</v>
      </c>
      <c r="AR156" s="51">
        <f t="shared" si="117"/>
        <v>197.39455259350447</v>
      </c>
      <c r="AS156" s="51">
        <f t="shared" si="118"/>
        <v>47.312282116678823</v>
      </c>
      <c r="AT156" s="9"/>
      <c r="AU156">
        <f t="shared" si="119"/>
        <v>90.011268779812383</v>
      </c>
    </row>
    <row r="157" spans="7:47">
      <c r="G157">
        <v>148</v>
      </c>
      <c r="H157">
        <f t="shared" si="120"/>
        <v>11.1</v>
      </c>
      <c r="I157" s="309">
        <f t="shared" si="97"/>
        <v>0.2952925207313874</v>
      </c>
      <c r="J157" s="310">
        <f t="shared" si="121"/>
        <v>4.6530942660703474</v>
      </c>
      <c r="K157" s="310">
        <f t="shared" si="132"/>
        <v>13.426547133035173</v>
      </c>
      <c r="L157" s="310">
        <f t="shared" si="98"/>
        <v>8.773452866964826</v>
      </c>
      <c r="M157" s="51">
        <f t="shared" si="122"/>
        <v>0</v>
      </c>
      <c r="N157" s="309">
        <f t="shared" si="99"/>
        <v>11.180978215437058</v>
      </c>
      <c r="O157" s="309">
        <f t="shared" si="100"/>
        <v>0.79796926635208976</v>
      </c>
      <c r="P157">
        <f t="shared" si="123"/>
        <v>0.2</v>
      </c>
      <c r="Q157" s="309">
        <f t="shared" si="133"/>
        <v>0.99796926635208982</v>
      </c>
      <c r="R157" s="8">
        <f t="shared" si="101"/>
        <v>1.3432326135402097</v>
      </c>
      <c r="S157" s="8">
        <f t="shared" si="102"/>
        <v>1.8042738540780625E-3</v>
      </c>
      <c r="T157" s="8">
        <f t="shared" si="103"/>
        <v>1.8042738540780625E-3</v>
      </c>
      <c r="U157" s="309">
        <f t="shared" si="104"/>
        <v>6.0758357494072106</v>
      </c>
      <c r="V157" s="311">
        <f t="shared" si="105"/>
        <v>7.3831560107549363E-2</v>
      </c>
      <c r="W157" s="309">
        <f t="shared" si="106"/>
        <v>7.3831560107549363E-2</v>
      </c>
      <c r="X157" s="309">
        <f t="shared" si="107"/>
        <v>6.0758357494072106</v>
      </c>
      <c r="Y157" s="309">
        <f t="shared" si="108"/>
        <v>1.9196205627962835</v>
      </c>
      <c r="Z157" s="309">
        <f t="shared" si="124"/>
        <v>0.13238595268503184</v>
      </c>
      <c r="AA157" s="309">
        <f t="shared" si="125"/>
        <v>6.9304499999999991E-2</v>
      </c>
      <c r="AB157" s="309">
        <f t="shared" si="126"/>
        <v>0</v>
      </c>
      <c r="AC157" s="309">
        <f t="shared" si="109"/>
        <v>3.6720991735665409</v>
      </c>
      <c r="AD157" s="309">
        <f t="shared" si="110"/>
        <v>9.386079788724544</v>
      </c>
      <c r="AE157" s="309">
        <f t="shared" si="111"/>
        <v>0.88098493800303379</v>
      </c>
      <c r="AF157" s="309">
        <f t="shared" si="127"/>
        <v>0.14984999999999998</v>
      </c>
      <c r="AG157" s="309">
        <f t="shared" si="112"/>
        <v>1.1999814282738552</v>
      </c>
      <c r="AH157" s="309">
        <f t="shared" si="113"/>
        <v>0</v>
      </c>
      <c r="AI157">
        <f t="shared" si="128"/>
        <v>0</v>
      </c>
      <c r="AJ157" s="310">
        <f t="shared" si="129"/>
        <v>0.21778499999999998</v>
      </c>
      <c r="AK157">
        <f t="shared" si="134"/>
        <v>3.6000000000000004E-2</v>
      </c>
      <c r="AL157" s="310">
        <f t="shared" si="130"/>
        <v>3.0374999999999999E-2</v>
      </c>
      <c r="AM157" s="310">
        <f t="shared" si="135"/>
        <v>5.5427027027027023E-2</v>
      </c>
      <c r="AN157" s="310">
        <f t="shared" si="114"/>
        <v>6.6375000000000003E-2</v>
      </c>
      <c r="AO157" s="310">
        <f t="shared" si="115"/>
        <v>6.2298457021541127</v>
      </c>
      <c r="AP157">
        <f t="shared" si="131"/>
        <v>55.5</v>
      </c>
      <c r="AQ157" s="9">
        <f t="shared" si="116"/>
        <v>0.89907887130946251</v>
      </c>
      <c r="AR157" s="51">
        <f t="shared" si="117"/>
        <v>201.96545454615975</v>
      </c>
      <c r="AS157" s="51">
        <f t="shared" si="118"/>
        <v>47.999257130954206</v>
      </c>
      <c r="AT157" s="9"/>
      <c r="AU157">
        <f t="shared" si="119"/>
        <v>89.90788713094625</v>
      </c>
    </row>
    <row r="158" spans="7:47">
      <c r="G158">
        <v>149</v>
      </c>
      <c r="H158">
        <f t="shared" si="120"/>
        <v>11.175000000000001</v>
      </c>
      <c r="I158" s="309">
        <f t="shared" si="97"/>
        <v>0.2954140319953909</v>
      </c>
      <c r="J158" s="310">
        <f t="shared" si="121"/>
        <v>4.6550089890182811</v>
      </c>
      <c r="K158" s="310">
        <f t="shared" si="132"/>
        <v>13.502504494509141</v>
      </c>
      <c r="L158" s="310">
        <f t="shared" si="98"/>
        <v>8.8474955054908602</v>
      </c>
      <c r="M158" s="51">
        <f t="shared" si="122"/>
        <v>0</v>
      </c>
      <c r="N158" s="309">
        <f t="shared" si="99"/>
        <v>11.255504611403262</v>
      </c>
      <c r="O158" s="309">
        <f t="shared" si="100"/>
        <v>0.80933343713460837</v>
      </c>
      <c r="P158">
        <f t="shared" si="123"/>
        <v>0.2</v>
      </c>
      <c r="Q158" s="309">
        <f t="shared" si="133"/>
        <v>1.0093334371346083</v>
      </c>
      <c r="R158" s="8">
        <f t="shared" si="101"/>
        <v>1.3437853464449163</v>
      </c>
      <c r="S158" s="8">
        <f t="shared" si="102"/>
        <v>1.8057590573200837E-3</v>
      </c>
      <c r="T158" s="8">
        <f t="shared" si="103"/>
        <v>1.8057590573200837E-3</v>
      </c>
      <c r="U158" s="309">
        <f t="shared" si="104"/>
        <v>6.1175922970797538</v>
      </c>
      <c r="V158" s="311">
        <f t="shared" si="105"/>
        <v>7.4849871026579085E-2</v>
      </c>
      <c r="W158" s="309">
        <f t="shared" si="106"/>
        <v>7.4849871026579085E-2</v>
      </c>
      <c r="X158" s="309">
        <f t="shared" si="107"/>
        <v>6.1175922970797538</v>
      </c>
      <c r="Y158" s="309">
        <f t="shared" si="108"/>
        <v>1.9460966466910561</v>
      </c>
      <c r="Z158" s="309">
        <f t="shared" si="124"/>
        <v>0.13336200978495028</v>
      </c>
      <c r="AA158" s="309">
        <f t="shared" si="125"/>
        <v>6.9304499999999991E-2</v>
      </c>
      <c r="AB158" s="309">
        <f t="shared" si="126"/>
        <v>0</v>
      </c>
      <c r="AC158" s="309">
        <f t="shared" si="109"/>
        <v>3.7575069063614968</v>
      </c>
      <c r="AD158" s="309">
        <f t="shared" si="110"/>
        <v>9.4478277156196384</v>
      </c>
      <c r="AE158" s="309">
        <f t="shared" si="111"/>
        <v>0.89261448544030597</v>
      </c>
      <c r="AF158" s="309">
        <f t="shared" si="127"/>
        <v>0.15086250000000001</v>
      </c>
      <c r="AG158" s="309">
        <f t="shared" si="112"/>
        <v>1.2173346758932861</v>
      </c>
      <c r="AH158" s="309">
        <f t="shared" si="113"/>
        <v>0</v>
      </c>
      <c r="AI158">
        <f t="shared" si="128"/>
        <v>0</v>
      </c>
      <c r="AJ158" s="310">
        <f t="shared" si="129"/>
        <v>0.21773624999999999</v>
      </c>
      <c r="AK158">
        <f t="shared" si="134"/>
        <v>3.6000000000000004E-2</v>
      </c>
      <c r="AL158" s="310">
        <f t="shared" si="130"/>
        <v>3.0374999999999999E-2</v>
      </c>
      <c r="AM158" s="310">
        <f t="shared" si="135"/>
        <v>5.5427027027027023E-2</v>
      </c>
      <c r="AN158" s="310">
        <f t="shared" si="114"/>
        <v>6.6375000000000003E-2</v>
      </c>
      <c r="AO158" s="310">
        <f t="shared" si="115"/>
        <v>6.34494189947329</v>
      </c>
      <c r="AP158">
        <f t="shared" si="131"/>
        <v>55.875</v>
      </c>
      <c r="AQ158" s="9">
        <f t="shared" si="116"/>
        <v>0.89802398225114699</v>
      </c>
      <c r="AR158" s="51">
        <f t="shared" si="117"/>
        <v>206.66287984988233</v>
      </c>
      <c r="AS158" s="51">
        <f t="shared" si="118"/>
        <v>48.693387035731448</v>
      </c>
      <c r="AT158" s="9"/>
      <c r="AU158">
        <f t="shared" si="119"/>
        <v>89.8023982251147</v>
      </c>
    </row>
    <row r="159" spans="7:47">
      <c r="G159">
        <v>150</v>
      </c>
      <c r="H159">
        <f t="shared" si="120"/>
        <v>11.25</v>
      </c>
      <c r="I159" s="309">
        <f t="shared" si="97"/>
        <v>0.29553558693481669</v>
      </c>
      <c r="J159" s="310">
        <f t="shared" si="121"/>
        <v>4.6569244001849901</v>
      </c>
      <c r="K159" s="310">
        <f t="shared" si="132"/>
        <v>13.578462200092495</v>
      </c>
      <c r="L159" s="310">
        <f t="shared" si="98"/>
        <v>8.9215377999075045</v>
      </c>
      <c r="M159" s="51">
        <f t="shared" si="122"/>
        <v>0</v>
      </c>
      <c r="N159" s="309">
        <f t="shared" si="99"/>
        <v>11.330037308224242</v>
      </c>
      <c r="O159" s="309">
        <f t="shared" si="100"/>
        <v>0.82079371067618934</v>
      </c>
      <c r="P159">
        <f t="shared" si="123"/>
        <v>0.2</v>
      </c>
      <c r="Q159" s="309">
        <f t="shared" si="133"/>
        <v>1.0207937106761893</v>
      </c>
      <c r="R159" s="8">
        <f t="shared" si="101"/>
        <v>1.3443382780212703</v>
      </c>
      <c r="S159" s="8">
        <f t="shared" si="102"/>
        <v>1.8072454057531941E-3</v>
      </c>
      <c r="T159" s="8">
        <f t="shared" si="103"/>
        <v>1.8072454057531941E-3</v>
      </c>
      <c r="U159" s="309">
        <f t="shared" si="104"/>
        <v>6.1593691278541067</v>
      </c>
      <c r="V159" s="311">
        <f t="shared" si="105"/>
        <v>7.5875656106324518E-2</v>
      </c>
      <c r="W159" s="309">
        <f t="shared" si="106"/>
        <v>7.5875656106324518E-2</v>
      </c>
      <c r="X159" s="309">
        <f t="shared" si="107"/>
        <v>6.1593691278541067</v>
      </c>
      <c r="Y159" s="309">
        <f t="shared" si="108"/>
        <v>1.9727670587644373</v>
      </c>
      <c r="Z159" s="309">
        <f t="shared" si="124"/>
        <v>0.13433806498379666</v>
      </c>
      <c r="AA159" s="309">
        <f t="shared" si="125"/>
        <v>6.9304499999999991E-2</v>
      </c>
      <c r="AB159" s="309">
        <f t="shared" si="126"/>
        <v>0</v>
      </c>
      <c r="AC159" s="309">
        <f t="shared" si="109"/>
        <v>3.8453061509483901</v>
      </c>
      <c r="AD159" s="309">
        <f t="shared" si="110"/>
        <v>9.509569777471059</v>
      </c>
      <c r="AE159" s="309">
        <f t="shared" si="111"/>
        <v>0.90431917352590974</v>
      </c>
      <c r="AF159" s="309">
        <f t="shared" si="127"/>
        <v>0.15187500000000001</v>
      </c>
      <c r="AG159" s="309">
        <f t="shared" si="112"/>
        <v>1.2348686348509459</v>
      </c>
      <c r="AH159" s="309">
        <f t="shared" si="113"/>
        <v>0</v>
      </c>
      <c r="AI159">
        <f t="shared" si="128"/>
        <v>0</v>
      </c>
      <c r="AJ159" s="310">
        <f t="shared" si="129"/>
        <v>0.21768749999999998</v>
      </c>
      <c r="AK159">
        <f t="shared" si="134"/>
        <v>3.6000000000000004E-2</v>
      </c>
      <c r="AL159" s="310">
        <f t="shared" si="130"/>
        <v>3.0374999999999999E-2</v>
      </c>
      <c r="AM159" s="310">
        <f t="shared" si="135"/>
        <v>5.5427027027027023E-2</v>
      </c>
      <c r="AN159" s="310">
        <f t="shared" si="114"/>
        <v>6.6375000000000003E-2</v>
      </c>
      <c r="AO159" s="310">
        <f t="shared" si="115"/>
        <v>6.4627138979876024</v>
      </c>
      <c r="AP159">
        <f t="shared" si="131"/>
        <v>56.25</v>
      </c>
      <c r="AQ159" s="9">
        <f t="shared" si="116"/>
        <v>0.89694730946422996</v>
      </c>
      <c r="AR159" s="51">
        <f t="shared" si="117"/>
        <v>211.49183830216145</v>
      </c>
      <c r="AS159" s="51">
        <f t="shared" si="118"/>
        <v>49.394745394037834</v>
      </c>
      <c r="AT159" s="9"/>
      <c r="AU159">
        <f t="shared" si="119"/>
        <v>89.694730946422993</v>
      </c>
    </row>
    <row r="160" spans="7:47">
      <c r="G160">
        <v>151</v>
      </c>
      <c r="H160">
        <f t="shared" si="120"/>
        <v>11.324999999999999</v>
      </c>
      <c r="I160" s="309">
        <f t="shared" si="97"/>
        <v>0.29565718557321663</v>
      </c>
      <c r="J160" s="310">
        <f t="shared" si="121"/>
        <v>4.6588404999415953</v>
      </c>
      <c r="K160" s="310">
        <f t="shared" si="132"/>
        <v>13.654420249970798</v>
      </c>
      <c r="L160" s="310">
        <f t="shared" si="98"/>
        <v>8.9955797500292007</v>
      </c>
      <c r="M160" s="51">
        <f t="shared" si="122"/>
        <v>0</v>
      </c>
      <c r="N160" s="309">
        <f t="shared" si="99"/>
        <v>11.404576182406984</v>
      </c>
      <c r="O160" s="309">
        <f t="shared" si="100"/>
        <v>0.83235053349149901</v>
      </c>
      <c r="P160">
        <f t="shared" si="123"/>
        <v>0.2</v>
      </c>
      <c r="Q160" s="309">
        <f t="shared" si="133"/>
        <v>1.0323505334914991</v>
      </c>
      <c r="R160" s="8">
        <f t="shared" si="101"/>
        <v>1.3448914083764054</v>
      </c>
      <c r="S160" s="8">
        <f t="shared" si="102"/>
        <v>1.8087329003246713E-3</v>
      </c>
      <c r="T160" s="8">
        <f t="shared" si="103"/>
        <v>1.8087329003246713E-3</v>
      </c>
      <c r="U160" s="309">
        <f t="shared" si="104"/>
        <v>6.2011661806629199</v>
      </c>
      <c r="V160" s="311">
        <f t="shared" si="105"/>
        <v>7.690892400039509E-2</v>
      </c>
      <c r="W160" s="309">
        <f t="shared" si="106"/>
        <v>7.690892400039509E-2</v>
      </c>
      <c r="X160" s="309">
        <f t="shared" si="107"/>
        <v>6.2011661806629199</v>
      </c>
      <c r="Y160" s="309">
        <f t="shared" si="108"/>
        <v>1.9996320240102723</v>
      </c>
      <c r="Z160" s="309">
        <f t="shared" si="124"/>
        <v>0.13531411828054593</v>
      </c>
      <c r="AA160" s="309">
        <f t="shared" si="125"/>
        <v>6.9304499999999991E-2</v>
      </c>
      <c r="AB160" s="309">
        <f t="shared" si="126"/>
        <v>0</v>
      </c>
      <c r="AC160" s="309">
        <f t="shared" si="109"/>
        <v>3.9355929240651975</v>
      </c>
      <c r="AD160" s="309">
        <f t="shared" si="110"/>
        <v>9.5713058618000044</v>
      </c>
      <c r="AE160" s="309">
        <f t="shared" si="111"/>
        <v>0.91609895900127125</v>
      </c>
      <c r="AF160" s="309">
        <f t="shared" si="127"/>
        <v>0.15288749999999998</v>
      </c>
      <c r="AG160" s="309">
        <f t="shared" si="112"/>
        <v>1.252585174978603</v>
      </c>
      <c r="AH160" s="309">
        <f t="shared" si="113"/>
        <v>0</v>
      </c>
      <c r="AI160">
        <f t="shared" si="128"/>
        <v>0</v>
      </c>
      <c r="AJ160" s="310">
        <f t="shared" si="129"/>
        <v>0.21763874999999999</v>
      </c>
      <c r="AK160">
        <f t="shared" si="134"/>
        <v>3.6000000000000004E-2</v>
      </c>
      <c r="AL160" s="310">
        <f t="shared" si="130"/>
        <v>3.0374999999999999E-2</v>
      </c>
      <c r="AM160" s="310">
        <f t="shared" si="135"/>
        <v>5.5427027027027023E-2</v>
      </c>
      <c r="AN160" s="310">
        <f t="shared" si="114"/>
        <v>6.6375000000000003E-2</v>
      </c>
      <c r="AO160" s="310">
        <f t="shared" si="115"/>
        <v>6.583260039436019</v>
      </c>
      <c r="AP160">
        <f t="shared" si="131"/>
        <v>56.625</v>
      </c>
      <c r="AQ160" s="9">
        <f t="shared" si="116"/>
        <v>0.89584810536900261</v>
      </c>
      <c r="AR160" s="51">
        <f t="shared" si="117"/>
        <v>216.45761082358587</v>
      </c>
      <c r="AS160" s="51">
        <f t="shared" si="118"/>
        <v>50.10340699914412</v>
      </c>
      <c r="AT160" s="9"/>
      <c r="AU160">
        <f t="shared" si="119"/>
        <v>89.584810536900264</v>
      </c>
    </row>
    <row r="161" spans="7:47">
      <c r="G161">
        <v>152</v>
      </c>
      <c r="H161">
        <f t="shared" si="120"/>
        <v>11.4</v>
      </c>
      <c r="I161" s="309">
        <f t="shared" si="97"/>
        <v>0.29577882793415972</v>
      </c>
      <c r="J161" s="310">
        <f t="shared" si="121"/>
        <v>4.6607572886594868</v>
      </c>
      <c r="K161" s="310">
        <f t="shared" si="132"/>
        <v>13.730378644329743</v>
      </c>
      <c r="L161" s="310">
        <f t="shared" si="98"/>
        <v>9.0696213556702574</v>
      </c>
      <c r="M161" s="51">
        <f t="shared" si="122"/>
        <v>0</v>
      </c>
      <c r="N161" s="309">
        <f t="shared" si="99"/>
        <v>11.479121113655989</v>
      </c>
      <c r="O161" s="309">
        <f t="shared" si="100"/>
        <v>0.8440043569807365</v>
      </c>
      <c r="P161">
        <f t="shared" si="123"/>
        <v>0.2</v>
      </c>
      <c r="Q161" s="309">
        <f t="shared" si="133"/>
        <v>1.0440043569807365</v>
      </c>
      <c r="R161" s="8">
        <f t="shared" si="101"/>
        <v>1.3454447376175327</v>
      </c>
      <c r="S161" s="8">
        <f t="shared" si="102"/>
        <v>1.8102215419827114E-3</v>
      </c>
      <c r="T161" s="8">
        <f t="shared" si="103"/>
        <v>1.8102215419827114E-3</v>
      </c>
      <c r="U161" s="309">
        <f t="shared" si="104"/>
        <v>6.2429833961265837</v>
      </c>
      <c r="V161" s="311">
        <f t="shared" si="105"/>
        <v>7.7949683368624428E-2</v>
      </c>
      <c r="W161" s="309">
        <f t="shared" si="106"/>
        <v>7.7949683368624428E-2</v>
      </c>
      <c r="X161" s="309">
        <f t="shared" si="107"/>
        <v>6.2429833961265837</v>
      </c>
      <c r="Y161" s="309">
        <f t="shared" si="108"/>
        <v>2.0266917675842349</v>
      </c>
      <c r="Z161" s="309">
        <f t="shared" si="124"/>
        <v>0.13629016967417215</v>
      </c>
      <c r="AA161" s="309">
        <f t="shared" si="125"/>
        <v>6.9304499999999991E-2</v>
      </c>
      <c r="AB161" s="309">
        <f t="shared" si="126"/>
        <v>0</v>
      </c>
      <c r="AC161" s="309">
        <f t="shared" si="109"/>
        <v>4.0284685092782526</v>
      </c>
      <c r="AD161" s="309">
        <f t="shared" si="110"/>
        <v>9.6330358588386087</v>
      </c>
      <c r="AE161" s="309">
        <f t="shared" si="111"/>
        <v>0.92795379857670501</v>
      </c>
      <c r="AF161" s="309">
        <f t="shared" si="127"/>
        <v>0.15390000000000001</v>
      </c>
      <c r="AG161" s="309">
        <f t="shared" si="112"/>
        <v>1.2704861974509221</v>
      </c>
      <c r="AH161" s="309">
        <f t="shared" si="113"/>
        <v>0</v>
      </c>
      <c r="AI161">
        <f t="shared" si="128"/>
        <v>0</v>
      </c>
      <c r="AJ161" s="310">
        <f t="shared" si="129"/>
        <v>0.21758999999999998</v>
      </c>
      <c r="AK161">
        <f t="shared" si="134"/>
        <v>3.6000000000000004E-2</v>
      </c>
      <c r="AL161" s="310">
        <f t="shared" si="130"/>
        <v>3.0374999999999999E-2</v>
      </c>
      <c r="AM161" s="310">
        <f t="shared" si="135"/>
        <v>5.5427027027027023E-2</v>
      </c>
      <c r="AN161" s="310">
        <f t="shared" si="114"/>
        <v>6.6375000000000003E-2</v>
      </c>
      <c r="AO161" s="310">
        <f t="shared" si="115"/>
        <v>6.7066839686205189</v>
      </c>
      <c r="AP161">
        <f t="shared" si="131"/>
        <v>57</v>
      </c>
      <c r="AQ161" s="9">
        <f t="shared" si="116"/>
        <v>0.8947255837091761</v>
      </c>
      <c r="AR161" s="51">
        <f t="shared" si="117"/>
        <v>221.56576801030388</v>
      </c>
      <c r="AS161" s="51">
        <f t="shared" si="118"/>
        <v>50.819447898036884</v>
      </c>
      <c r="AT161" s="9"/>
      <c r="AU161">
        <f t="shared" si="119"/>
        <v>89.472558370917611</v>
      </c>
    </row>
    <row r="162" spans="7:47">
      <c r="G162">
        <v>153</v>
      </c>
      <c r="H162">
        <f t="shared" si="120"/>
        <v>11.475</v>
      </c>
      <c r="I162" s="309">
        <f t="shared" si="97"/>
        <v>0.29590051404123174</v>
      </c>
      <c r="J162" s="310">
        <f t="shared" si="121"/>
        <v>4.6626747667103183</v>
      </c>
      <c r="K162" s="310">
        <f t="shared" si="132"/>
        <v>13.806337383355158</v>
      </c>
      <c r="L162" s="310">
        <f t="shared" si="98"/>
        <v>9.1436626166448409</v>
      </c>
      <c r="M162" s="51">
        <f t="shared" si="122"/>
        <v>0</v>
      </c>
      <c r="N162" s="309">
        <f t="shared" si="99"/>
        <v>11.553671984770748</v>
      </c>
      <c r="O162" s="309">
        <f t="shared" si="100"/>
        <v>0.85575563747691075</v>
      </c>
      <c r="P162">
        <f t="shared" si="123"/>
        <v>0.2</v>
      </c>
      <c r="Q162" s="309">
        <f t="shared" si="133"/>
        <v>1.0557556374769108</v>
      </c>
      <c r="R162" s="8">
        <f t="shared" si="101"/>
        <v>1.3459982658519389</v>
      </c>
      <c r="S162" s="8">
        <f t="shared" si="102"/>
        <v>1.8117113316764269E-3</v>
      </c>
      <c r="T162" s="8">
        <f t="shared" si="103"/>
        <v>1.8117113316764269E-3</v>
      </c>
      <c r="U162" s="309">
        <f t="shared" si="104"/>
        <v>6.2848207164992269</v>
      </c>
      <c r="V162" s="311">
        <f t="shared" si="105"/>
        <v>7.8997942877075719E-2</v>
      </c>
      <c r="W162" s="309">
        <f t="shared" si="106"/>
        <v>7.8997942877075719E-2</v>
      </c>
      <c r="X162" s="309">
        <f t="shared" si="107"/>
        <v>6.2848207164992269</v>
      </c>
      <c r="Y162" s="309">
        <f t="shared" si="108"/>
        <v>2.0539465148039686</v>
      </c>
      <c r="Z162" s="309">
        <f t="shared" si="124"/>
        <v>0.13726621916364867</v>
      </c>
      <c r="AA162" s="309">
        <f t="shared" si="125"/>
        <v>6.9304499999999991E-2</v>
      </c>
      <c r="AB162" s="309">
        <f t="shared" si="126"/>
        <v>0</v>
      </c>
      <c r="AC162" s="309">
        <f t="shared" si="109"/>
        <v>4.1240398223936037</v>
      </c>
      <c r="AD162" s="309">
        <f t="shared" si="110"/>
        <v>9.694759661442804</v>
      </c>
      <c r="AE162" s="309">
        <f t="shared" si="111"/>
        <v>0.93988364893138598</v>
      </c>
      <c r="AF162" s="309">
        <f t="shared" si="127"/>
        <v>0.15491249999999998</v>
      </c>
      <c r="AG162" s="309">
        <f t="shared" si="112"/>
        <v>1.2885736353863837</v>
      </c>
      <c r="AH162" s="309">
        <f t="shared" si="113"/>
        <v>0</v>
      </c>
      <c r="AI162">
        <f t="shared" si="128"/>
        <v>0</v>
      </c>
      <c r="AJ162" s="310">
        <f t="shared" si="129"/>
        <v>0.21754124999999999</v>
      </c>
      <c r="AK162">
        <f t="shared" si="134"/>
        <v>3.6000000000000004E-2</v>
      </c>
      <c r="AL162" s="310">
        <f t="shared" si="130"/>
        <v>3.0374999999999999E-2</v>
      </c>
      <c r="AM162" s="310">
        <f t="shared" si="135"/>
        <v>5.5427027027027023E-2</v>
      </c>
      <c r="AN162" s="310">
        <f t="shared" si="114"/>
        <v>6.6375000000000003E-2</v>
      </c>
      <c r="AO162" s="310">
        <f t="shared" si="115"/>
        <v>6.8330949994656507</v>
      </c>
      <c r="AP162">
        <f t="shared" si="131"/>
        <v>57.375</v>
      </c>
      <c r="AQ162" s="9">
        <f t="shared" si="116"/>
        <v>0.89357891712061344</v>
      </c>
      <c r="AR162" s="51">
        <f t="shared" si="117"/>
        <v>226.82219023164819</v>
      </c>
      <c r="AS162" s="51">
        <f t="shared" si="118"/>
        <v>51.54294541545535</v>
      </c>
      <c r="AT162" s="9"/>
      <c r="AU162">
        <f t="shared" si="119"/>
        <v>89.357891712061345</v>
      </c>
    </row>
    <row r="163" spans="7:47">
      <c r="G163">
        <v>154</v>
      </c>
      <c r="H163">
        <f t="shared" si="120"/>
        <v>11.55</v>
      </c>
      <c r="I163" s="309">
        <f t="shared" si="97"/>
        <v>0.2960222439180355</v>
      </c>
      <c r="J163" s="310">
        <f t="shared" si="121"/>
        <v>4.6645929344660146</v>
      </c>
      <c r="K163" s="310">
        <f t="shared" si="132"/>
        <v>13.882296467233008</v>
      </c>
      <c r="L163" s="310">
        <f t="shared" si="98"/>
        <v>9.2177035327669934</v>
      </c>
      <c r="M163" s="51">
        <f t="shared" si="122"/>
        <v>0</v>
      </c>
      <c r="N163" s="309">
        <f t="shared" si="99"/>
        <v>11.628228681547153</v>
      </c>
      <c r="O163" s="309">
        <f t="shared" si="100"/>
        <v>0.86760483629379381</v>
      </c>
      <c r="P163">
        <f t="shared" si="123"/>
        <v>0.2</v>
      </c>
      <c r="Q163" s="309">
        <f t="shared" si="133"/>
        <v>1.0676048362937938</v>
      </c>
      <c r="R163" s="8">
        <f t="shared" si="101"/>
        <v>1.34655199318699</v>
      </c>
      <c r="S163" s="8">
        <f t="shared" si="102"/>
        <v>1.8132022703558556E-3</v>
      </c>
      <c r="T163" s="8">
        <f t="shared" si="103"/>
        <v>1.8132022703558556E-3</v>
      </c>
      <c r="U163" s="309">
        <f t="shared" si="104"/>
        <v>6.3266780856167903</v>
      </c>
      <c r="V163" s="311">
        <f t="shared" si="105"/>
        <v>8.0053711198047467E-2</v>
      </c>
      <c r="W163" s="309">
        <f t="shared" si="106"/>
        <v>8.0053711198047467E-2</v>
      </c>
      <c r="X163" s="309">
        <f t="shared" si="107"/>
        <v>6.3266780856167903</v>
      </c>
      <c r="Y163" s="309">
        <f t="shared" si="108"/>
        <v>2.081396491149234</v>
      </c>
      <c r="Z163" s="309">
        <f t="shared" si="124"/>
        <v>0.13824226674794809</v>
      </c>
      <c r="AA163" s="309">
        <f t="shared" si="125"/>
        <v>6.9304499999999991E-2</v>
      </c>
      <c r="AB163" s="309">
        <f t="shared" si="126"/>
        <v>0</v>
      </c>
      <c r="AC163" s="309">
        <f t="shared" si="109"/>
        <v>4.2224198077303612</v>
      </c>
      <c r="AD163" s="309">
        <f t="shared" si="110"/>
        <v>9.7564771650084889</v>
      </c>
      <c r="AE163" s="309">
        <f t="shared" si="111"/>
        <v>0.95188846671332084</v>
      </c>
      <c r="AF163" s="309">
        <f t="shared" si="127"/>
        <v>0.15592500000000001</v>
      </c>
      <c r="AG163" s="309">
        <f t="shared" si="112"/>
        <v>1.3068494544627036</v>
      </c>
      <c r="AH163" s="309">
        <f t="shared" si="113"/>
        <v>0</v>
      </c>
      <c r="AI163">
        <f t="shared" si="128"/>
        <v>0</v>
      </c>
      <c r="AJ163" s="310">
        <f t="shared" si="129"/>
        <v>0.21749249999999998</v>
      </c>
      <c r="AK163">
        <f t="shared" si="134"/>
        <v>3.6000000000000004E-2</v>
      </c>
      <c r="AL163" s="310">
        <f t="shared" si="130"/>
        <v>3.0374999999999999E-2</v>
      </c>
      <c r="AM163" s="310">
        <f t="shared" si="135"/>
        <v>5.5427027027027023E-2</v>
      </c>
      <c r="AN163" s="310">
        <f t="shared" si="114"/>
        <v>6.6375000000000003E-2</v>
      </c>
      <c r="AO163" s="310">
        <f t="shared" si="115"/>
        <v>6.9626085119552616</v>
      </c>
      <c r="AP163">
        <f t="shared" si="131"/>
        <v>57.75</v>
      </c>
      <c r="AQ163" s="9">
        <f t="shared" si="116"/>
        <v>0.89240723450872839</v>
      </c>
      <c r="AR163" s="51">
        <f t="shared" si="117"/>
        <v>232.23308942516985</v>
      </c>
      <c r="AS163" s="51">
        <f t="shared" si="118"/>
        <v>52.273978178508145</v>
      </c>
      <c r="AT163" s="9"/>
      <c r="AU163">
        <f t="shared" si="119"/>
        <v>89.240723450872835</v>
      </c>
    </row>
    <row r="164" spans="7:47">
      <c r="G164">
        <v>155</v>
      </c>
      <c r="H164">
        <f t="shared" si="120"/>
        <v>11.625</v>
      </c>
      <c r="I164" s="309">
        <f t="shared" si="97"/>
        <v>0.29614401758819081</v>
      </c>
      <c r="J164" s="310">
        <f t="shared" si="121"/>
        <v>4.6665117922987642</v>
      </c>
      <c r="K164" s="310">
        <f t="shared" si="132"/>
        <v>13.958255896149382</v>
      </c>
      <c r="L164" s="310">
        <f t="shared" si="98"/>
        <v>9.2917441038506183</v>
      </c>
      <c r="M164" s="51">
        <f t="shared" si="122"/>
        <v>0</v>
      </c>
      <c r="N164" s="309">
        <f t="shared" si="99"/>
        <v>11.702791092682633</v>
      </c>
      <c r="O164" s="309">
        <f t="shared" si="100"/>
        <v>0.87955241977455878</v>
      </c>
      <c r="P164">
        <f t="shared" si="123"/>
        <v>0.2</v>
      </c>
      <c r="Q164" s="309">
        <f t="shared" si="133"/>
        <v>1.0795524197745587</v>
      </c>
      <c r="R164" s="8">
        <f t="shared" si="101"/>
        <v>1.3471059197301274</v>
      </c>
      <c r="S164" s="8">
        <f t="shared" si="102"/>
        <v>1.8146943589719524E-3</v>
      </c>
      <c r="T164" s="8">
        <f t="shared" si="103"/>
        <v>1.8146943589719524E-3</v>
      </c>
      <c r="U164" s="309">
        <f t="shared" si="104"/>
        <v>6.3685554488470677</v>
      </c>
      <c r="V164" s="311">
        <f t="shared" si="105"/>
        <v>8.111699701007935E-2</v>
      </c>
      <c r="W164" s="309">
        <f t="shared" si="106"/>
        <v>8.111699701007935E-2</v>
      </c>
      <c r="X164" s="309">
        <f t="shared" si="107"/>
        <v>6.3685554488470677</v>
      </c>
      <c r="Y164" s="309">
        <f t="shared" si="108"/>
        <v>2.1090419222620627</v>
      </c>
      <c r="Z164" s="309">
        <f t="shared" si="124"/>
        <v>0.13921831242604243</v>
      </c>
      <c r="AA164" s="309">
        <f t="shared" si="125"/>
        <v>6.9304499999999991E-2</v>
      </c>
      <c r="AB164" s="309">
        <f t="shared" si="126"/>
        <v>0</v>
      </c>
      <c r="AC164" s="309">
        <f t="shared" si="109"/>
        <v>4.3237278683402067</v>
      </c>
      <c r="AD164" s="309">
        <f t="shared" si="110"/>
        <v>9.818188267390898</v>
      </c>
      <c r="AE164" s="309">
        <f t="shared" si="111"/>
        <v>0.96396820853932286</v>
      </c>
      <c r="AF164" s="309">
        <f t="shared" si="127"/>
        <v>0.15693750000000001</v>
      </c>
      <c r="AG164" s="309">
        <f t="shared" si="112"/>
        <v>1.3253156535471591</v>
      </c>
      <c r="AH164" s="309">
        <f t="shared" si="113"/>
        <v>0</v>
      </c>
      <c r="AI164">
        <f t="shared" si="128"/>
        <v>0</v>
      </c>
      <c r="AJ164" s="310">
        <f t="shared" si="129"/>
        <v>0.21744374999999996</v>
      </c>
      <c r="AK164">
        <f t="shared" si="134"/>
        <v>3.6000000000000004E-2</v>
      </c>
      <c r="AL164" s="310">
        <f t="shared" si="130"/>
        <v>3.0374999999999999E-2</v>
      </c>
      <c r="AM164" s="310">
        <f t="shared" si="135"/>
        <v>5.5427027027027023E-2</v>
      </c>
      <c r="AN164" s="310">
        <f t="shared" si="114"/>
        <v>6.6375000000000003E-2</v>
      </c>
      <c r="AO164" s="310">
        <f t="shared" si="115"/>
        <v>7.095346383030976</v>
      </c>
      <c r="AP164">
        <f t="shared" si="131"/>
        <v>58.125</v>
      </c>
      <c r="AQ164" s="9">
        <f t="shared" si="116"/>
        <v>0.89120961821697653</v>
      </c>
      <c r="AR164" s="51">
        <f t="shared" si="117"/>
        <v>237.80503275871138</v>
      </c>
      <c r="AS164" s="51">
        <f t="shared" si="118"/>
        <v>53.012626141886365</v>
      </c>
      <c r="AT164" s="9"/>
      <c r="AU164">
        <f t="shared" si="119"/>
        <v>89.120961821697648</v>
      </c>
    </row>
    <row r="165" spans="7:47">
      <c r="G165">
        <v>156</v>
      </c>
      <c r="H165">
        <f t="shared" si="120"/>
        <v>11.700000000000001</v>
      </c>
      <c r="I165" s="309">
        <f t="shared" si="97"/>
        <v>0.29626583507533438</v>
      </c>
      <c r="J165" s="310">
        <f t="shared" si="121"/>
        <v>4.6684313405810274</v>
      </c>
      <c r="K165" s="310">
        <f t="shared" si="132"/>
        <v>14.034215670290514</v>
      </c>
      <c r="L165" s="310">
        <f t="shared" si="98"/>
        <v>9.3657843297094878</v>
      </c>
      <c r="M165" s="51">
        <f t="shared" si="122"/>
        <v>0</v>
      </c>
      <c r="N165" s="309">
        <f t="shared" si="99"/>
        <v>11.777359109684845</v>
      </c>
      <c r="O165" s="309">
        <f t="shared" si="100"/>
        <v>0.89159885934111038</v>
      </c>
      <c r="P165">
        <f t="shared" si="123"/>
        <v>0.2</v>
      </c>
      <c r="Q165" s="309">
        <f t="shared" si="133"/>
        <v>1.0915988593411103</v>
      </c>
      <c r="R165" s="8">
        <f t="shared" si="101"/>
        <v>1.347660045588871</v>
      </c>
      <c r="S165" s="8">
        <f t="shared" si="102"/>
        <v>1.8161875984765978E-3</v>
      </c>
      <c r="T165" s="8">
        <f t="shared" si="103"/>
        <v>1.8161875984765978E-3</v>
      </c>
      <c r="U165" s="309">
        <f t="shared" si="104"/>
        <v>6.4104527530416027</v>
      </c>
      <c r="V165" s="311">
        <f t="shared" si="105"/>
        <v>8.2187808997957315E-2</v>
      </c>
      <c r="W165" s="309">
        <f t="shared" si="106"/>
        <v>8.2187808997957315E-2</v>
      </c>
      <c r="X165" s="309">
        <f t="shared" si="107"/>
        <v>6.4104527530416027</v>
      </c>
      <c r="Y165" s="309">
        <f t="shared" si="108"/>
        <v>2.1368830339468903</v>
      </c>
      <c r="Z165" s="309">
        <f t="shared" si="124"/>
        <v>0.14019435619690271</v>
      </c>
      <c r="AA165" s="309">
        <f t="shared" si="125"/>
        <v>6.9304499999999991E-2</v>
      </c>
      <c r="AB165" s="309">
        <f t="shared" si="126"/>
        <v>0</v>
      </c>
      <c r="AC165" s="309">
        <f t="shared" si="109"/>
        <v>4.4280903336145077</v>
      </c>
      <c r="AD165" s="309">
        <f t="shared" si="110"/>
        <v>9.8798928688269658</v>
      </c>
      <c r="AE165" s="309">
        <f t="shared" si="111"/>
        <v>0.97612283099497932</v>
      </c>
      <c r="AF165" s="309">
        <f t="shared" si="127"/>
        <v>0.15795000000000001</v>
      </c>
      <c r="AG165" s="309">
        <f t="shared" si="112"/>
        <v>1.3439742653422182</v>
      </c>
      <c r="AH165" s="309">
        <f t="shared" si="113"/>
        <v>0</v>
      </c>
      <c r="AI165">
        <f t="shared" si="128"/>
        <v>0</v>
      </c>
      <c r="AJ165" s="310">
        <f t="shared" si="129"/>
        <v>0.21739499999999998</v>
      </c>
      <c r="AK165">
        <f t="shared" si="134"/>
        <v>3.6000000000000004E-2</v>
      </c>
      <c r="AL165" s="310">
        <f t="shared" si="130"/>
        <v>3.0374999999999999E-2</v>
      </c>
      <c r="AM165" s="310">
        <f t="shared" si="135"/>
        <v>5.5427027027027023E-2</v>
      </c>
      <c r="AN165" s="310">
        <f t="shared" si="114"/>
        <v>6.6375000000000003E-2</v>
      </c>
      <c r="AO165" s="310">
        <f t="shared" si="115"/>
        <v>7.2314374548942704</v>
      </c>
      <c r="AP165">
        <f t="shared" si="131"/>
        <v>58.500000000000007</v>
      </c>
      <c r="AQ165" s="9">
        <f t="shared" si="116"/>
        <v>0.88998510096699812</v>
      </c>
      <c r="AR165" s="51">
        <f t="shared" si="117"/>
        <v>243.54496834879791</v>
      </c>
      <c r="AS165" s="51">
        <f t="shared" si="118"/>
        <v>53.758970613688732</v>
      </c>
      <c r="AT165" s="9"/>
      <c r="AU165">
        <f t="shared" si="119"/>
        <v>88.998510096699817</v>
      </c>
    </row>
    <row r="166" spans="7:47">
      <c r="G166">
        <v>157</v>
      </c>
      <c r="H166">
        <f t="shared" si="120"/>
        <v>11.775</v>
      </c>
      <c r="I166" s="309">
        <f t="shared" si="97"/>
        <v>0.29638769640312018</v>
      </c>
      <c r="J166" s="310">
        <f t="shared" si="121"/>
        <v>4.6703515796855299</v>
      </c>
      <c r="K166" s="310">
        <f t="shared" si="132"/>
        <v>14.110175789842765</v>
      </c>
      <c r="L166" s="310">
        <f t="shared" si="98"/>
        <v>9.4398242101572354</v>
      </c>
      <c r="M166" s="51">
        <f t="shared" si="122"/>
        <v>0</v>
      </c>
      <c r="N166" s="309">
        <f t="shared" si="99"/>
        <v>11.851932626783812</v>
      </c>
      <c r="O166" s="309">
        <f t="shared" si="100"/>
        <v>0.90374463154412488</v>
      </c>
      <c r="P166">
        <f t="shared" si="123"/>
        <v>0.2</v>
      </c>
      <c r="Q166" s="309">
        <f t="shared" si="133"/>
        <v>1.1037446315441248</v>
      </c>
      <c r="R166" s="8">
        <f t="shared" si="101"/>
        <v>1.3482143708708174</v>
      </c>
      <c r="S166" s="8">
        <f t="shared" si="102"/>
        <v>1.8176819898225939E-3</v>
      </c>
      <c r="T166" s="8">
        <f t="shared" si="103"/>
        <v>1.8176819898225939E-3</v>
      </c>
      <c r="U166" s="309">
        <f t="shared" si="104"/>
        <v>6.4523699464894158</v>
      </c>
      <c r="V166" s="311">
        <f t="shared" si="105"/>
        <v>8.3266155852719653E-2</v>
      </c>
      <c r="W166" s="309">
        <f t="shared" si="106"/>
        <v>8.3266155852719653E-2</v>
      </c>
      <c r="X166" s="309">
        <f t="shared" si="107"/>
        <v>6.4523699464894158</v>
      </c>
      <c r="Y166" s="309">
        <f t="shared" si="108"/>
        <v>2.1649200521707108</v>
      </c>
      <c r="Z166" s="309">
        <f t="shared" si="124"/>
        <v>0.14117039805949946</v>
      </c>
      <c r="AA166" s="309">
        <f t="shared" si="125"/>
        <v>6.9304499999999991E-2</v>
      </c>
      <c r="AB166" s="309">
        <f t="shared" si="126"/>
        <v>0</v>
      </c>
      <c r="AC166" s="309">
        <f t="shared" si="109"/>
        <v>4.5356409681253504</v>
      </c>
      <c r="AD166" s="309">
        <f t="shared" si="110"/>
        <v>9.9415908718606385</v>
      </c>
      <c r="AE166" s="309">
        <f t="shared" si="111"/>
        <v>0.98835229063462782</v>
      </c>
      <c r="AF166" s="309">
        <f t="shared" si="127"/>
        <v>0.15896250000000001</v>
      </c>
      <c r="AG166" s="309">
        <f t="shared" si="112"/>
        <v>1.3628273570469263</v>
      </c>
      <c r="AH166" s="309">
        <f t="shared" si="113"/>
        <v>0</v>
      </c>
      <c r="AI166">
        <f t="shared" si="128"/>
        <v>0</v>
      </c>
      <c r="AJ166" s="310">
        <f t="shared" si="129"/>
        <v>0.21734624999999996</v>
      </c>
      <c r="AK166">
        <f t="shared" si="134"/>
        <v>3.6000000000000004E-2</v>
      </c>
      <c r="AL166" s="310">
        <f t="shared" si="130"/>
        <v>3.0374999999999999E-2</v>
      </c>
      <c r="AM166" s="310">
        <f t="shared" si="135"/>
        <v>5.5427027027027023E-2</v>
      </c>
      <c r="AN166" s="310">
        <f t="shared" si="114"/>
        <v>6.6375000000000003E-2</v>
      </c>
      <c r="AO166" s="310">
        <f t="shared" si="115"/>
        <v>7.3710180445589444</v>
      </c>
      <c r="AP166">
        <f t="shared" si="131"/>
        <v>58.875</v>
      </c>
      <c r="AQ166" s="9">
        <f t="shared" si="116"/>
        <v>0.88873266254884942</v>
      </c>
      <c r="AR166" s="51">
        <f t="shared" si="117"/>
        <v>249.46025324689427</v>
      </c>
      <c r="AS166" s="51">
        <f t="shared" si="118"/>
        <v>54.513094281877052</v>
      </c>
      <c r="AT166" s="9"/>
      <c r="AU166">
        <f t="shared" si="119"/>
        <v>88.873266254884939</v>
      </c>
    </row>
    <row r="167" spans="7:47">
      <c r="G167">
        <v>158</v>
      </c>
      <c r="H167">
        <f t="shared" si="120"/>
        <v>11.850000000000001</v>
      </c>
      <c r="I167" s="309">
        <f t="shared" si="97"/>
        <v>0.29650960159521889</v>
      </c>
      <c r="J167" s="310">
        <f t="shared" si="121"/>
        <v>4.6722725099852678</v>
      </c>
      <c r="K167" s="310">
        <f t="shared" si="132"/>
        <v>14.186136254992636</v>
      </c>
      <c r="L167" s="310">
        <f t="shared" si="98"/>
        <v>9.5138637450073666</v>
      </c>
      <c r="M167" s="51">
        <f t="shared" si="122"/>
        <v>0</v>
      </c>
      <c r="N167" s="309">
        <f t="shared" si="99"/>
        <v>11.926511540847295</v>
      </c>
      <c r="O167" s="309">
        <f t="shared" si="100"/>
        <v>0.91599021811380255</v>
      </c>
      <c r="P167">
        <f t="shared" si="123"/>
        <v>0.2</v>
      </c>
      <c r="Q167" s="309">
        <f t="shared" si="133"/>
        <v>1.1159902181138026</v>
      </c>
      <c r="R167" s="8">
        <f t="shared" si="101"/>
        <v>1.3487688956836414</v>
      </c>
      <c r="S167" s="8">
        <f t="shared" si="102"/>
        <v>1.8191775339636697E-3</v>
      </c>
      <c r="T167" s="8">
        <f t="shared" si="103"/>
        <v>1.8191775339636697E-3</v>
      </c>
      <c r="U167" s="309">
        <f t="shared" si="104"/>
        <v>6.4943069788724319</v>
      </c>
      <c r="V167" s="311">
        <f t="shared" si="105"/>
        <v>8.4352046271662345E-2</v>
      </c>
      <c r="W167" s="309">
        <f t="shared" si="106"/>
        <v>8.4352046271662345E-2</v>
      </c>
      <c r="X167" s="309">
        <f t="shared" si="107"/>
        <v>6.4943069788724319</v>
      </c>
      <c r="Y167" s="309">
        <f t="shared" si="108"/>
        <v>2.193153203063221</v>
      </c>
      <c r="Z167" s="309">
        <f t="shared" si="124"/>
        <v>0.14214643801280225</v>
      </c>
      <c r="AA167" s="309">
        <f t="shared" si="125"/>
        <v>6.9304499999999991E-2</v>
      </c>
      <c r="AB167" s="309">
        <f t="shared" si="126"/>
        <v>0</v>
      </c>
      <c r="AC167" s="309">
        <f t="shared" si="109"/>
        <v>4.6465215260054613</v>
      </c>
      <c r="AD167" s="309">
        <f t="shared" si="110"/>
        <v>10.003282181270931</v>
      </c>
      <c r="AE167" s="309">
        <f t="shared" si="111"/>
        <v>1.0006565439813253</v>
      </c>
      <c r="AF167" s="309">
        <f t="shared" si="127"/>
        <v>0.15997500000000001</v>
      </c>
      <c r="AG167" s="309">
        <f t="shared" si="112"/>
        <v>1.3818770310344648</v>
      </c>
      <c r="AH167" s="309">
        <f t="shared" si="113"/>
        <v>0</v>
      </c>
      <c r="AI167">
        <f t="shared" si="128"/>
        <v>0</v>
      </c>
      <c r="AJ167" s="310">
        <f t="shared" si="129"/>
        <v>0.2172975</v>
      </c>
      <c r="AK167">
        <f t="shared" si="134"/>
        <v>3.6000000000000004E-2</v>
      </c>
      <c r="AL167" s="310">
        <f t="shared" si="130"/>
        <v>3.0374999999999999E-2</v>
      </c>
      <c r="AM167" s="310">
        <f t="shared" si="135"/>
        <v>5.5427027027027023E-2</v>
      </c>
      <c r="AN167" s="310">
        <f t="shared" si="114"/>
        <v>6.6375000000000003E-2</v>
      </c>
      <c r="AO167" s="310">
        <f t="shared" si="115"/>
        <v>7.5142324989593545</v>
      </c>
      <c r="AP167">
        <f t="shared" si="131"/>
        <v>59.250000000000007</v>
      </c>
      <c r="AQ167" s="9">
        <f t="shared" si="116"/>
        <v>0.88745122623739481</v>
      </c>
      <c r="AR167" s="51">
        <f t="shared" si="117"/>
        <v>255.55868393030036</v>
      </c>
      <c r="AS167" s="51">
        <f t="shared" si="118"/>
        <v>55.275081241378594</v>
      </c>
      <c r="AT167" s="9"/>
      <c r="AU167">
        <f t="shared" si="119"/>
        <v>88.745122623739476</v>
      </c>
    </row>
    <row r="168" spans="7:47">
      <c r="G168">
        <v>159</v>
      </c>
      <c r="H168">
        <f t="shared" si="120"/>
        <v>11.925000000000001</v>
      </c>
      <c r="I168" s="309">
        <f t="shared" si="97"/>
        <v>0.29663155067531854</v>
      </c>
      <c r="J168" s="310">
        <f t="shared" si="121"/>
        <v>4.6741941318535041</v>
      </c>
      <c r="K168" s="310">
        <f t="shared" si="132"/>
        <v>14.262097065926753</v>
      </c>
      <c r="L168" s="310">
        <f t="shared" si="98"/>
        <v>9.5879029340732487</v>
      </c>
      <c r="M168" s="51">
        <f t="shared" si="122"/>
        <v>0</v>
      </c>
      <c r="N168" s="309">
        <f t="shared" si="99"/>
        <v>12.001095751299315</v>
      </c>
      <c r="O168" s="309">
        <f t="shared" si="100"/>
        <v>0.92833610601134697</v>
      </c>
      <c r="P168">
        <f t="shared" si="123"/>
        <v>0.2</v>
      </c>
      <c r="Q168" s="309">
        <f t="shared" si="133"/>
        <v>1.128336106011347</v>
      </c>
      <c r="R168" s="8">
        <f t="shared" si="101"/>
        <v>1.3493236201350949</v>
      </c>
      <c r="S168" s="8">
        <f t="shared" si="102"/>
        <v>1.8206742318544779E-3</v>
      </c>
      <c r="T168" s="8">
        <f t="shared" si="103"/>
        <v>1.8206742318544779E-3</v>
      </c>
      <c r="U168" s="309">
        <f t="shared" si="104"/>
        <v>6.5362638012225638</v>
      </c>
      <c r="V168" s="311">
        <f t="shared" si="105"/>
        <v>8.544548895834489E-2</v>
      </c>
      <c r="W168" s="309">
        <f t="shared" si="106"/>
        <v>8.544548895834489E-2</v>
      </c>
      <c r="X168" s="309">
        <f t="shared" si="107"/>
        <v>6.5362638012225638</v>
      </c>
      <c r="Y168" s="309">
        <f t="shared" si="108"/>
        <v>2.221582712916967</v>
      </c>
      <c r="Z168" s="309">
        <f t="shared" si="124"/>
        <v>0.14312247605578007</v>
      </c>
      <c r="AA168" s="309">
        <f t="shared" si="125"/>
        <v>6.9304499999999991E-2</v>
      </c>
      <c r="AB168" s="309">
        <f t="shared" si="126"/>
        <v>0</v>
      </c>
      <c r="AC168" s="309">
        <f t="shared" si="109"/>
        <v>4.7608823556936279</v>
      </c>
      <c r="AD168" s="309">
        <f t="shared" si="110"/>
        <v>10.064966704002654</v>
      </c>
      <c r="AE168" s="309">
        <f t="shared" si="111"/>
        <v>1.0130355475268205</v>
      </c>
      <c r="AF168" s="309">
        <f t="shared" si="127"/>
        <v>0.16098750000000001</v>
      </c>
      <c r="AG168" s="309">
        <f t="shared" si="112"/>
        <v>1.401125425546357</v>
      </c>
      <c r="AH168" s="309">
        <f t="shared" si="113"/>
        <v>0</v>
      </c>
      <c r="AI168">
        <f t="shared" si="128"/>
        <v>0</v>
      </c>
      <c r="AJ168" s="310">
        <f t="shared" si="129"/>
        <v>0.21724874999999996</v>
      </c>
      <c r="AK168">
        <f t="shared" si="134"/>
        <v>3.6000000000000004E-2</v>
      </c>
      <c r="AL168" s="310">
        <f t="shared" si="130"/>
        <v>3.0374999999999999E-2</v>
      </c>
      <c r="AM168" s="310">
        <f t="shared" si="135"/>
        <v>5.5427027027027023E-2</v>
      </c>
      <c r="AN168" s="310">
        <f t="shared" si="114"/>
        <v>6.6375000000000003E-2</v>
      </c>
      <c r="AO168" s="310">
        <f t="shared" si="115"/>
        <v>7.661233800441531</v>
      </c>
      <c r="AP168">
        <f t="shared" si="131"/>
        <v>59.625</v>
      </c>
      <c r="AQ168" s="9">
        <f t="shared" si="116"/>
        <v>0.88613965490826352</v>
      </c>
      <c r="AR168" s="51">
        <f t="shared" si="117"/>
        <v>261.84852956314955</v>
      </c>
      <c r="AS168" s="51">
        <f t="shared" si="118"/>
        <v>56.045017021854278</v>
      </c>
      <c r="AT168" s="9"/>
      <c r="AU168">
        <f t="shared" si="119"/>
        <v>88.613965490826345</v>
      </c>
    </row>
    <row r="169" spans="7:47">
      <c r="G169">
        <v>160</v>
      </c>
      <c r="H169">
        <f t="shared" si="120"/>
        <v>12</v>
      </c>
      <c r="I169" s="309">
        <f t="shared" si="97"/>
        <v>0.29675354366712386</v>
      </c>
      <c r="J169" s="310">
        <f t="shared" si="121"/>
        <v>4.6761164456637703</v>
      </c>
      <c r="K169" s="310">
        <f t="shared" si="132"/>
        <v>14.338058222831885</v>
      </c>
      <c r="L169" s="310">
        <f t="shared" si="98"/>
        <v>9.6619417771681153</v>
      </c>
      <c r="M169" s="51">
        <f t="shared" si="122"/>
        <v>0</v>
      </c>
      <c r="N169" s="309">
        <f t="shared" si="99"/>
        <v>12.075685160041669</v>
      </c>
      <c r="O169" s="309">
        <f t="shared" si="100"/>
        <v>0.94078278748118527</v>
      </c>
      <c r="P169">
        <f t="shared" si="123"/>
        <v>0.2</v>
      </c>
      <c r="Q169" s="309">
        <f t="shared" si="133"/>
        <v>1.1407827874811853</v>
      </c>
      <c r="R169" s="8">
        <f t="shared" si="101"/>
        <v>1.349878544333007</v>
      </c>
      <c r="S169" s="8">
        <f t="shared" si="102"/>
        <v>1.8221720844505979E-3</v>
      </c>
      <c r="T169" s="8">
        <f t="shared" si="103"/>
        <v>1.8221720844505979E-3</v>
      </c>
      <c r="U169" s="309">
        <f t="shared" si="104"/>
        <v>6.5782403658803661</v>
      </c>
      <c r="V169" s="311">
        <f t="shared" si="105"/>
        <v>8.6546492622595714E-2</v>
      </c>
      <c r="W169" s="309">
        <f t="shared" si="106"/>
        <v>8.6546492622595714E-2</v>
      </c>
      <c r="X169" s="309">
        <f t="shared" si="107"/>
        <v>6.5782403658803661</v>
      </c>
      <c r="Y169" s="309">
        <f t="shared" si="108"/>
        <v>2.2502088081874883</v>
      </c>
      <c r="Z169" s="309">
        <f t="shared" si="124"/>
        <v>0.14409851218740108</v>
      </c>
      <c r="AA169" s="309">
        <f t="shared" si="125"/>
        <v>6.9304499999999991E-2</v>
      </c>
      <c r="AB169" s="309">
        <f t="shared" si="126"/>
        <v>0</v>
      </c>
      <c r="AC169" s="309">
        <f t="shared" si="109"/>
        <v>4.8788830604658031</v>
      </c>
      <c r="AD169" s="309">
        <f t="shared" si="110"/>
        <v>10.126644349099692</v>
      </c>
      <c r="AE169" s="309">
        <f t="shared" si="111"/>
        <v>1.0254892577315273</v>
      </c>
      <c r="AF169" s="309">
        <f t="shared" si="127"/>
        <v>0.16200000000000001</v>
      </c>
      <c r="AG169" s="309">
        <f t="shared" si="112"/>
        <v>1.4205747154037836</v>
      </c>
      <c r="AH169" s="309">
        <f t="shared" si="113"/>
        <v>0</v>
      </c>
      <c r="AI169">
        <f t="shared" si="128"/>
        <v>0</v>
      </c>
      <c r="AJ169" s="310">
        <f t="shared" si="129"/>
        <v>0.2172</v>
      </c>
      <c r="AK169">
        <f t="shared" si="134"/>
        <v>3.6000000000000004E-2</v>
      </c>
      <c r="AL169" s="310">
        <f t="shared" si="130"/>
        <v>3.0374999999999999E-2</v>
      </c>
      <c r="AM169" s="310">
        <f t="shared" si="135"/>
        <v>5.5427027027027023E-2</v>
      </c>
      <c r="AN169" s="310">
        <f t="shared" si="114"/>
        <v>6.6375000000000003E-2</v>
      </c>
      <c r="AO169" s="310">
        <f t="shared" si="115"/>
        <v>7.8121842280578182</v>
      </c>
      <c r="AP169">
        <f t="shared" si="131"/>
        <v>60</v>
      </c>
      <c r="AQ169" s="9">
        <f t="shared" si="116"/>
        <v>0.88479674682377407</v>
      </c>
      <c r="AR169" s="51">
        <f t="shared" si="117"/>
        <v>268.33856832561918</v>
      </c>
      <c r="AS169" s="51">
        <f t="shared" si="118"/>
        <v>56.822988616151342</v>
      </c>
      <c r="AT169" s="9"/>
      <c r="AU169">
        <f t="shared" si="119"/>
        <v>88.479674682377407</v>
      </c>
    </row>
    <row r="170" spans="7:47">
      <c r="G170">
        <v>161</v>
      </c>
      <c r="H170">
        <f t="shared" si="120"/>
        <v>12.075000000000001</v>
      </c>
      <c r="I170" s="309">
        <f t="shared" si="97"/>
        <v>0.29687558059435709</v>
      </c>
      <c r="J170" s="310">
        <f t="shared" si="121"/>
        <v>4.6780394517898696</v>
      </c>
      <c r="K170" s="310">
        <f t="shared" si="132"/>
        <v>14.414019725894935</v>
      </c>
      <c r="L170" s="310">
        <f t="shared" si="98"/>
        <v>9.7359802741050672</v>
      </c>
      <c r="M170" s="51">
        <f t="shared" si="122"/>
        <v>0</v>
      </c>
      <c r="N170" s="309">
        <f t="shared" si="99"/>
        <v>12.150279671378291</v>
      </c>
      <c r="O170" s="309">
        <f t="shared" si="100"/>
        <v>0.95333076010393314</v>
      </c>
      <c r="P170">
        <f t="shared" si="123"/>
        <v>0.2</v>
      </c>
      <c r="Q170" s="309">
        <f t="shared" si="133"/>
        <v>1.1533307601039331</v>
      </c>
      <c r="R170" s="8">
        <f t="shared" si="101"/>
        <v>1.3504336683852853</v>
      </c>
      <c r="S170" s="8">
        <f t="shared" si="102"/>
        <v>1.823671092708539E-3</v>
      </c>
      <c r="T170" s="8">
        <f t="shared" si="103"/>
        <v>1.823671092708539E-3</v>
      </c>
      <c r="U170" s="309">
        <f t="shared" si="104"/>
        <v>6.6202366264552133</v>
      </c>
      <c r="V170" s="311">
        <f t="shared" si="105"/>
        <v>8.7655065980518199E-2</v>
      </c>
      <c r="W170" s="309">
        <f t="shared" si="106"/>
        <v>8.7655065980518199E-2</v>
      </c>
      <c r="X170" s="309">
        <f t="shared" si="107"/>
        <v>6.6202366264552133</v>
      </c>
      <c r="Y170" s="309">
        <f t="shared" si="108"/>
        <v>2.2790317154934732</v>
      </c>
      <c r="Z170" s="309">
        <f t="shared" si="124"/>
        <v>0.14507454640663275</v>
      </c>
      <c r="AA170" s="309">
        <f t="shared" si="125"/>
        <v>6.9304499999999991E-2</v>
      </c>
      <c r="AB170" s="309">
        <f t="shared" si="126"/>
        <v>0</v>
      </c>
      <c r="AC170" s="309">
        <f t="shared" si="109"/>
        <v>5.0006932208491666</v>
      </c>
      <c r="AD170" s="309">
        <f t="shared" si="110"/>
        <v>10.188315027640707</v>
      </c>
      <c r="AE170" s="309">
        <f t="shared" si="111"/>
        <v>1.0380176310244946</v>
      </c>
      <c r="AF170" s="309">
        <f t="shared" si="127"/>
        <v>0.1630125</v>
      </c>
      <c r="AG170" s="309">
        <f t="shared" si="112"/>
        <v>1.4402271127364916</v>
      </c>
      <c r="AH170" s="309">
        <f t="shared" si="113"/>
        <v>0</v>
      </c>
      <c r="AI170">
        <f t="shared" si="128"/>
        <v>0</v>
      </c>
      <c r="AJ170" s="310">
        <f t="shared" si="129"/>
        <v>0.21715124999999999</v>
      </c>
      <c r="AK170">
        <f t="shared" si="134"/>
        <v>3.6000000000000004E-2</v>
      </c>
      <c r="AL170" s="310">
        <f t="shared" si="130"/>
        <v>3.0374999999999999E-2</v>
      </c>
      <c r="AM170" s="310">
        <f t="shared" si="135"/>
        <v>5.5427027027027023E-2</v>
      </c>
      <c r="AN170" s="310">
        <f t="shared" si="114"/>
        <v>6.6375000000000003E-2</v>
      </c>
      <c r="AO170" s="310">
        <f t="shared" si="115"/>
        <v>7.9672560807628177</v>
      </c>
      <c r="AP170">
        <f t="shared" si="131"/>
        <v>60.375000000000007</v>
      </c>
      <c r="AQ170" s="9">
        <f t="shared" si="116"/>
        <v>0.88342123105582604</v>
      </c>
      <c r="AR170" s="51">
        <f t="shared" si="117"/>
        <v>275.03812714670414</v>
      </c>
      <c r="AS170" s="51">
        <f t="shared" si="118"/>
        <v>57.609084509459663</v>
      </c>
      <c r="AT170" s="9"/>
      <c r="AU170">
        <f t="shared" si="119"/>
        <v>88.342123105582601</v>
      </c>
    </row>
    <row r="171" spans="7:47">
      <c r="G171">
        <v>162</v>
      </c>
      <c r="H171">
        <f t="shared" si="120"/>
        <v>12.15</v>
      </c>
      <c r="I171" s="309">
        <f t="shared" si="97"/>
        <v>0.29699766148075718</v>
      </c>
      <c r="J171" s="310">
        <f t="shared" si="121"/>
        <v>4.6799631506058708</v>
      </c>
      <c r="K171" s="310">
        <f t="shared" si="132"/>
        <v>14.489981575302936</v>
      </c>
      <c r="L171" s="310">
        <f t="shared" si="98"/>
        <v>9.8100184246970645</v>
      </c>
      <c r="M171" s="51">
        <f t="shared" si="122"/>
        <v>0</v>
      </c>
      <c r="N171" s="309">
        <f t="shared" si="99"/>
        <v>12.224879191942378</v>
      </c>
      <c r="O171" s="309">
        <f t="shared" si="100"/>
        <v>0.96598052685011893</v>
      </c>
      <c r="P171">
        <f t="shared" si="123"/>
        <v>0.2</v>
      </c>
      <c r="Q171" s="309">
        <f t="shared" si="133"/>
        <v>1.1659805268501189</v>
      </c>
      <c r="R171" s="8">
        <f t="shared" si="101"/>
        <v>1.3509889923999143</v>
      </c>
      <c r="S171" s="8">
        <f t="shared" si="102"/>
        <v>1.8251712575857357E-3</v>
      </c>
      <c r="T171" s="8">
        <f t="shared" si="103"/>
        <v>1.8251712575857357E-3</v>
      </c>
      <c r="U171" s="309">
        <f t="shared" si="104"/>
        <v>6.6622525377868964</v>
      </c>
      <c r="V171" s="311">
        <f t="shared" si="105"/>
        <v>8.8771217754495882E-2</v>
      </c>
      <c r="W171" s="309">
        <f t="shared" si="106"/>
        <v>8.8771217754495882E-2</v>
      </c>
      <c r="X171" s="309">
        <f t="shared" si="107"/>
        <v>6.6622525377868964</v>
      </c>
      <c r="Y171" s="309">
        <f t="shared" si="108"/>
        <v>2.3080516616168927</v>
      </c>
      <c r="Z171" s="309">
        <f t="shared" si="124"/>
        <v>0.14605057871244179</v>
      </c>
      <c r="AA171" s="309">
        <f t="shared" si="125"/>
        <v>6.9304499999999991E-2</v>
      </c>
      <c r="AB171" s="309">
        <f t="shared" si="126"/>
        <v>0</v>
      </c>
      <c r="AC171" s="309">
        <f t="shared" si="109"/>
        <v>5.126493185789994</v>
      </c>
      <c r="AD171" s="309">
        <f t="shared" si="110"/>
        <v>10.249978652677175</v>
      </c>
      <c r="AE171" s="309">
        <f t="shared" si="111"/>
        <v>1.050620623803378</v>
      </c>
      <c r="AF171" s="309">
        <f t="shared" si="127"/>
        <v>0.164025</v>
      </c>
      <c r="AG171" s="309">
        <f t="shared" si="112"/>
        <v>1.4600848677298033</v>
      </c>
      <c r="AH171" s="309">
        <f t="shared" si="113"/>
        <v>0</v>
      </c>
      <c r="AI171">
        <f t="shared" si="128"/>
        <v>0</v>
      </c>
      <c r="AJ171" s="310">
        <f t="shared" si="129"/>
        <v>0.2171025</v>
      </c>
      <c r="AK171">
        <f t="shared" si="134"/>
        <v>3.6000000000000004E-2</v>
      </c>
      <c r="AL171" s="310">
        <f t="shared" si="130"/>
        <v>3.0374999999999999E-2</v>
      </c>
      <c r="AM171" s="310">
        <f t="shared" si="135"/>
        <v>5.5427027027027023E-2</v>
      </c>
      <c r="AN171" s="310">
        <f t="shared" si="114"/>
        <v>6.6375000000000003E-2</v>
      </c>
      <c r="AO171" s="310">
        <f t="shared" si="115"/>
        <v>8.1266324693819989</v>
      </c>
      <c r="AP171">
        <f t="shared" si="131"/>
        <v>60.75</v>
      </c>
      <c r="AQ171" s="9">
        <f t="shared" si="116"/>
        <v>0.88201176250893853</v>
      </c>
      <c r="AR171" s="51">
        <f t="shared" si="117"/>
        <v>281.95712521844968</v>
      </c>
      <c r="AS171" s="51">
        <f t="shared" si="118"/>
        <v>58.403394709192128</v>
      </c>
      <c r="AT171" s="9"/>
      <c r="AU171">
        <f t="shared" si="119"/>
        <v>88.201176250893852</v>
      </c>
    </row>
    <row r="172" spans="7:47">
      <c r="G172">
        <v>163</v>
      </c>
      <c r="H172">
        <f t="shared" si="120"/>
        <v>12.225</v>
      </c>
      <c r="I172" s="309">
        <f t="shared" si="97"/>
        <v>0.29711978635008046</v>
      </c>
      <c r="J172" s="310">
        <f t="shared" si="121"/>
        <v>4.6818875424861162</v>
      </c>
      <c r="K172" s="310">
        <f t="shared" si="132"/>
        <v>14.565943771243058</v>
      </c>
      <c r="L172" s="310">
        <f t="shared" si="98"/>
        <v>9.8840562287569416</v>
      </c>
      <c r="M172" s="51">
        <f t="shared" si="122"/>
        <v>0</v>
      </c>
      <c r="N172" s="309">
        <f t="shared" si="99"/>
        <v>12.299483630626147</v>
      </c>
      <c r="O172" s="309">
        <f t="shared" si="100"/>
        <v>0.97873259613468444</v>
      </c>
      <c r="P172">
        <f t="shared" si="123"/>
        <v>0.2</v>
      </c>
      <c r="Q172" s="309">
        <f t="shared" si="133"/>
        <v>1.1787325961346844</v>
      </c>
      <c r="R172" s="8">
        <f t="shared" si="101"/>
        <v>1.3515445164849573</v>
      </c>
      <c r="S172" s="8">
        <f t="shared" si="102"/>
        <v>1.8266725800405569E-3</v>
      </c>
      <c r="T172" s="8">
        <f t="shared" si="103"/>
        <v>1.8266725800405569E-3</v>
      </c>
      <c r="U172" s="309">
        <f t="shared" si="104"/>
        <v>6.704288055908636</v>
      </c>
      <c r="V172" s="311">
        <f t="shared" si="105"/>
        <v>8.9894956673198398E-2</v>
      </c>
      <c r="W172" s="309">
        <f t="shared" si="106"/>
        <v>8.9894956673198398E-2</v>
      </c>
      <c r="X172" s="309">
        <f t="shared" si="107"/>
        <v>6.704288055908636</v>
      </c>
      <c r="Y172" s="309">
        <f t="shared" si="108"/>
        <v>2.3372688735031582</v>
      </c>
      <c r="Z172" s="309">
        <f t="shared" si="124"/>
        <v>0.14702660910379411</v>
      </c>
      <c r="AA172" s="309">
        <f t="shared" si="125"/>
        <v>6.9304499999999991E-2</v>
      </c>
      <c r="AB172" s="309">
        <f t="shared" si="126"/>
        <v>0</v>
      </c>
      <c r="AC172" s="309">
        <f t="shared" si="109"/>
        <v>5.2564749403323505</v>
      </c>
      <c r="AD172" s="309">
        <f t="shared" si="110"/>
        <v>10.311635139173678</v>
      </c>
      <c r="AE172" s="309">
        <f t="shared" si="111"/>
        <v>1.0632981924344136</v>
      </c>
      <c r="AF172" s="309">
        <f t="shared" si="127"/>
        <v>0.1650375</v>
      </c>
      <c r="AG172" s="309">
        <f t="shared" si="112"/>
        <v>1.4801502693902471</v>
      </c>
      <c r="AH172" s="309">
        <f t="shared" si="113"/>
        <v>0</v>
      </c>
      <c r="AI172">
        <f t="shared" si="128"/>
        <v>0</v>
      </c>
      <c r="AJ172" s="310">
        <f t="shared" si="129"/>
        <v>0.21705374999999999</v>
      </c>
      <c r="AK172">
        <f t="shared" si="134"/>
        <v>3.6000000000000004E-2</v>
      </c>
      <c r="AL172" s="310">
        <f t="shared" si="130"/>
        <v>3.0374999999999999E-2</v>
      </c>
      <c r="AM172" s="310">
        <f t="shared" si="135"/>
        <v>5.5427027027027023E-2</v>
      </c>
      <c r="AN172" s="310">
        <f t="shared" si="114"/>
        <v>6.6375000000000003E-2</v>
      </c>
      <c r="AO172" s="310">
        <f t="shared" si="115"/>
        <v>8.2905081851105216</v>
      </c>
      <c r="AP172">
        <f t="shared" si="131"/>
        <v>61.125</v>
      </c>
      <c r="AQ172" s="9">
        <f t="shared" si="116"/>
        <v>0.8805669165022576</v>
      </c>
      <c r="AR172" s="51">
        <f t="shared" si="117"/>
        <v>289.10612171827927</v>
      </c>
      <c r="AS172" s="51">
        <f t="shared" si="118"/>
        <v>59.206010775609883</v>
      </c>
      <c r="AT172" s="9"/>
      <c r="AU172">
        <f t="shared" si="119"/>
        <v>88.056691650225758</v>
      </c>
    </row>
    <row r="173" spans="7:47">
      <c r="G173">
        <v>164</v>
      </c>
      <c r="H173">
        <f t="shared" si="120"/>
        <v>12.299999999999999</v>
      </c>
      <c r="I173" s="309">
        <f t="shared" si="97"/>
        <v>0.2972419552261002</v>
      </c>
      <c r="J173" s="310">
        <f t="shared" si="121"/>
        <v>4.6838126278052155</v>
      </c>
      <c r="K173" s="310">
        <f t="shared" si="132"/>
        <v>14.641906313902606</v>
      </c>
      <c r="L173" s="310">
        <f t="shared" si="98"/>
        <v>9.9580936860973921</v>
      </c>
      <c r="M173" s="51">
        <f t="shared" si="122"/>
        <v>0</v>
      </c>
      <c r="N173" s="309">
        <f t="shared" si="99"/>
        <v>12.374092898513098</v>
      </c>
      <c r="O173" s="309">
        <f t="shared" si="100"/>
        <v>0.99158748187226353</v>
      </c>
      <c r="P173">
        <f t="shared" si="123"/>
        <v>0.2</v>
      </c>
      <c r="Q173" s="309">
        <f t="shared" si="133"/>
        <v>1.1915874818722636</v>
      </c>
      <c r="R173" s="8">
        <f t="shared" si="101"/>
        <v>1.3521002407485549</v>
      </c>
      <c r="S173" s="8">
        <f t="shared" si="102"/>
        <v>1.8281750610323003E-3</v>
      </c>
      <c r="T173" s="8">
        <f t="shared" si="103"/>
        <v>1.8281750610323003E-3</v>
      </c>
      <c r="U173" s="309">
        <f t="shared" si="104"/>
        <v>6.7463431380114027</v>
      </c>
      <c r="V173" s="311">
        <f t="shared" si="105"/>
        <v>9.1026291471587084E-2</v>
      </c>
      <c r="W173" s="309">
        <f t="shared" si="106"/>
        <v>9.1026291471587084E-2</v>
      </c>
      <c r="X173" s="309">
        <f t="shared" si="107"/>
        <v>6.7463431380114027</v>
      </c>
      <c r="Y173" s="309">
        <f t="shared" si="108"/>
        <v>2.3666835782612643</v>
      </c>
      <c r="Z173" s="309">
        <f t="shared" si="124"/>
        <v>0.14800263757965496</v>
      </c>
      <c r="AA173" s="309">
        <f t="shared" si="125"/>
        <v>6.9304499999999991E-2</v>
      </c>
      <c r="AB173" s="309">
        <f t="shared" si="126"/>
        <v>0</v>
      </c>
      <c r="AC173" s="309">
        <f t="shared" si="109"/>
        <v>5.3908430585808809</v>
      </c>
      <c r="AD173" s="309">
        <f t="shared" si="110"/>
        <v>10.373284403950311</v>
      </c>
      <c r="AE173" s="309">
        <f t="shared" si="111"/>
        <v>1.0760502932523877</v>
      </c>
      <c r="AF173" s="309">
        <f t="shared" si="127"/>
        <v>0.16604999999999998</v>
      </c>
      <c r="AG173" s="309">
        <f t="shared" si="112"/>
        <v>1.5004256463303329</v>
      </c>
      <c r="AH173" s="309">
        <f t="shared" si="113"/>
        <v>0</v>
      </c>
      <c r="AI173">
        <f t="shared" si="128"/>
        <v>0</v>
      </c>
      <c r="AJ173" s="310">
        <f t="shared" si="129"/>
        <v>0.21700499999999998</v>
      </c>
      <c r="AK173">
        <f t="shared" si="134"/>
        <v>3.6000000000000004E-2</v>
      </c>
      <c r="AL173" s="310">
        <f t="shared" si="130"/>
        <v>3.0374999999999999E-2</v>
      </c>
      <c r="AM173" s="310">
        <f t="shared" si="135"/>
        <v>5.5427027027027023E-2</v>
      </c>
      <c r="AN173" s="310">
        <f t="shared" si="114"/>
        <v>6.6375000000000003E-2</v>
      </c>
      <c r="AO173" s="310">
        <f t="shared" si="115"/>
        <v>8.4590906533160979</v>
      </c>
      <c r="AP173">
        <f t="shared" si="131"/>
        <v>61.499999999999993</v>
      </c>
      <c r="AQ173" s="9">
        <f t="shared" si="116"/>
        <v>0.87908518286443538</v>
      </c>
      <c r="AR173" s="51">
        <f t="shared" si="117"/>
        <v>296.49636822194844</v>
      </c>
      <c r="AS173" s="51">
        <f t="shared" si="118"/>
        <v>60.017025853213319</v>
      </c>
      <c r="AT173" s="9"/>
      <c r="AU173">
        <f t="shared" si="119"/>
        <v>87.908518286443538</v>
      </c>
    </row>
    <row r="174" spans="7:47">
      <c r="G174">
        <v>165</v>
      </c>
      <c r="H174">
        <f t="shared" si="120"/>
        <v>12.375</v>
      </c>
      <c r="I174" s="309">
        <f t="shared" ref="I174:I209" si="136">(Vout+Rdcr*H174+RdsonBot*H174)/(Vin-RdsonTop*H174+RdsonBot*H174)</f>
        <v>0.2973641681326068</v>
      </c>
      <c r="J174" s="310">
        <f t="shared" si="121"/>
        <v>4.6857384069380466</v>
      </c>
      <c r="K174" s="310">
        <f t="shared" si="132"/>
        <v>14.717869203469023</v>
      </c>
      <c r="L174" s="310">
        <f t="shared" ref="L174:L209" si="137">H174-J174/2</f>
        <v>10.032130796530977</v>
      </c>
      <c r="M174" s="51">
        <f t="shared" si="122"/>
        <v>0</v>
      </c>
      <c r="N174" s="309">
        <f t="shared" ref="N174:N209" si="138">SQRT(H174^2+(J174^2)/12)</f>
        <v>12.448706908812706</v>
      </c>
      <c r="O174" s="309">
        <f t="shared" ref="O174:O209" si="139">(N174^2*Rdcr*(1+Ltc*Ta-Ltc*25))/(1-N174^2*Rdcr*Ltc*ThetaCa)</f>
        <v>1.0045457035332588</v>
      </c>
      <c r="P174">
        <f t="shared" si="123"/>
        <v>0.2</v>
      </c>
      <c r="Q174" s="309">
        <f t="shared" si="133"/>
        <v>1.2045457035332587</v>
      </c>
      <c r="R174" s="8">
        <f t="shared" ref="R174:R209" si="140">J174/(2*SQRT(3))</f>
        <v>1.3526561652989249</v>
      </c>
      <c r="S174" s="8">
        <f t="shared" ref="S174:S209" si="141">RCoutEsr*R174^2</f>
        <v>1.8296787015211924E-3</v>
      </c>
      <c r="T174" s="8">
        <f t="shared" ref="T174:T209" si="142">S174</f>
        <v>1.8296787015211924E-3</v>
      </c>
      <c r="U174" s="309">
        <f t="shared" ref="U174:U209" si="143">SQRT(I174)*SQRT(H174^2+(J174^2)/12)</f>
        <v>6.7884177424095151</v>
      </c>
      <c r="V174" s="311">
        <f t="shared" ref="V174:V209" si="144">RCinEsr*U174^2</f>
        <v>9.2165230890920602E-2</v>
      </c>
      <c r="W174" s="309">
        <f t="shared" ref="W174:W209" si="145">V174</f>
        <v>9.2165230890920602E-2</v>
      </c>
      <c r="X174" s="309">
        <f t="shared" ref="X174:X209" si="146">SQRT(I174)*SQRT(H174^2+(J174^2)/12)</f>
        <v>6.7884177424095151</v>
      </c>
      <c r="Y174" s="309">
        <f t="shared" ref="Y174:Y209" si="147">RdsonTop*X174^2</f>
        <v>2.3962960031639353</v>
      </c>
      <c r="Z174" s="309">
        <f t="shared" si="124"/>
        <v>0.14897866413898883</v>
      </c>
      <c r="AA174" s="309">
        <f t="shared" si="125"/>
        <v>6.9304499999999991E-2</v>
      </c>
      <c r="AB174" s="309">
        <f t="shared" si="126"/>
        <v>0</v>
      </c>
      <c r="AC174" s="309">
        <f t="shared" ref="AC174:AC209" si="148">(AB174+AA174+Z174+Y174*(1+RdsonTopTc*Ta-RdsonTopTc*25))/(1-Y174*RdsonTopTc*ThetaJaTop)</f>
        <v>5.5298157518901245</v>
      </c>
      <c r="AD174" s="309">
        <f t="shared" ref="AD174:AD209" si="149">SQRT(1-I174)*SQRT(H174^2+(J174^2)/12)</f>
        <v>10.434926365627163</v>
      </c>
      <c r="AE174" s="309">
        <f t="shared" ref="AE174:AE209" si="150">RdsonBot*AD174^2</f>
        <v>1.0888768825606092</v>
      </c>
      <c r="AF174" s="309">
        <f t="shared" si="127"/>
        <v>0.1670625</v>
      </c>
      <c r="AG174" s="309">
        <f t="shared" ref="AG174:AG209" si="151">(AF174+AE174*(1+RdsonBotTc*Ta-RdsonBotTc*25))/(1-AE174*RdsonBotTc*ThetaJaBot)</f>
        <v>1.5209133675730393</v>
      </c>
      <c r="AH174" s="309">
        <f t="shared" ref="AH174:AH209" si="152">IF(RDSON_sense=1, 0, AD174^2*Rshunt)</f>
        <v>0</v>
      </c>
      <c r="AI174">
        <f t="shared" si="128"/>
        <v>0</v>
      </c>
      <c r="AJ174" s="310">
        <f t="shared" si="129"/>
        <v>0.21695624999999999</v>
      </c>
      <c r="AK174">
        <f t="shared" si="134"/>
        <v>3.6000000000000004E-2</v>
      </c>
      <c r="AL174" s="310">
        <f t="shared" si="130"/>
        <v>3.0374999999999999E-2</v>
      </c>
      <c r="AM174" s="310">
        <f t="shared" si="135"/>
        <v>5.5427027027027023E-2</v>
      </c>
      <c r="AN174" s="310">
        <f t="shared" ref="AN174:AN209" si="153">SUM(AK174:AL174)</f>
        <v>6.6375000000000003E-2</v>
      </c>
      <c r="AO174" s="310">
        <f t="shared" ref="AO174:AO209" si="154">SUM(Q174,T174,W174,AC174,AJ174,AI174,AG174,AN174, AH174)</f>
        <v>8.6326009825888654</v>
      </c>
      <c r="AP174">
        <f t="shared" si="131"/>
        <v>61.875</v>
      </c>
      <c r="AQ174" s="9">
        <f t="shared" ref="AQ174:AQ209" si="155">AP174/(AP174+AO174)</f>
        <v>0.87756495948967828</v>
      </c>
      <c r="AR174" s="51">
        <f t="shared" ref="AR174:AR209" si="156">ThetaJaTop*AC174</f>
        <v>304.13986635395685</v>
      </c>
      <c r="AS174" s="51">
        <f t="shared" ref="AS174:AS209" si="157">AG174*ThetaJaBot</f>
        <v>60.836534702921568</v>
      </c>
      <c r="AT174" s="9"/>
      <c r="AU174">
        <f t="shared" ref="AU174:AU209" si="158">AQ174*100</f>
        <v>87.756495948967824</v>
      </c>
    </row>
    <row r="175" spans="7:47">
      <c r="G175">
        <v>166</v>
      </c>
      <c r="H175">
        <f t="shared" si="120"/>
        <v>12.45</v>
      </c>
      <c r="I175" s="309">
        <f t="shared" si="136"/>
        <v>0.29748642509340795</v>
      </c>
      <c r="J175" s="310">
        <f t="shared" si="121"/>
        <v>4.6876648802597618</v>
      </c>
      <c r="K175" s="310">
        <f t="shared" si="132"/>
        <v>14.793832440129879</v>
      </c>
      <c r="L175" s="310">
        <f t="shared" si="137"/>
        <v>10.106167559870119</v>
      </c>
      <c r="M175" s="51">
        <f t="shared" si="122"/>
        <v>0</v>
      </c>
      <c r="N175" s="309">
        <f t="shared" si="138"/>
        <v>12.523325576797419</v>
      </c>
      <c r="O175" s="309">
        <f t="shared" si="139"/>
        <v>1.0176077862007233</v>
      </c>
      <c r="P175">
        <f t="shared" si="123"/>
        <v>0.2</v>
      </c>
      <c r="Q175" s="309">
        <f t="shared" si="133"/>
        <v>1.2176077862007233</v>
      </c>
      <c r="R175" s="8">
        <f t="shared" si="140"/>
        <v>1.3532122902443642</v>
      </c>
      <c r="S175" s="8">
        <f t="shared" si="141"/>
        <v>1.8311835024683973E-3</v>
      </c>
      <c r="T175" s="8">
        <f t="shared" si="142"/>
        <v>1.8311835024683973E-3</v>
      </c>
      <c r="U175" s="309">
        <f t="shared" si="143"/>
        <v>6.8305118285074595</v>
      </c>
      <c r="V175" s="311">
        <f t="shared" si="144"/>
        <v>9.331178367876064E-2</v>
      </c>
      <c r="W175" s="309">
        <f t="shared" si="145"/>
        <v>9.331178367876064E-2</v>
      </c>
      <c r="X175" s="309">
        <f t="shared" si="146"/>
        <v>6.8305118285074595</v>
      </c>
      <c r="Y175" s="309">
        <f t="shared" si="147"/>
        <v>2.4261063756477763</v>
      </c>
      <c r="Z175" s="309">
        <f t="shared" si="124"/>
        <v>0.14995468878075938</v>
      </c>
      <c r="AA175" s="309">
        <f t="shared" si="125"/>
        <v>6.9304499999999991E-2</v>
      </c>
      <c r="AB175" s="309">
        <f t="shared" si="126"/>
        <v>0</v>
      </c>
      <c r="AC175" s="309">
        <f t="shared" si="148"/>
        <v>5.6736260235697547</v>
      </c>
      <c r="AD175" s="309">
        <f t="shared" si="149"/>
        <v>10.496560944570755</v>
      </c>
      <c r="AE175" s="309">
        <f t="shared" si="150"/>
        <v>1.101777916630881</v>
      </c>
      <c r="AF175" s="309">
        <f t="shared" si="127"/>
        <v>0.168075</v>
      </c>
      <c r="AG175" s="309">
        <f t="shared" si="151"/>
        <v>1.5416158433765774</v>
      </c>
      <c r="AH175" s="309">
        <f t="shared" si="152"/>
        <v>0</v>
      </c>
      <c r="AI175">
        <f t="shared" si="128"/>
        <v>0</v>
      </c>
      <c r="AJ175" s="310">
        <f t="shared" si="129"/>
        <v>0.21690749999999998</v>
      </c>
      <c r="AK175">
        <f t="shared" si="134"/>
        <v>3.6000000000000004E-2</v>
      </c>
      <c r="AL175" s="310">
        <f t="shared" si="130"/>
        <v>3.0374999999999999E-2</v>
      </c>
      <c r="AM175" s="310">
        <f t="shared" si="135"/>
        <v>5.5427027027027023E-2</v>
      </c>
      <c r="AN175" s="310">
        <f t="shared" si="153"/>
        <v>6.6375000000000003E-2</v>
      </c>
      <c r="AO175" s="310">
        <f t="shared" si="154"/>
        <v>8.8112751203282844</v>
      </c>
      <c r="AP175">
        <f t="shared" si="131"/>
        <v>62.25</v>
      </c>
      <c r="AQ175" s="9">
        <f t="shared" si="155"/>
        <v>0.87600454529688454</v>
      </c>
      <c r="AR175" s="51">
        <f t="shared" si="156"/>
        <v>312.04943129633648</v>
      </c>
      <c r="AS175" s="51">
        <f t="shared" si="157"/>
        <v>61.664633735063099</v>
      </c>
      <c r="AT175" s="9"/>
      <c r="AU175">
        <f t="shared" si="158"/>
        <v>87.600454529688449</v>
      </c>
    </row>
    <row r="176" spans="7:47">
      <c r="G176">
        <v>167</v>
      </c>
      <c r="H176">
        <f t="shared" si="120"/>
        <v>12.524999999999999</v>
      </c>
      <c r="I176" s="309">
        <f t="shared" si="136"/>
        <v>0.29760872613232836</v>
      </c>
      <c r="J176" s="310">
        <f t="shared" si="121"/>
        <v>4.6895920481457809</v>
      </c>
      <c r="K176" s="310">
        <f t="shared" si="132"/>
        <v>14.869796024072889</v>
      </c>
      <c r="L176" s="310">
        <f t="shared" si="137"/>
        <v>10.180203975927109</v>
      </c>
      <c r="M176" s="51">
        <f t="shared" si="122"/>
        <v>0</v>
      </c>
      <c r="N176" s="309">
        <f t="shared" si="138"/>
        <v>12.597948819741886</v>
      </c>
      <c r="O176" s="309">
        <f t="shared" si="139"/>
        <v>1.0307742606280643</v>
      </c>
      <c r="P176">
        <f t="shared" si="123"/>
        <v>0.2</v>
      </c>
      <c r="Q176" s="309">
        <f t="shared" si="133"/>
        <v>1.2307742606280643</v>
      </c>
      <c r="R176" s="8">
        <f t="shared" si="140"/>
        <v>1.3537686156932476</v>
      </c>
      <c r="S176" s="8">
        <f t="shared" si="141"/>
        <v>1.8326894648360119E-3</v>
      </c>
      <c r="T176" s="8">
        <f t="shared" si="142"/>
        <v>1.8326894648360119E-3</v>
      </c>
      <c r="U176" s="309">
        <f t="shared" si="143"/>
        <v>6.8726253567678786</v>
      </c>
      <c r="V176" s="311">
        <f t="shared" si="144"/>
        <v>9.4465958588977619E-2</v>
      </c>
      <c r="W176" s="309">
        <f t="shared" si="145"/>
        <v>9.4465958588977619E-2</v>
      </c>
      <c r="X176" s="309">
        <f t="shared" si="146"/>
        <v>6.8726253567678786</v>
      </c>
      <c r="Y176" s="309">
        <f t="shared" si="147"/>
        <v>2.4561149233134176</v>
      </c>
      <c r="Z176" s="309">
        <f t="shared" si="124"/>
        <v>0.15093071150392962</v>
      </c>
      <c r="AA176" s="309">
        <f t="shared" si="125"/>
        <v>6.9304499999999991E-2</v>
      </c>
      <c r="AB176" s="309">
        <f t="shared" si="126"/>
        <v>0</v>
      </c>
      <c r="AC176" s="309">
        <f t="shared" si="148"/>
        <v>5.8225229429510517</v>
      </c>
      <c r="AD176" s="309">
        <f t="shared" si="149"/>
        <v>10.558188062842371</v>
      </c>
      <c r="AE176" s="309">
        <f t="shared" si="150"/>
        <v>1.1147533517034713</v>
      </c>
      <c r="AF176" s="309">
        <f t="shared" si="127"/>
        <v>0.16908749999999997</v>
      </c>
      <c r="AG176" s="309">
        <f t="shared" si="151"/>
        <v>1.562535526080024</v>
      </c>
      <c r="AH176" s="309">
        <f t="shared" si="152"/>
        <v>0</v>
      </c>
      <c r="AI176">
        <f t="shared" si="128"/>
        <v>0</v>
      </c>
      <c r="AJ176" s="310">
        <f t="shared" si="129"/>
        <v>0.21685874999999999</v>
      </c>
      <c r="AK176">
        <f t="shared" si="134"/>
        <v>3.6000000000000004E-2</v>
      </c>
      <c r="AL176" s="310">
        <f t="shared" si="130"/>
        <v>3.0374999999999999E-2</v>
      </c>
      <c r="AM176" s="310">
        <f t="shared" si="135"/>
        <v>5.5427027027027023E-2</v>
      </c>
      <c r="AN176" s="310">
        <f t="shared" si="153"/>
        <v>6.6375000000000003E-2</v>
      </c>
      <c r="AO176" s="310">
        <f t="shared" si="154"/>
        <v>8.9953651277129545</v>
      </c>
      <c r="AP176">
        <f t="shared" si="131"/>
        <v>62.624999999999993</v>
      </c>
      <c r="AQ176" s="9">
        <f t="shared" si="155"/>
        <v>0.874402132526517</v>
      </c>
      <c r="AR176" s="51">
        <f t="shared" si="156"/>
        <v>320.23876186230785</v>
      </c>
      <c r="AS176" s="51">
        <f t="shared" si="157"/>
        <v>62.501421043200963</v>
      </c>
      <c r="AT176" s="9"/>
      <c r="AU176">
        <f t="shared" si="158"/>
        <v>87.440213252651702</v>
      </c>
    </row>
    <row r="177" spans="7:47">
      <c r="G177">
        <v>168</v>
      </c>
      <c r="H177">
        <f t="shared" si="120"/>
        <v>12.6</v>
      </c>
      <c r="I177" s="309">
        <f t="shared" si="136"/>
        <v>0.29773107127321013</v>
      </c>
      <c r="J177" s="310">
        <f t="shared" si="121"/>
        <v>4.6915199109717962</v>
      </c>
      <c r="K177" s="310">
        <f t="shared" si="132"/>
        <v>14.945759955485897</v>
      </c>
      <c r="L177" s="310">
        <f t="shared" si="137"/>
        <v>10.254240044514102</v>
      </c>
      <c r="M177" s="51">
        <f t="shared" si="122"/>
        <v>0</v>
      </c>
      <c r="N177" s="309">
        <f t="shared" si="138"/>
        <v>12.672576556864316</v>
      </c>
      <c r="O177" s="309">
        <f t="shared" si="139"/>
        <v>1.0440456632975783</v>
      </c>
      <c r="P177">
        <f t="shared" si="123"/>
        <v>0.2</v>
      </c>
      <c r="Q177" s="309">
        <f t="shared" si="133"/>
        <v>1.2440456632975783</v>
      </c>
      <c r="R177" s="8">
        <f t="shared" si="140"/>
        <v>1.3543251417540279</v>
      </c>
      <c r="S177" s="8">
        <f t="shared" si="141"/>
        <v>1.8341965895870675E-3</v>
      </c>
      <c r="T177" s="8">
        <f t="shared" si="142"/>
        <v>1.8341965895870675E-3</v>
      </c>
      <c r="U177" s="309">
        <f t="shared" si="143"/>
        <v>6.9147582886806864</v>
      </c>
      <c r="V177" s="311">
        <f t="shared" si="144"/>
        <v>9.5627764381756505E-2</v>
      </c>
      <c r="W177" s="309">
        <f t="shared" si="145"/>
        <v>9.5627764381756505E-2</v>
      </c>
      <c r="X177" s="309">
        <f t="shared" si="146"/>
        <v>6.9147582886806864</v>
      </c>
      <c r="Y177" s="309">
        <f t="shared" si="147"/>
        <v>2.4863218739256689</v>
      </c>
      <c r="Z177" s="309">
        <f t="shared" si="124"/>
        <v>0.15190673230746177</v>
      </c>
      <c r="AA177" s="309">
        <f t="shared" si="125"/>
        <v>6.9304499999999991E-2</v>
      </c>
      <c r="AB177" s="309">
        <f t="shared" si="126"/>
        <v>0</v>
      </c>
      <c r="AC177" s="309">
        <f t="shared" si="148"/>
        <v>5.9767730534615335</v>
      </c>
      <c r="AD177" s="309">
        <f t="shared" si="149"/>
        <v>10.61980764414821</v>
      </c>
      <c r="AE177" s="309">
        <f t="shared" si="150"/>
        <v>1.1278031439870875</v>
      </c>
      <c r="AF177" s="309">
        <f t="shared" si="127"/>
        <v>0.1701</v>
      </c>
      <c r="AG177" s="309">
        <f t="shared" si="151"/>
        <v>1.583674910970436</v>
      </c>
      <c r="AH177" s="309">
        <f t="shared" si="152"/>
        <v>0</v>
      </c>
      <c r="AI177">
        <f t="shared" si="128"/>
        <v>0</v>
      </c>
      <c r="AJ177" s="310">
        <f t="shared" si="129"/>
        <v>0.21680999999999997</v>
      </c>
      <c r="AK177">
        <f t="shared" si="134"/>
        <v>3.6000000000000004E-2</v>
      </c>
      <c r="AL177" s="310">
        <f t="shared" si="130"/>
        <v>3.0374999999999999E-2</v>
      </c>
      <c r="AM177" s="310">
        <f t="shared" si="135"/>
        <v>5.5427027027027023E-2</v>
      </c>
      <c r="AN177" s="310">
        <f t="shared" si="153"/>
        <v>6.6375000000000003E-2</v>
      </c>
      <c r="AO177" s="310">
        <f t="shared" si="154"/>
        <v>9.1851405887008912</v>
      </c>
      <c r="AP177">
        <f t="shared" si="131"/>
        <v>63</v>
      </c>
      <c r="AQ177" s="9">
        <f t="shared" si="155"/>
        <v>0.87275579830153249</v>
      </c>
      <c r="AR177" s="51">
        <f t="shared" si="156"/>
        <v>328.72251794038436</v>
      </c>
      <c r="AS177" s="51">
        <f t="shared" si="157"/>
        <v>63.346996438817442</v>
      </c>
      <c r="AT177" s="9"/>
      <c r="AU177">
        <f t="shared" si="158"/>
        <v>87.275579830153248</v>
      </c>
    </row>
    <row r="178" spans="7:47">
      <c r="G178">
        <v>169</v>
      </c>
      <c r="H178">
        <f t="shared" si="120"/>
        <v>12.674999999999999</v>
      </c>
      <c r="I178" s="309">
        <f t="shared" si="136"/>
        <v>0.29785346053991235</v>
      </c>
      <c r="J178" s="310">
        <f t="shared" si="121"/>
        <v>4.693448469113771</v>
      </c>
      <c r="K178" s="310">
        <f t="shared" si="132"/>
        <v>15.021724234556885</v>
      </c>
      <c r="L178" s="310">
        <f t="shared" si="137"/>
        <v>10.328275765443113</v>
      </c>
      <c r="M178" s="51">
        <f t="shared" si="122"/>
        <v>0</v>
      </c>
      <c r="N178" s="309">
        <f t="shared" si="138"/>
        <v>12.747208709269866</v>
      </c>
      <c r="O178" s="309">
        <f t="shared" si="139"/>
        <v>1.05742253647983</v>
      </c>
      <c r="P178">
        <f t="shared" si="123"/>
        <v>0.2</v>
      </c>
      <c r="Q178" s="309">
        <f t="shared" si="133"/>
        <v>1.2574225364798299</v>
      </c>
      <c r="R178" s="8">
        <f t="shared" si="140"/>
        <v>1.3548818685352364</v>
      </c>
      <c r="S178" s="8">
        <f t="shared" si="141"/>
        <v>1.8357048776855337E-3</v>
      </c>
      <c r="T178" s="8">
        <f t="shared" si="142"/>
        <v>1.8357048776855337E-3</v>
      </c>
      <c r="U178" s="309">
        <f t="shared" si="143"/>
        <v>6.9569105867332439</v>
      </c>
      <c r="V178" s="311">
        <f t="shared" si="144"/>
        <v>9.6797209823602182E-2</v>
      </c>
      <c r="W178" s="309">
        <f t="shared" si="145"/>
        <v>9.6797209823602182E-2</v>
      </c>
      <c r="X178" s="309">
        <f t="shared" si="146"/>
        <v>6.9569105867332439</v>
      </c>
      <c r="Y178" s="309">
        <f t="shared" si="147"/>
        <v>2.5167274554136565</v>
      </c>
      <c r="Z178" s="309">
        <f t="shared" si="124"/>
        <v>0.15288275119031725</v>
      </c>
      <c r="AA178" s="309">
        <f t="shared" si="125"/>
        <v>6.9304499999999991E-2</v>
      </c>
      <c r="AB178" s="309">
        <f t="shared" si="126"/>
        <v>0</v>
      </c>
      <c r="AC178" s="309">
        <f t="shared" si="148"/>
        <v>6.1366619314451087</v>
      </c>
      <c r="AD178" s="309">
        <f t="shared" si="149"/>
        <v>10.681419613791251</v>
      </c>
      <c r="AE178" s="309">
        <f t="shared" si="150"/>
        <v>1.1409272496588443</v>
      </c>
      <c r="AF178" s="309">
        <f t="shared" si="127"/>
        <v>0.17111249999999997</v>
      </c>
      <c r="AG178" s="309">
        <f t="shared" si="151"/>
        <v>1.6050365371720747</v>
      </c>
      <c r="AH178" s="309">
        <f t="shared" si="152"/>
        <v>0</v>
      </c>
      <c r="AI178">
        <f t="shared" si="128"/>
        <v>0</v>
      </c>
      <c r="AJ178" s="310">
        <f t="shared" si="129"/>
        <v>0.21676124999999999</v>
      </c>
      <c r="AK178">
        <f t="shared" si="134"/>
        <v>3.6000000000000004E-2</v>
      </c>
      <c r="AL178" s="310">
        <f t="shared" si="130"/>
        <v>3.0374999999999999E-2</v>
      </c>
      <c r="AM178" s="310">
        <f t="shared" si="135"/>
        <v>5.5427027027027023E-2</v>
      </c>
      <c r="AN178" s="310">
        <f t="shared" si="153"/>
        <v>6.6375000000000003E-2</v>
      </c>
      <c r="AO178" s="310">
        <f t="shared" si="154"/>
        <v>9.3808901697983025</v>
      </c>
      <c r="AP178">
        <f t="shared" si="131"/>
        <v>63.374999999999993</v>
      </c>
      <c r="AQ178" s="9">
        <f t="shared" si="155"/>
        <v>0.87106349536917083</v>
      </c>
      <c r="AR178" s="51">
        <f t="shared" si="156"/>
        <v>337.51640622948099</v>
      </c>
      <c r="AS178" s="51">
        <f t="shared" si="157"/>
        <v>64.201461486882991</v>
      </c>
      <c r="AT178" s="9"/>
      <c r="AU178">
        <f t="shared" si="158"/>
        <v>87.106349536917079</v>
      </c>
    </row>
    <row r="179" spans="7:47">
      <c r="G179">
        <v>170</v>
      </c>
      <c r="H179">
        <f t="shared" si="120"/>
        <v>12.75</v>
      </c>
      <c r="I179" s="309">
        <f t="shared" si="136"/>
        <v>0.29797589395631141</v>
      </c>
      <c r="J179" s="310">
        <f t="shared" si="121"/>
        <v>4.6953777229479376</v>
      </c>
      <c r="K179" s="310">
        <f t="shared" si="132"/>
        <v>15.097688861473969</v>
      </c>
      <c r="L179" s="310">
        <f t="shared" si="137"/>
        <v>10.402311138526031</v>
      </c>
      <c r="M179" s="51">
        <f t="shared" si="122"/>
        <v>0</v>
      </c>
      <c r="N179" s="309">
        <f t="shared" si="138"/>
        <v>12.821845199896009</v>
      </c>
      <c r="O179" s="309">
        <f t="shared" si="139"/>
        <v>1.070905428293889</v>
      </c>
      <c r="P179">
        <f t="shared" si="123"/>
        <v>0.2</v>
      </c>
      <c r="Q179" s="309">
        <f t="shared" si="133"/>
        <v>1.270905428293889</v>
      </c>
      <c r="R179" s="8">
        <f t="shared" si="140"/>
        <v>1.3554387961454819</v>
      </c>
      <c r="S179" s="8">
        <f t="shared" si="141"/>
        <v>1.8372143300963133E-3</v>
      </c>
      <c r="T179" s="8">
        <f t="shared" si="142"/>
        <v>1.8372143300963133E-3</v>
      </c>
      <c r="U179" s="309">
        <f t="shared" si="143"/>
        <v>6.9990822143815876</v>
      </c>
      <c r="V179" s="311">
        <f t="shared" si="144"/>
        <v>9.7974303687345346E-2</v>
      </c>
      <c r="W179" s="309">
        <f t="shared" si="145"/>
        <v>9.7974303687345346E-2</v>
      </c>
      <c r="X179" s="309">
        <f t="shared" si="146"/>
        <v>6.9990822143815876</v>
      </c>
      <c r="Y179" s="309">
        <f t="shared" si="147"/>
        <v>2.5473318958709785</v>
      </c>
      <c r="Z179" s="309">
        <f t="shared" si="124"/>
        <v>0.15385876815145688</v>
      </c>
      <c r="AA179" s="309">
        <f t="shared" si="125"/>
        <v>6.9304499999999991E-2</v>
      </c>
      <c r="AB179" s="309">
        <f t="shared" si="126"/>
        <v>0</v>
      </c>
      <c r="AC179" s="309">
        <f t="shared" si="148"/>
        <v>6.3024959148980093</v>
      </c>
      <c r="AD179" s="309">
        <f t="shared" si="149"/>
        <v>10.743023898624802</v>
      </c>
      <c r="AE179" s="309">
        <f t="shared" si="150"/>
        <v>1.1541256248642364</v>
      </c>
      <c r="AF179" s="309">
        <f t="shared" si="127"/>
        <v>0.172125</v>
      </c>
      <c r="AG179" s="309">
        <f t="shared" si="151"/>
        <v>1.6266229885583947</v>
      </c>
      <c r="AH179" s="309">
        <f t="shared" si="152"/>
        <v>0</v>
      </c>
      <c r="AI179">
        <f t="shared" si="128"/>
        <v>0</v>
      </c>
      <c r="AJ179" s="310">
        <f t="shared" si="129"/>
        <v>0.21671249999999997</v>
      </c>
      <c r="AK179">
        <f t="shared" si="134"/>
        <v>3.6000000000000004E-2</v>
      </c>
      <c r="AL179" s="310">
        <f t="shared" si="130"/>
        <v>3.0374999999999999E-2</v>
      </c>
      <c r="AM179" s="310">
        <f t="shared" si="135"/>
        <v>5.5427027027027023E-2</v>
      </c>
      <c r="AN179" s="310">
        <f t="shared" si="153"/>
        <v>6.6375000000000003E-2</v>
      </c>
      <c r="AO179" s="310">
        <f t="shared" si="154"/>
        <v>9.5829233497677357</v>
      </c>
      <c r="AP179">
        <f t="shared" si="131"/>
        <v>63.75</v>
      </c>
      <c r="AQ179" s="9">
        <f t="shared" si="155"/>
        <v>0.86932304192945975</v>
      </c>
      <c r="AR179" s="51">
        <f t="shared" si="156"/>
        <v>346.63727531939054</v>
      </c>
      <c r="AS179" s="51">
        <f t="shared" si="157"/>
        <v>65.064919542335787</v>
      </c>
      <c r="AT179" s="9"/>
      <c r="AU179">
        <f t="shared" si="158"/>
        <v>86.932304192945978</v>
      </c>
    </row>
    <row r="180" spans="7:47">
      <c r="G180">
        <v>171</v>
      </c>
      <c r="H180">
        <f t="shared" si="120"/>
        <v>12.824999999999999</v>
      </c>
      <c r="I180" s="309">
        <f t="shared" si="136"/>
        <v>0.29809837154630081</v>
      </c>
      <c r="J180" s="310">
        <f t="shared" si="121"/>
        <v>4.6973076728508012</v>
      </c>
      <c r="K180" s="310">
        <f t="shared" si="132"/>
        <v>15.1736538364254</v>
      </c>
      <c r="L180" s="310">
        <f t="shared" si="137"/>
        <v>10.476346163574599</v>
      </c>
      <c r="M180" s="51">
        <f t="shared" si="122"/>
        <v>0</v>
      </c>
      <c r="N180" s="309">
        <f t="shared" si="138"/>
        <v>12.896485953459772</v>
      </c>
      <c r="O180" s="309">
        <f t="shared" si="139"/>
        <v>1.0844948927684426</v>
      </c>
      <c r="P180">
        <f t="shared" si="123"/>
        <v>0.2</v>
      </c>
      <c r="Q180" s="309">
        <f t="shared" si="133"/>
        <v>1.2844948927684425</v>
      </c>
      <c r="R180" s="8">
        <f t="shared" si="140"/>
        <v>1.3559959246934523</v>
      </c>
      <c r="S180" s="8">
        <f t="shared" si="141"/>
        <v>1.8387249477852508E-3</v>
      </c>
      <c r="T180" s="8">
        <f t="shared" si="142"/>
        <v>1.8387249477852508E-3</v>
      </c>
      <c r="U180" s="309">
        <f t="shared" si="143"/>
        <v>7.0412731360226397</v>
      </c>
      <c r="V180" s="311">
        <f t="shared" si="144"/>
        <v>9.9159054752148201E-2</v>
      </c>
      <c r="W180" s="309">
        <f t="shared" si="145"/>
        <v>9.9159054752148201E-2</v>
      </c>
      <c r="X180" s="309">
        <f t="shared" si="146"/>
        <v>7.0412731360226397</v>
      </c>
      <c r="Y180" s="309">
        <f t="shared" si="147"/>
        <v>2.5781354235558531</v>
      </c>
      <c r="Z180" s="309">
        <f t="shared" si="124"/>
        <v>0.15483478318984059</v>
      </c>
      <c r="AA180" s="309">
        <f t="shared" si="125"/>
        <v>6.9304499999999991E-2</v>
      </c>
      <c r="AB180" s="309">
        <f t="shared" si="126"/>
        <v>0</v>
      </c>
      <c r="AC180" s="309">
        <f t="shared" si="148"/>
        <v>6.4746040241281424</v>
      </c>
      <c r="AD180" s="309">
        <f t="shared" si="149"/>
        <v>10.804620427007656</v>
      </c>
      <c r="AE180" s="309">
        <f t="shared" si="150"/>
        <v>1.1673982257171109</v>
      </c>
      <c r="AF180" s="309">
        <f t="shared" si="127"/>
        <v>0.1731375</v>
      </c>
      <c r="AG180" s="309">
        <f t="shared" si="151"/>
        <v>1.6484368946874763</v>
      </c>
      <c r="AH180" s="309">
        <f t="shared" si="152"/>
        <v>0</v>
      </c>
      <c r="AI180">
        <f t="shared" si="128"/>
        <v>0</v>
      </c>
      <c r="AJ180" s="310">
        <f t="shared" si="129"/>
        <v>0.21666375000000002</v>
      </c>
      <c r="AK180">
        <f t="shared" si="134"/>
        <v>3.6000000000000004E-2</v>
      </c>
      <c r="AL180" s="310">
        <f t="shared" si="130"/>
        <v>3.0374999999999999E-2</v>
      </c>
      <c r="AM180" s="310">
        <f t="shared" si="135"/>
        <v>5.5427027027027023E-2</v>
      </c>
      <c r="AN180" s="310">
        <f t="shared" si="153"/>
        <v>6.6375000000000003E-2</v>
      </c>
      <c r="AO180" s="310">
        <f t="shared" si="154"/>
        <v>9.7915723412839952</v>
      </c>
      <c r="AP180">
        <f t="shared" si="131"/>
        <v>64.125</v>
      </c>
      <c r="AQ180" s="9">
        <f t="shared" si="155"/>
        <v>0.86753211044371992</v>
      </c>
      <c r="AR180" s="51">
        <f t="shared" si="156"/>
        <v>356.10322132704783</v>
      </c>
      <c r="AS180" s="51">
        <f t="shared" si="157"/>
        <v>65.937475787499054</v>
      </c>
      <c r="AT180" s="9"/>
      <c r="AU180">
        <f t="shared" si="158"/>
        <v>86.753211044371994</v>
      </c>
    </row>
    <row r="181" spans="7:47">
      <c r="G181">
        <v>172</v>
      </c>
      <c r="H181">
        <f t="shared" si="120"/>
        <v>12.9</v>
      </c>
      <c r="I181" s="309">
        <f t="shared" si="136"/>
        <v>0.29822089333379159</v>
      </c>
      <c r="J181" s="310">
        <f t="shared" si="121"/>
        <v>4.6992383191991403</v>
      </c>
      <c r="K181" s="310">
        <f t="shared" si="132"/>
        <v>15.24961915959957</v>
      </c>
      <c r="L181" s="310">
        <f t="shared" si="137"/>
        <v>10.550380840400431</v>
      </c>
      <c r="M181" s="51">
        <f t="shared" si="122"/>
        <v>0</v>
      </c>
      <c r="N181" s="309">
        <f t="shared" si="138"/>
        <v>12.971130896406802</v>
      </c>
      <c r="O181" s="309">
        <f t="shared" si="139"/>
        <v>1.0981914899037892</v>
      </c>
      <c r="P181">
        <f t="shared" si="123"/>
        <v>0.2</v>
      </c>
      <c r="Q181" s="309">
        <f t="shared" si="133"/>
        <v>1.2981914899037892</v>
      </c>
      <c r="R181" s="8">
        <f t="shared" si="140"/>
        <v>1.3565532542879142</v>
      </c>
      <c r="S181" s="8">
        <f t="shared" si="141"/>
        <v>1.8402367317191305E-3</v>
      </c>
      <c r="T181" s="8">
        <f t="shared" si="142"/>
        <v>1.8402367317191305E-3</v>
      </c>
      <c r="U181" s="309">
        <f t="shared" si="143"/>
        <v>7.0834833169673805</v>
      </c>
      <c r="V181" s="311">
        <f t="shared" si="144"/>
        <v>0.10035147180351041</v>
      </c>
      <c r="W181" s="309">
        <f t="shared" si="145"/>
        <v>0.10035147180351041</v>
      </c>
      <c r="X181" s="309">
        <f t="shared" si="146"/>
        <v>7.0834833169673805</v>
      </c>
      <c r="Y181" s="309">
        <f t="shared" si="147"/>
        <v>2.6091382668912706</v>
      </c>
      <c r="Z181" s="309">
        <f t="shared" si="124"/>
        <v>0.15581079630442762</v>
      </c>
      <c r="AA181" s="309">
        <f t="shared" si="125"/>
        <v>6.9304499999999991E-2</v>
      </c>
      <c r="AB181" s="309">
        <f t="shared" si="126"/>
        <v>0</v>
      </c>
      <c r="AC181" s="309">
        <f t="shared" si="148"/>
        <v>6.6533400996647369</v>
      </c>
      <c r="AD181" s="309">
        <f t="shared" si="149"/>
        <v>10.866209128760772</v>
      </c>
      <c r="AE181" s="309">
        <f t="shared" si="150"/>
        <v>1.1807450082996394</v>
      </c>
      <c r="AF181" s="309">
        <f t="shared" si="127"/>
        <v>0.17415</v>
      </c>
      <c r="AG181" s="309">
        <f t="shared" si="151"/>
        <v>1.6704809317615972</v>
      </c>
      <c r="AH181" s="309">
        <f t="shared" si="152"/>
        <v>0</v>
      </c>
      <c r="AI181">
        <f t="shared" si="128"/>
        <v>0</v>
      </c>
      <c r="AJ181" s="310">
        <f t="shared" si="129"/>
        <v>0.21661499999999997</v>
      </c>
      <c r="AK181">
        <f t="shared" si="134"/>
        <v>3.6000000000000004E-2</v>
      </c>
      <c r="AL181" s="310">
        <f t="shared" si="130"/>
        <v>3.0374999999999999E-2</v>
      </c>
      <c r="AM181" s="310">
        <f t="shared" si="135"/>
        <v>5.5427027027027023E-2</v>
      </c>
      <c r="AN181" s="310">
        <f t="shared" si="153"/>
        <v>6.6375000000000003E-2</v>
      </c>
      <c r="AO181" s="310">
        <f t="shared" si="154"/>
        <v>10.007194229865352</v>
      </c>
      <c r="AP181">
        <f t="shared" si="131"/>
        <v>64.5</v>
      </c>
      <c r="AQ181" s="9">
        <f t="shared" si="155"/>
        <v>0.86568821530184425</v>
      </c>
      <c r="AR181" s="51">
        <f t="shared" si="156"/>
        <v>365.93370548156054</v>
      </c>
      <c r="AS181" s="51">
        <f t="shared" si="157"/>
        <v>66.819237270463887</v>
      </c>
      <c r="AT181" s="9"/>
      <c r="AU181">
        <f t="shared" si="158"/>
        <v>86.568821530184422</v>
      </c>
    </row>
    <row r="182" spans="7:47">
      <c r="G182">
        <v>173</v>
      </c>
      <c r="H182">
        <f t="shared" si="120"/>
        <v>12.975</v>
      </c>
      <c r="I182" s="309">
        <f t="shared" si="136"/>
        <v>0.29834345934271167</v>
      </c>
      <c r="J182" s="310">
        <f t="shared" si="121"/>
        <v>4.7011696623700017</v>
      </c>
      <c r="K182" s="310">
        <f t="shared" si="132"/>
        <v>15.325584831185001</v>
      </c>
      <c r="L182" s="310">
        <f t="shared" si="137"/>
        <v>10.624415168814998</v>
      </c>
      <c r="M182" s="51">
        <f t="shared" si="122"/>
        <v>0</v>
      </c>
      <c r="N182" s="309">
        <f t="shared" si="138"/>
        <v>13.045779956862129</v>
      </c>
      <c r="O182" s="309">
        <f t="shared" si="139"/>
        <v>1.1119957857347298</v>
      </c>
      <c r="P182">
        <f t="shared" si="123"/>
        <v>0.2</v>
      </c>
      <c r="Q182" s="309">
        <f t="shared" si="133"/>
        <v>1.3119957857347297</v>
      </c>
      <c r="R182" s="8">
        <f t="shared" si="140"/>
        <v>1.3571107850377113</v>
      </c>
      <c r="S182" s="8">
        <f t="shared" si="141"/>
        <v>1.8417496828656732E-3</v>
      </c>
      <c r="T182" s="8">
        <f t="shared" si="142"/>
        <v>1.8417496828656732E-3</v>
      </c>
      <c r="U182" s="309">
        <f t="shared" si="143"/>
        <v>7.1257127234149058</v>
      </c>
      <c r="V182" s="311">
        <f t="shared" si="144"/>
        <v>0.10155156363327414</v>
      </c>
      <c r="W182" s="309">
        <f t="shared" si="145"/>
        <v>0.10155156363327414</v>
      </c>
      <c r="X182" s="309">
        <f t="shared" si="146"/>
        <v>7.1257127234149058</v>
      </c>
      <c r="Y182" s="309">
        <f t="shared" si="147"/>
        <v>2.6403406544651276</v>
      </c>
      <c r="Z182" s="309">
        <f t="shared" si="124"/>
        <v>0.15678680749417642</v>
      </c>
      <c r="AA182" s="309">
        <f t="shared" si="125"/>
        <v>6.9304499999999991E-2</v>
      </c>
      <c r="AB182" s="309">
        <f t="shared" si="126"/>
        <v>0</v>
      </c>
      <c r="AC182" s="309">
        <f t="shared" si="148"/>
        <v>6.8390851866380533</v>
      </c>
      <c r="AD182" s="309">
        <f t="shared" si="149"/>
        <v>10.927789935125427</v>
      </c>
      <c r="AE182" s="309">
        <f t="shared" si="150"/>
        <v>1.1941659286622857</v>
      </c>
      <c r="AF182" s="309">
        <f t="shared" si="127"/>
        <v>0.1751625</v>
      </c>
      <c r="AG182" s="309">
        <f t="shared" si="151"/>
        <v>1.6927578236116556</v>
      </c>
      <c r="AH182" s="309">
        <f t="shared" si="152"/>
        <v>0</v>
      </c>
      <c r="AI182">
        <f t="shared" si="128"/>
        <v>0</v>
      </c>
      <c r="AJ182" s="310">
        <f t="shared" si="129"/>
        <v>0.21656624999999996</v>
      </c>
      <c r="AK182">
        <f t="shared" si="134"/>
        <v>3.6000000000000004E-2</v>
      </c>
      <c r="AL182" s="310">
        <f t="shared" si="130"/>
        <v>3.0374999999999999E-2</v>
      </c>
      <c r="AM182" s="310">
        <f t="shared" si="135"/>
        <v>5.5427027027027023E-2</v>
      </c>
      <c r="AN182" s="310">
        <f t="shared" si="153"/>
        <v>6.6375000000000003E-2</v>
      </c>
      <c r="AO182" s="310">
        <f t="shared" si="154"/>
        <v>10.230173359300579</v>
      </c>
      <c r="AP182">
        <f t="shared" si="131"/>
        <v>64.875</v>
      </c>
      <c r="AQ182" s="9">
        <f t="shared" si="155"/>
        <v>0.8637886992103756</v>
      </c>
      <c r="AR182" s="51">
        <f t="shared" si="156"/>
        <v>376.14968526509296</v>
      </c>
      <c r="AS182" s="51">
        <f t="shared" si="157"/>
        <v>67.710312944466224</v>
      </c>
      <c r="AT182" s="9"/>
      <c r="AU182">
        <f t="shared" si="158"/>
        <v>86.378869921037563</v>
      </c>
    </row>
    <row r="183" spans="7:47">
      <c r="G183">
        <v>174</v>
      </c>
      <c r="H183">
        <f t="shared" si="120"/>
        <v>13.05</v>
      </c>
      <c r="I183" s="309">
        <f t="shared" si="136"/>
        <v>0.29846606959700656</v>
      </c>
      <c r="J183" s="310">
        <f t="shared" si="121"/>
        <v>4.7031017027407094</v>
      </c>
      <c r="K183" s="310">
        <f t="shared" si="132"/>
        <v>15.401550851370356</v>
      </c>
      <c r="L183" s="310">
        <f t="shared" si="137"/>
        <v>10.698449148629646</v>
      </c>
      <c r="M183" s="51">
        <f t="shared" si="122"/>
        <v>0</v>
      </c>
      <c r="N183" s="309">
        <f t="shared" si="138"/>
        <v>13.120433064582645</v>
      </c>
      <c r="O183" s="309">
        <f t="shared" si="139"/>
        <v>1.1259083523943771</v>
      </c>
      <c r="P183">
        <f t="shared" si="123"/>
        <v>0.2</v>
      </c>
      <c r="Q183" s="309">
        <f t="shared" si="133"/>
        <v>1.3259083523943771</v>
      </c>
      <c r="R183" s="8">
        <f t="shared" si="140"/>
        <v>1.3576685170517679</v>
      </c>
      <c r="S183" s="8">
        <f t="shared" si="141"/>
        <v>1.8432638021935468E-3</v>
      </c>
      <c r="T183" s="8">
        <f t="shared" si="142"/>
        <v>1.8432638021935468E-3</v>
      </c>
      <c r="U183" s="309">
        <f t="shared" si="143"/>
        <v>7.1679613224274137</v>
      </c>
      <c r="V183" s="311">
        <f t="shared" si="144"/>
        <v>0.10275933903963072</v>
      </c>
      <c r="W183" s="309">
        <f t="shared" si="145"/>
        <v>0.10275933903963072</v>
      </c>
      <c r="X183" s="309">
        <f t="shared" si="146"/>
        <v>7.1679613224274137</v>
      </c>
      <c r="Y183" s="309">
        <f t="shared" si="147"/>
        <v>2.6717428150303983</v>
      </c>
      <c r="Z183" s="309">
        <f t="shared" si="124"/>
        <v>0.15776281675804474</v>
      </c>
      <c r="AA183" s="309">
        <f t="shared" si="125"/>
        <v>6.9304499999999991E-2</v>
      </c>
      <c r="AB183" s="309">
        <f t="shared" si="126"/>
        <v>0</v>
      </c>
      <c r="AC183" s="309">
        <f t="shared" si="148"/>
        <v>7.0322501994288951</v>
      </c>
      <c r="AD183" s="309">
        <f t="shared" si="149"/>
        <v>10.989362778722805</v>
      </c>
      <c r="AE183" s="309">
        <f t="shared" si="150"/>
        <v>1.2076609428237821</v>
      </c>
      <c r="AF183" s="309">
        <f t="shared" si="127"/>
        <v>0.176175</v>
      </c>
      <c r="AG183" s="309">
        <f t="shared" si="151"/>
        <v>1.7152703427072173</v>
      </c>
      <c r="AH183" s="309">
        <f t="shared" si="152"/>
        <v>0</v>
      </c>
      <c r="AI183">
        <f t="shared" si="128"/>
        <v>0</v>
      </c>
      <c r="AJ183" s="310">
        <f t="shared" si="129"/>
        <v>0.2165175</v>
      </c>
      <c r="AK183">
        <f t="shared" si="134"/>
        <v>3.6000000000000004E-2</v>
      </c>
      <c r="AL183" s="310">
        <f t="shared" si="130"/>
        <v>3.0374999999999999E-2</v>
      </c>
      <c r="AM183" s="310">
        <f t="shared" si="135"/>
        <v>5.5427027027027023E-2</v>
      </c>
      <c r="AN183" s="310">
        <f t="shared" si="153"/>
        <v>6.6375000000000003E-2</v>
      </c>
      <c r="AO183" s="310">
        <f t="shared" si="154"/>
        <v>10.460923997372314</v>
      </c>
      <c r="AP183">
        <f t="shared" si="131"/>
        <v>65.25</v>
      </c>
      <c r="AQ183" s="9">
        <f t="shared" si="155"/>
        <v>0.86183071814398426</v>
      </c>
      <c r="AR183" s="51">
        <f t="shared" si="156"/>
        <v>386.77376096858922</v>
      </c>
      <c r="AS183" s="51">
        <f t="shared" si="157"/>
        <v>68.610813708288688</v>
      </c>
      <c r="AT183" s="9"/>
      <c r="AU183">
        <f t="shared" si="158"/>
        <v>86.183071814398431</v>
      </c>
    </row>
    <row r="184" spans="7:47">
      <c r="G184">
        <v>175</v>
      </c>
      <c r="H184">
        <f t="shared" si="120"/>
        <v>13.125</v>
      </c>
      <c r="I184" s="309">
        <f t="shared" si="136"/>
        <v>0.29858872412063903</v>
      </c>
      <c r="J184" s="310">
        <f t="shared" si="121"/>
        <v>4.7050344406888573</v>
      </c>
      <c r="K184" s="310">
        <f t="shared" si="132"/>
        <v>15.477517220344428</v>
      </c>
      <c r="L184" s="310">
        <f t="shared" si="137"/>
        <v>10.772482779655572</v>
      </c>
      <c r="M184" s="51">
        <f t="shared" si="122"/>
        <v>0</v>
      </c>
      <c r="N184" s="309">
        <f t="shared" si="138"/>
        <v>13.195090150911147</v>
      </c>
      <c r="O184" s="309">
        <f t="shared" si="139"/>
        <v>1.1399297681788882</v>
      </c>
      <c r="P184">
        <f t="shared" si="123"/>
        <v>0.2</v>
      </c>
      <c r="Q184" s="309">
        <f t="shared" si="133"/>
        <v>1.3399297681788882</v>
      </c>
      <c r="R184" s="8">
        <f t="shared" si="140"/>
        <v>1.3582264504390862</v>
      </c>
      <c r="S184" s="8">
        <f t="shared" si="141"/>
        <v>1.8447790906723593E-3</v>
      </c>
      <c r="T184" s="8">
        <f t="shared" si="142"/>
        <v>1.8447790906723593E-3</v>
      </c>
      <c r="U184" s="309">
        <f t="shared" si="143"/>
        <v>7.2102290819059807</v>
      </c>
      <c r="V184" s="311">
        <f t="shared" si="144"/>
        <v>0.10397480682712552</v>
      </c>
      <c r="W184" s="309">
        <f t="shared" si="145"/>
        <v>0.10397480682712552</v>
      </c>
      <c r="X184" s="309">
        <f t="shared" si="146"/>
        <v>7.2102290819059807</v>
      </c>
      <c r="Y184" s="309">
        <f t="shared" si="147"/>
        <v>2.7033449775052634</v>
      </c>
      <c r="Z184" s="309">
        <f t="shared" si="124"/>
        <v>0.15873882409498949</v>
      </c>
      <c r="AA184" s="309">
        <f t="shared" si="125"/>
        <v>6.9304499999999991E-2</v>
      </c>
      <c r="AB184" s="309">
        <f t="shared" si="126"/>
        <v>0</v>
      </c>
      <c r="AC184" s="309">
        <f t="shared" si="148"/>
        <v>7.233278905789823</v>
      </c>
      <c r="AD184" s="309">
        <f t="shared" si="149"/>
        <v>11.050927593514926</v>
      </c>
      <c r="AE184" s="309">
        <f t="shared" si="150"/>
        <v>1.2212300067710959</v>
      </c>
      <c r="AF184" s="309">
        <f t="shared" si="127"/>
        <v>0.1771875</v>
      </c>
      <c r="AG184" s="309">
        <f t="shared" si="151"/>
        <v>1.7380213111929277</v>
      </c>
      <c r="AH184" s="309">
        <f t="shared" si="152"/>
        <v>0</v>
      </c>
      <c r="AI184">
        <f t="shared" si="128"/>
        <v>0</v>
      </c>
      <c r="AJ184" s="310">
        <f t="shared" si="129"/>
        <v>0.21646874999999996</v>
      </c>
      <c r="AK184">
        <f t="shared" si="134"/>
        <v>3.6000000000000004E-2</v>
      </c>
      <c r="AL184" s="310">
        <f t="shared" si="130"/>
        <v>3.0374999999999999E-2</v>
      </c>
      <c r="AM184" s="310">
        <f t="shared" si="135"/>
        <v>5.5427027027027023E-2</v>
      </c>
      <c r="AN184" s="310">
        <f t="shared" si="153"/>
        <v>6.6375000000000003E-2</v>
      </c>
      <c r="AO184" s="310">
        <f t="shared" si="154"/>
        <v>10.699893321079438</v>
      </c>
      <c r="AP184">
        <f t="shared" si="131"/>
        <v>65.625</v>
      </c>
      <c r="AQ184" s="9">
        <f t="shared" si="155"/>
        <v>0.85981122468042359</v>
      </c>
      <c r="AR184" s="51">
        <f t="shared" si="156"/>
        <v>397.83033981844028</v>
      </c>
      <c r="AS184" s="51">
        <f t="shared" si="157"/>
        <v>69.520852447717104</v>
      </c>
      <c r="AT184" s="9"/>
      <c r="AU184">
        <f t="shared" si="158"/>
        <v>85.981122468042358</v>
      </c>
    </row>
    <row r="185" spans="7:47">
      <c r="G185">
        <v>176</v>
      </c>
      <c r="H185">
        <f t="shared" si="120"/>
        <v>13.2</v>
      </c>
      <c r="I185" s="309">
        <f t="shared" si="136"/>
        <v>0.29871142293758879</v>
      </c>
      <c r="J185" s="310">
        <f t="shared" si="121"/>
        <v>4.7069678765923086</v>
      </c>
      <c r="K185" s="310">
        <f t="shared" si="132"/>
        <v>15.553483938296154</v>
      </c>
      <c r="L185" s="310">
        <f t="shared" si="137"/>
        <v>10.846516061703845</v>
      </c>
      <c r="M185" s="51">
        <f t="shared" si="122"/>
        <v>0</v>
      </c>
      <c r="N185" s="309">
        <f t="shared" si="138"/>
        <v>13.26975114873194</v>
      </c>
      <c r="O185" s="309">
        <f t="shared" si="139"/>
        <v>1.1540606176131416</v>
      </c>
      <c r="P185">
        <f t="shared" si="123"/>
        <v>0.2</v>
      </c>
      <c r="Q185" s="309">
        <f t="shared" si="133"/>
        <v>1.3540606176131416</v>
      </c>
      <c r="R185" s="8">
        <f t="shared" si="140"/>
        <v>1.3587845853087455</v>
      </c>
      <c r="S185" s="8">
        <f t="shared" si="141"/>
        <v>1.8462955492726594E-3</v>
      </c>
      <c r="T185" s="8">
        <f t="shared" si="142"/>
        <v>1.8462955492726594E-3</v>
      </c>
      <c r="U185" s="309">
        <f t="shared" si="143"/>
        <v>7.2525159705671829</v>
      </c>
      <c r="V185" s="311">
        <f t="shared" si="144"/>
        <v>0.1051979758066641</v>
      </c>
      <c r="W185" s="309">
        <f t="shared" si="145"/>
        <v>0.1051979758066641</v>
      </c>
      <c r="X185" s="309">
        <f t="shared" si="146"/>
        <v>7.2525159705671829</v>
      </c>
      <c r="Y185" s="309">
        <f t="shared" si="147"/>
        <v>2.7351473709732663</v>
      </c>
      <c r="Z185" s="309">
        <f t="shared" si="124"/>
        <v>0.15971482950396693</v>
      </c>
      <c r="AA185" s="309">
        <f t="shared" si="125"/>
        <v>6.9304499999999991E-2</v>
      </c>
      <c r="AB185" s="309">
        <f t="shared" si="126"/>
        <v>0</v>
      </c>
      <c r="AC185" s="309">
        <f t="shared" si="148"/>
        <v>7.44265127603546</v>
      </c>
      <c r="AD185" s="309">
        <f t="shared" si="149"/>
        <v>11.11248431476691</v>
      </c>
      <c r="AE185" s="309">
        <f t="shared" si="150"/>
        <v>1.234873076459406</v>
      </c>
      <c r="AF185" s="309">
        <f t="shared" si="127"/>
        <v>0.1782</v>
      </c>
      <c r="AG185" s="309">
        <f t="shared" si="151"/>
        <v>1.7610136019521221</v>
      </c>
      <c r="AH185" s="309">
        <f t="shared" si="152"/>
        <v>0</v>
      </c>
      <c r="AI185">
        <f t="shared" si="128"/>
        <v>0</v>
      </c>
      <c r="AJ185" s="310">
        <f t="shared" si="129"/>
        <v>0.21642</v>
      </c>
      <c r="AK185">
        <f t="shared" si="134"/>
        <v>3.6000000000000004E-2</v>
      </c>
      <c r="AL185" s="310">
        <f t="shared" si="130"/>
        <v>3.0374999999999999E-2</v>
      </c>
      <c r="AM185" s="310">
        <f t="shared" si="135"/>
        <v>5.5427027027027023E-2</v>
      </c>
      <c r="AN185" s="310">
        <f t="shared" si="153"/>
        <v>6.6375000000000003E-2</v>
      </c>
      <c r="AO185" s="310">
        <f t="shared" si="154"/>
        <v>10.94756476695666</v>
      </c>
      <c r="AP185">
        <f t="shared" si="131"/>
        <v>66</v>
      </c>
      <c r="AQ185" s="9">
        <f t="shared" si="155"/>
        <v>0.85772694951279549</v>
      </c>
      <c r="AR185" s="51">
        <f t="shared" si="156"/>
        <v>409.34582018195027</v>
      </c>
      <c r="AS185" s="51">
        <f t="shared" si="157"/>
        <v>70.440544078084883</v>
      </c>
      <c r="AT185" s="9"/>
      <c r="AU185">
        <f t="shared" si="158"/>
        <v>85.772694951279547</v>
      </c>
    </row>
    <row r="186" spans="7:47">
      <c r="G186">
        <v>177</v>
      </c>
      <c r="H186">
        <f t="shared" si="120"/>
        <v>13.275</v>
      </c>
      <c r="I186" s="309">
        <f t="shared" si="136"/>
        <v>0.29883416607185342</v>
      </c>
      <c r="J186" s="310">
        <f t="shared" si="121"/>
        <v>4.7089020108292061</v>
      </c>
      <c r="K186" s="310">
        <f t="shared" si="132"/>
        <v>15.629451005414603</v>
      </c>
      <c r="L186" s="310">
        <f t="shared" si="137"/>
        <v>10.920548994585397</v>
      </c>
      <c r="M186" s="51">
        <f t="shared" si="122"/>
        <v>0</v>
      </c>
      <c r="N186" s="309">
        <f t="shared" si="138"/>
        <v>13.344415992427917</v>
      </c>
      <c r="O186" s="309">
        <f t="shared" si="139"/>
        <v>1.1683014915173695</v>
      </c>
      <c r="P186">
        <f t="shared" si="123"/>
        <v>0.2</v>
      </c>
      <c r="Q186" s="309">
        <f t="shared" si="133"/>
        <v>1.3683014915173695</v>
      </c>
      <c r="R186" s="8">
        <f t="shared" si="140"/>
        <v>1.3593429217699062</v>
      </c>
      <c r="S186" s="8">
        <f t="shared" si="141"/>
        <v>1.8478131789659454E-3</v>
      </c>
      <c r="T186" s="8">
        <f t="shared" si="142"/>
        <v>1.8478131789659454E-3</v>
      </c>
      <c r="U186" s="309">
        <f t="shared" si="143"/>
        <v>7.2948219579204974</v>
      </c>
      <c r="V186" s="311">
        <f t="shared" si="144"/>
        <v>0.10642885479551809</v>
      </c>
      <c r="W186" s="309">
        <f t="shared" si="145"/>
        <v>0.10642885479551809</v>
      </c>
      <c r="X186" s="309">
        <f t="shared" si="146"/>
        <v>7.2948219579204974</v>
      </c>
      <c r="Y186" s="309">
        <f t="shared" si="147"/>
        <v>2.7671502246834701</v>
      </c>
      <c r="Z186" s="309">
        <f t="shared" si="124"/>
        <v>0.16069083298393258</v>
      </c>
      <c r="AA186" s="309">
        <f t="shared" si="125"/>
        <v>6.9304499999999991E-2</v>
      </c>
      <c r="AB186" s="309">
        <f t="shared" si="126"/>
        <v>0</v>
      </c>
      <c r="AC186" s="309">
        <f t="shared" si="148"/>
        <v>7.6608872504910019</v>
      </c>
      <c r="AD186" s="309">
        <f t="shared" si="149"/>
        <v>11.174032879010465</v>
      </c>
      <c r="AE186" s="309">
        <f t="shared" si="150"/>
        <v>1.2485901078120689</v>
      </c>
      <c r="AF186" s="309">
        <f t="shared" si="127"/>
        <v>0.1792125</v>
      </c>
      <c r="AG186" s="309">
        <f t="shared" si="151"/>
        <v>1.7842501396984312</v>
      </c>
      <c r="AH186" s="309">
        <f t="shared" si="152"/>
        <v>0</v>
      </c>
      <c r="AI186">
        <f t="shared" si="128"/>
        <v>0</v>
      </c>
      <c r="AJ186" s="310">
        <f t="shared" si="129"/>
        <v>0.21637124999999999</v>
      </c>
      <c r="AK186">
        <f t="shared" si="134"/>
        <v>3.6000000000000004E-2</v>
      </c>
      <c r="AL186" s="310">
        <f t="shared" si="130"/>
        <v>3.0374999999999999E-2</v>
      </c>
      <c r="AM186" s="310">
        <f t="shared" si="135"/>
        <v>5.5427027027027023E-2</v>
      </c>
      <c r="AN186" s="310">
        <f t="shared" si="153"/>
        <v>6.6375000000000003E-2</v>
      </c>
      <c r="AO186" s="310">
        <f t="shared" si="154"/>
        <v>11.204461799681287</v>
      </c>
      <c r="AP186">
        <f t="shared" si="131"/>
        <v>66.375</v>
      </c>
      <c r="AQ186" s="9">
        <f t="shared" si="155"/>
        <v>0.85557438090235227</v>
      </c>
      <c r="AR186" s="51">
        <f t="shared" si="156"/>
        <v>421.34879877700513</v>
      </c>
      <c r="AS186" s="51">
        <f t="shared" si="157"/>
        <v>71.370005587937243</v>
      </c>
      <c r="AT186" s="9"/>
      <c r="AU186">
        <f t="shared" si="158"/>
        <v>85.557438090235223</v>
      </c>
    </row>
    <row r="187" spans="7:47">
      <c r="G187">
        <v>178</v>
      </c>
      <c r="H187">
        <f t="shared" si="120"/>
        <v>13.35</v>
      </c>
      <c r="I187" s="309">
        <f t="shared" si="136"/>
        <v>0.29895695354744733</v>
      </c>
      <c r="J187" s="310">
        <f t="shared" si="121"/>
        <v>4.7108368437779582</v>
      </c>
      <c r="K187" s="310">
        <f t="shared" si="132"/>
        <v>15.705418421888979</v>
      </c>
      <c r="L187" s="310">
        <f t="shared" si="137"/>
        <v>10.994581578111021</v>
      </c>
      <c r="M187" s="51">
        <f t="shared" si="122"/>
        <v>0</v>
      </c>
      <c r="N187" s="309">
        <f t="shared" si="138"/>
        <v>13.419084617839053</v>
      </c>
      <c r="O187" s="309">
        <f t="shared" si="139"/>
        <v>1.182652987074762</v>
      </c>
      <c r="P187">
        <f t="shared" si="123"/>
        <v>0.2</v>
      </c>
      <c r="Q187" s="309">
        <f t="shared" si="133"/>
        <v>1.3826529870747619</v>
      </c>
      <c r="R187" s="8">
        <f t="shared" si="140"/>
        <v>1.3599014599318058</v>
      </c>
      <c r="S187" s="8">
        <f t="shared" si="141"/>
        <v>1.8493319807246567E-3</v>
      </c>
      <c r="T187" s="8">
        <f t="shared" si="142"/>
        <v>1.8493319807246567E-3</v>
      </c>
      <c r="U187" s="309">
        <f t="shared" si="143"/>
        <v>7.3371470142464261</v>
      </c>
      <c r="V187" s="311">
        <f t="shared" si="144"/>
        <v>0.1076674526173305</v>
      </c>
      <c r="W187" s="309">
        <f t="shared" si="145"/>
        <v>0.1076674526173305</v>
      </c>
      <c r="X187" s="309">
        <f t="shared" si="146"/>
        <v>7.3371470142464261</v>
      </c>
      <c r="Y187" s="309">
        <f t="shared" si="147"/>
        <v>2.7993537680505929</v>
      </c>
      <c r="Z187" s="309">
        <f t="shared" si="124"/>
        <v>0.16166683453384104</v>
      </c>
      <c r="AA187" s="309">
        <f t="shared" si="125"/>
        <v>6.9304499999999991E-2</v>
      </c>
      <c r="AB187" s="309">
        <f t="shared" si="126"/>
        <v>0</v>
      </c>
      <c r="AC187" s="309">
        <f t="shared" si="148"/>
        <v>7.8885509874329687</v>
      </c>
      <c r="AD187" s="309">
        <f t="shared" si="149"/>
        <v>11.235573224008618</v>
      </c>
      <c r="AE187" s="309">
        <f t="shared" si="150"/>
        <v>1.2623810567205942</v>
      </c>
      <c r="AF187" s="309">
        <f t="shared" si="127"/>
        <v>0.180225</v>
      </c>
      <c r="AG187" s="309">
        <f t="shared" si="151"/>
        <v>1.8077339020962617</v>
      </c>
      <c r="AH187" s="309">
        <f t="shared" si="152"/>
        <v>0</v>
      </c>
      <c r="AI187">
        <f t="shared" si="128"/>
        <v>0</v>
      </c>
      <c r="AJ187" s="310">
        <f t="shared" si="129"/>
        <v>0.2163225</v>
      </c>
      <c r="AK187">
        <f t="shared" si="134"/>
        <v>3.6000000000000004E-2</v>
      </c>
      <c r="AL187" s="310">
        <f t="shared" si="130"/>
        <v>3.0374999999999999E-2</v>
      </c>
      <c r="AM187" s="310">
        <f t="shared" si="135"/>
        <v>5.5427027027027023E-2</v>
      </c>
      <c r="AN187" s="310">
        <f t="shared" si="153"/>
        <v>6.6375000000000003E-2</v>
      </c>
      <c r="AO187" s="310">
        <f t="shared" si="154"/>
        <v>11.471152161202049</v>
      </c>
      <c r="AP187">
        <f t="shared" si="131"/>
        <v>66.75</v>
      </c>
      <c r="AQ187" s="9">
        <f t="shared" si="155"/>
        <v>0.8533497417992294</v>
      </c>
      <c r="AR187" s="51">
        <f t="shared" si="156"/>
        <v>433.87030430881327</v>
      </c>
      <c r="AS187" s="51">
        <f t="shared" si="157"/>
        <v>72.309356083850474</v>
      </c>
      <c r="AT187" s="9"/>
      <c r="AU187">
        <f t="shared" si="158"/>
        <v>85.334974179922938</v>
      </c>
    </row>
    <row r="188" spans="7:47">
      <c r="G188">
        <v>179</v>
      </c>
      <c r="H188">
        <f t="shared" si="120"/>
        <v>13.425000000000001</v>
      </c>
      <c r="I188" s="309">
        <f t="shared" si="136"/>
        <v>0.2990797853884028</v>
      </c>
      <c r="J188" s="310">
        <f t="shared" si="121"/>
        <v>4.7127723758172566</v>
      </c>
      <c r="K188" s="310">
        <f t="shared" si="132"/>
        <v>15.781386187908629</v>
      </c>
      <c r="L188" s="310">
        <f t="shared" si="137"/>
        <v>11.068613812091373</v>
      </c>
      <c r="M188" s="51">
        <f t="shared" si="122"/>
        <v>0</v>
      </c>
      <c r="N188" s="309">
        <f t="shared" si="138"/>
        <v>13.493756962222278</v>
      </c>
      <c r="O188" s="309">
        <f t="shared" si="139"/>
        <v>1.1971157079000605</v>
      </c>
      <c r="P188">
        <f t="shared" si="123"/>
        <v>0.2</v>
      </c>
      <c r="Q188" s="309">
        <f t="shared" si="133"/>
        <v>1.3971157079000605</v>
      </c>
      <c r="R188" s="8">
        <f t="shared" si="140"/>
        <v>1.3604601999037627</v>
      </c>
      <c r="S188" s="8">
        <f t="shared" si="141"/>
        <v>1.8508519555221858E-3</v>
      </c>
      <c r="T188" s="8">
        <f t="shared" si="142"/>
        <v>1.8508519555221858E-3</v>
      </c>
      <c r="U188" s="309">
        <f t="shared" si="143"/>
        <v>7.3794911105753753</v>
      </c>
      <c r="V188" s="311">
        <f t="shared" si="144"/>
        <v>0.10891377810212197</v>
      </c>
      <c r="W188" s="309">
        <f t="shared" si="145"/>
        <v>0.10891377810212197</v>
      </c>
      <c r="X188" s="309">
        <f t="shared" si="146"/>
        <v>7.3794911105753753</v>
      </c>
      <c r="Y188" s="309">
        <f t="shared" si="147"/>
        <v>2.8317582306551712</v>
      </c>
      <c r="Z188" s="309">
        <f t="shared" si="124"/>
        <v>0.16264283415264633</v>
      </c>
      <c r="AA188" s="309">
        <f t="shared" si="125"/>
        <v>6.9304499999999991E-2</v>
      </c>
      <c r="AB188" s="309">
        <f t="shared" si="126"/>
        <v>0</v>
      </c>
      <c r="AC188" s="309">
        <f t="shared" si="148"/>
        <v>8.1262556645693778</v>
      </c>
      <c r="AD188" s="309">
        <f t="shared" si="149"/>
        <v>11.297105288721584</v>
      </c>
      <c r="AE188" s="309">
        <f t="shared" si="150"/>
        <v>1.2762458790446118</v>
      </c>
      <c r="AF188" s="309">
        <f t="shared" si="127"/>
        <v>0.1812375</v>
      </c>
      <c r="AG188" s="309">
        <f t="shared" si="151"/>
        <v>1.8314679209110281</v>
      </c>
      <c r="AH188" s="309">
        <f t="shared" si="152"/>
        <v>0</v>
      </c>
      <c r="AI188">
        <f t="shared" si="128"/>
        <v>0</v>
      </c>
      <c r="AJ188" s="310">
        <f t="shared" si="129"/>
        <v>0.21627374999999999</v>
      </c>
      <c r="AK188">
        <f t="shared" si="134"/>
        <v>3.6000000000000004E-2</v>
      </c>
      <c r="AL188" s="310">
        <f t="shared" si="130"/>
        <v>3.0374999999999999E-2</v>
      </c>
      <c r="AM188" s="310">
        <f t="shared" si="135"/>
        <v>5.5427027027027023E-2</v>
      </c>
      <c r="AN188" s="310">
        <f t="shared" si="153"/>
        <v>6.6375000000000003E-2</v>
      </c>
      <c r="AO188" s="310">
        <f t="shared" si="154"/>
        <v>11.74825267343811</v>
      </c>
      <c r="AP188">
        <f t="shared" si="131"/>
        <v>67.125</v>
      </c>
      <c r="AQ188" s="9">
        <f t="shared" si="155"/>
        <v>0.85104896431646038</v>
      </c>
      <c r="AR188" s="51">
        <f t="shared" si="156"/>
        <v>446.94406155131577</v>
      </c>
      <c r="AS188" s="51">
        <f t="shared" si="157"/>
        <v>73.258716836441124</v>
      </c>
      <c r="AT188" s="9"/>
      <c r="AU188">
        <f t="shared" si="158"/>
        <v>85.10489643164604</v>
      </c>
    </row>
    <row r="189" spans="7:47">
      <c r="G189">
        <v>180</v>
      </c>
      <c r="H189">
        <f t="shared" si="120"/>
        <v>13.5</v>
      </c>
      <c r="I189" s="309">
        <f t="shared" si="136"/>
        <v>0.29920266161876896</v>
      </c>
      <c r="J189" s="310">
        <f t="shared" si="121"/>
        <v>4.7147086073260569</v>
      </c>
      <c r="K189" s="310">
        <f t="shared" si="132"/>
        <v>15.857354303663028</v>
      </c>
      <c r="L189" s="310">
        <f t="shared" si="137"/>
        <v>11.142645696336972</v>
      </c>
      <c r="M189" s="51">
        <f t="shared" si="122"/>
        <v>0</v>
      </c>
      <c r="N189" s="309">
        <f t="shared" si="138"/>
        <v>13.568432964212663</v>
      </c>
      <c r="O189" s="309">
        <f t="shared" si="139"/>
        <v>1.2116902641091543</v>
      </c>
      <c r="P189">
        <f t="shared" si="123"/>
        <v>0.2</v>
      </c>
      <c r="Q189" s="309">
        <f t="shared" si="133"/>
        <v>1.4116902641091542</v>
      </c>
      <c r="R189" s="8">
        <f t="shared" si="140"/>
        <v>1.3610191417951722</v>
      </c>
      <c r="S189" s="8">
        <f t="shared" si="141"/>
        <v>1.8523731043328673E-3</v>
      </c>
      <c r="T189" s="8">
        <f t="shared" si="142"/>
        <v>1.8523731043328673E-3</v>
      </c>
      <c r="U189" s="309">
        <f t="shared" si="143"/>
        <v>7.4218542186671961</v>
      </c>
      <c r="V189" s="311">
        <f t="shared" si="144"/>
        <v>0.11016784008629611</v>
      </c>
      <c r="W189" s="309">
        <f t="shared" si="145"/>
        <v>0.11016784008629611</v>
      </c>
      <c r="X189" s="309">
        <f t="shared" si="146"/>
        <v>7.4218542186671961</v>
      </c>
      <c r="Y189" s="309">
        <f t="shared" si="147"/>
        <v>2.8643638422436988</v>
      </c>
      <c r="Z189" s="309">
        <f t="shared" si="124"/>
        <v>0.16361883183930162</v>
      </c>
      <c r="AA189" s="309">
        <f t="shared" si="125"/>
        <v>6.9304499999999991E-2</v>
      </c>
      <c r="AB189" s="309">
        <f t="shared" si="126"/>
        <v>0</v>
      </c>
      <c r="AC189" s="309">
        <f t="shared" si="148"/>
        <v>8.3746689200790048</v>
      </c>
      <c r="AD189" s="309">
        <f t="shared" si="149"/>
        <v>11.358629013273775</v>
      </c>
      <c r="AE189" s="309">
        <f t="shared" si="150"/>
        <v>1.2901845306118478</v>
      </c>
      <c r="AF189" s="309">
        <f t="shared" si="127"/>
        <v>0.18225</v>
      </c>
      <c r="AG189" s="309">
        <f t="shared" si="151"/>
        <v>1.855455283190063</v>
      </c>
      <c r="AH189" s="309">
        <f t="shared" si="152"/>
        <v>0</v>
      </c>
      <c r="AI189">
        <f t="shared" si="128"/>
        <v>0</v>
      </c>
      <c r="AJ189" s="310">
        <f t="shared" si="129"/>
        <v>0.216225</v>
      </c>
      <c r="AK189">
        <f t="shared" si="134"/>
        <v>3.6000000000000004E-2</v>
      </c>
      <c r="AL189" s="310">
        <f t="shared" si="130"/>
        <v>3.0374999999999999E-2</v>
      </c>
      <c r="AM189" s="310">
        <f t="shared" si="135"/>
        <v>5.5427027027027023E-2</v>
      </c>
      <c r="AN189" s="310">
        <f t="shared" si="153"/>
        <v>6.6375000000000003E-2</v>
      </c>
      <c r="AO189" s="310">
        <f t="shared" si="154"/>
        <v>12.036434680568851</v>
      </c>
      <c r="AP189">
        <f t="shared" si="131"/>
        <v>67.5</v>
      </c>
      <c r="AQ189" s="9">
        <f t="shared" si="155"/>
        <v>0.84866766119314863</v>
      </c>
      <c r="AR189" s="51">
        <f t="shared" si="156"/>
        <v>460.60679060434524</v>
      </c>
      <c r="AS189" s="51">
        <f t="shared" si="157"/>
        <v>74.218211327602518</v>
      </c>
      <c r="AT189" s="9"/>
      <c r="AU189">
        <f t="shared" si="158"/>
        <v>84.86676611931486</v>
      </c>
    </row>
    <row r="190" spans="7:47">
      <c r="G190">
        <v>181</v>
      </c>
      <c r="H190">
        <f t="shared" si="120"/>
        <v>13.575000000000001</v>
      </c>
      <c r="I190" s="309">
        <f t="shared" si="136"/>
        <v>0.29932558226261269</v>
      </c>
      <c r="J190" s="310">
        <f t="shared" si="121"/>
        <v>4.7166455386835944</v>
      </c>
      <c r="K190" s="310">
        <f t="shared" si="132"/>
        <v>15.933322769341798</v>
      </c>
      <c r="L190" s="310">
        <f t="shared" si="137"/>
        <v>11.216677230658204</v>
      </c>
      <c r="M190" s="51">
        <f t="shared" si="122"/>
        <v>0</v>
      </c>
      <c r="N190" s="309">
        <f t="shared" si="138"/>
        <v>13.643112563785875</v>
      </c>
      <c r="O190" s="309">
        <f t="shared" si="139"/>
        <v>1.2263772723896957</v>
      </c>
      <c r="P190">
        <f t="shared" si="123"/>
        <v>0.2</v>
      </c>
      <c r="Q190" s="309">
        <f t="shared" si="133"/>
        <v>1.4263772723896957</v>
      </c>
      <c r="R190" s="8">
        <f t="shared" si="140"/>
        <v>1.3615782857155103</v>
      </c>
      <c r="S190" s="8">
        <f t="shared" si="141"/>
        <v>1.8538954281319879E-3</v>
      </c>
      <c r="T190" s="8">
        <f t="shared" si="142"/>
        <v>1.8538954281319879E-3</v>
      </c>
      <c r="U190" s="309">
        <f t="shared" si="143"/>
        <v>7.4642363109914189</v>
      </c>
      <c r="V190" s="311">
        <f t="shared" si="144"/>
        <v>0.11142964741264558</v>
      </c>
      <c r="W190" s="309">
        <f t="shared" si="145"/>
        <v>0.11142964741264558</v>
      </c>
      <c r="X190" s="309">
        <f t="shared" si="146"/>
        <v>7.4642363109914189</v>
      </c>
      <c r="Y190" s="309">
        <f t="shared" si="147"/>
        <v>2.8971708327287851</v>
      </c>
      <c r="Z190" s="309">
        <f t="shared" si="124"/>
        <v>0.1645948275927594</v>
      </c>
      <c r="AA190" s="309">
        <f t="shared" si="125"/>
        <v>6.9304499999999991E-2</v>
      </c>
      <c r="AB190" s="309">
        <f t="shared" si="126"/>
        <v>0</v>
      </c>
      <c r="AC190" s="309">
        <f t="shared" si="148"/>
        <v>8.6345190348541543</v>
      </c>
      <c r="AD190" s="309">
        <f t="shared" si="149"/>
        <v>11.420144338921869</v>
      </c>
      <c r="AE190" s="309">
        <f t="shared" si="150"/>
        <v>1.304196967218092</v>
      </c>
      <c r="AF190" s="309">
        <f t="shared" si="127"/>
        <v>0.18326250000000002</v>
      </c>
      <c r="AG190" s="309">
        <f t="shared" si="151"/>
        <v>1.8796991324751415</v>
      </c>
      <c r="AH190" s="309">
        <f t="shared" si="152"/>
        <v>0</v>
      </c>
      <c r="AI190">
        <f t="shared" si="128"/>
        <v>0</v>
      </c>
      <c r="AJ190" s="310">
        <f t="shared" si="129"/>
        <v>0.21617624999999999</v>
      </c>
      <c r="AK190">
        <f t="shared" si="134"/>
        <v>3.6000000000000004E-2</v>
      </c>
      <c r="AL190" s="310">
        <f t="shared" si="130"/>
        <v>3.0374999999999999E-2</v>
      </c>
      <c r="AM190" s="310">
        <f t="shared" si="135"/>
        <v>5.5427027027027023E-2</v>
      </c>
      <c r="AN190" s="310">
        <f t="shared" si="153"/>
        <v>6.6375000000000003E-2</v>
      </c>
      <c r="AO190" s="310">
        <f t="shared" si="154"/>
        <v>12.336430232559771</v>
      </c>
      <c r="AP190">
        <f t="shared" si="131"/>
        <v>67.875</v>
      </c>
      <c r="AQ190" s="9">
        <f t="shared" si="155"/>
        <v>0.84620109382425512</v>
      </c>
      <c r="AR190" s="51">
        <f t="shared" si="156"/>
        <v>474.89854691697849</v>
      </c>
      <c r="AS190" s="51">
        <f t="shared" si="157"/>
        <v>75.187965299005668</v>
      </c>
      <c r="AT190" s="9"/>
      <c r="AU190">
        <f t="shared" si="158"/>
        <v>84.620109382425511</v>
      </c>
    </row>
    <row r="191" spans="7:47">
      <c r="G191">
        <v>182</v>
      </c>
      <c r="H191">
        <f t="shared" si="120"/>
        <v>13.65</v>
      </c>
      <c r="I191" s="309">
        <f t="shared" si="136"/>
        <v>0.2994485473440181</v>
      </c>
      <c r="J191" s="310">
        <f t="shared" si="121"/>
        <v>4.718583170269377</v>
      </c>
      <c r="K191" s="310">
        <f t="shared" si="132"/>
        <v>16.00929158513469</v>
      </c>
      <c r="L191" s="310">
        <f t="shared" si="137"/>
        <v>11.290708414865312</v>
      </c>
      <c r="M191" s="51">
        <f t="shared" si="122"/>
        <v>0</v>
      </c>
      <c r="N191" s="309">
        <f t="shared" si="138"/>
        <v>13.717795702221833</v>
      </c>
      <c r="O191" s="309">
        <f t="shared" si="139"/>
        <v>1.2411773560727499</v>
      </c>
      <c r="P191">
        <f t="shared" si="123"/>
        <v>0.2</v>
      </c>
      <c r="Q191" s="309">
        <f t="shared" si="133"/>
        <v>1.4411773560727499</v>
      </c>
      <c r="R191" s="8">
        <f t="shared" si="140"/>
        <v>1.3621376317743314</v>
      </c>
      <c r="S191" s="8">
        <f t="shared" si="141"/>
        <v>1.8554189278957843E-3</v>
      </c>
      <c r="T191" s="8">
        <f t="shared" si="142"/>
        <v>1.8554189278957843E-3</v>
      </c>
      <c r="U191" s="309">
        <f t="shared" si="143"/>
        <v>7.5066373607081083</v>
      </c>
      <c r="V191" s="311">
        <f t="shared" si="144"/>
        <v>0.11269920893035759</v>
      </c>
      <c r="W191" s="309">
        <f t="shared" si="145"/>
        <v>0.11269920893035759</v>
      </c>
      <c r="X191" s="309">
        <f t="shared" si="146"/>
        <v>7.5066373607081083</v>
      </c>
      <c r="Y191" s="309">
        <f t="shared" si="147"/>
        <v>2.9301794321892971</v>
      </c>
      <c r="Z191" s="309">
        <f t="shared" si="124"/>
        <v>0.1655708214119713</v>
      </c>
      <c r="AA191" s="309">
        <f t="shared" si="125"/>
        <v>6.9304499999999991E-2</v>
      </c>
      <c r="AB191" s="309">
        <f t="shared" si="126"/>
        <v>0</v>
      </c>
      <c r="AC191" s="309">
        <f t="shared" si="148"/>
        <v>8.9066019764813511</v>
      </c>
      <c r="AD191" s="309">
        <f t="shared" si="149"/>
        <v>11.481651208023914</v>
      </c>
      <c r="AE191" s="309">
        <f t="shared" si="150"/>
        <v>1.3182831446271701</v>
      </c>
      <c r="AF191" s="309">
        <f t="shared" si="127"/>
        <v>0.18427500000000002</v>
      </c>
      <c r="AG191" s="309">
        <f t="shared" si="151"/>
        <v>1.9042026700476238</v>
      </c>
      <c r="AH191" s="309">
        <f t="shared" si="152"/>
        <v>0</v>
      </c>
      <c r="AI191">
        <f t="shared" si="128"/>
        <v>0</v>
      </c>
      <c r="AJ191" s="310">
        <f t="shared" si="129"/>
        <v>0.21612749999999997</v>
      </c>
      <c r="AK191">
        <f t="shared" si="134"/>
        <v>3.6000000000000004E-2</v>
      </c>
      <c r="AL191" s="310">
        <f t="shared" si="130"/>
        <v>3.0374999999999999E-2</v>
      </c>
      <c r="AM191" s="310">
        <f t="shared" si="135"/>
        <v>5.5427027027027023E-2</v>
      </c>
      <c r="AN191" s="310">
        <f t="shared" si="153"/>
        <v>6.6375000000000003E-2</v>
      </c>
      <c r="AO191" s="310">
        <f t="shared" si="154"/>
        <v>12.649039130459981</v>
      </c>
      <c r="AP191">
        <f t="shared" si="131"/>
        <v>68.25</v>
      </c>
      <c r="AQ191" s="9">
        <f t="shared" si="155"/>
        <v>0.84364413636530589</v>
      </c>
      <c r="AR191" s="51">
        <f t="shared" si="156"/>
        <v>489.86310870647429</v>
      </c>
      <c r="AS191" s="51">
        <f t="shared" si="157"/>
        <v>76.168106801904955</v>
      </c>
      <c r="AT191" s="9"/>
      <c r="AU191">
        <f t="shared" si="158"/>
        <v>84.364413636530585</v>
      </c>
    </row>
    <row r="192" spans="7:47">
      <c r="G192">
        <v>183</v>
      </c>
      <c r="H192">
        <f t="shared" si="120"/>
        <v>13.725000000000001</v>
      </c>
      <c r="I192" s="309">
        <f t="shared" si="136"/>
        <v>0.2995715568870867</v>
      </c>
      <c r="J192" s="310">
        <f t="shared" si="121"/>
        <v>4.7205215024631846</v>
      </c>
      <c r="K192" s="310">
        <f t="shared" si="132"/>
        <v>16.085260751231594</v>
      </c>
      <c r="L192" s="310">
        <f t="shared" si="137"/>
        <v>11.364739248768409</v>
      </c>
      <c r="M192" s="51">
        <f t="shared" si="122"/>
        <v>0</v>
      </c>
      <c r="N192" s="309">
        <f t="shared" si="138"/>
        <v>13.792482322069565</v>
      </c>
      <c r="O192" s="309">
        <f t="shared" si="139"/>
        <v>1.2560911452054988</v>
      </c>
      <c r="P192">
        <f t="shared" si="123"/>
        <v>0.2</v>
      </c>
      <c r="Q192" s="309">
        <f t="shared" si="133"/>
        <v>1.4560911452054988</v>
      </c>
      <c r="R192" s="8">
        <f t="shared" si="140"/>
        <v>1.3626971800812682</v>
      </c>
      <c r="S192" s="8">
        <f t="shared" si="141"/>
        <v>1.8569436046014403E-3</v>
      </c>
      <c r="T192" s="8">
        <f t="shared" si="142"/>
        <v>1.8569436046014403E-3</v>
      </c>
      <c r="U192" s="309">
        <f t="shared" si="143"/>
        <v>7.5490573416493527</v>
      </c>
      <c r="V192" s="311">
        <f t="shared" si="144"/>
        <v>0.11397653349501997</v>
      </c>
      <c r="W192" s="309">
        <f t="shared" si="145"/>
        <v>0.11397653349501997</v>
      </c>
      <c r="X192" s="309">
        <f t="shared" si="146"/>
        <v>7.5490573416493527</v>
      </c>
      <c r="Y192" s="309">
        <f t="shared" si="147"/>
        <v>2.9633898708705195</v>
      </c>
      <c r="Z192" s="309">
        <f t="shared" si="124"/>
        <v>0.16654681329588825</v>
      </c>
      <c r="AA192" s="309">
        <f t="shared" si="125"/>
        <v>6.9304499999999991E-2</v>
      </c>
      <c r="AB192" s="309">
        <f t="shared" si="126"/>
        <v>0</v>
      </c>
      <c r="AC192" s="309">
        <f t="shared" si="148"/>
        <v>9.1917894484295513</v>
      </c>
      <c r="AD192" s="309">
        <f t="shared" si="149"/>
        <v>11.543149564009447</v>
      </c>
      <c r="AE192" s="309">
        <f t="shared" si="150"/>
        <v>1.3324430185709148</v>
      </c>
      <c r="AF192" s="309">
        <f t="shared" si="127"/>
        <v>0.18528750000000002</v>
      </c>
      <c r="AG192" s="309">
        <f t="shared" si="151"/>
        <v>1.9289691562072264</v>
      </c>
      <c r="AH192" s="309">
        <f t="shared" si="152"/>
        <v>0</v>
      </c>
      <c r="AI192">
        <f t="shared" si="128"/>
        <v>0</v>
      </c>
      <c r="AJ192" s="310">
        <f t="shared" si="129"/>
        <v>0.21607874999999999</v>
      </c>
      <c r="AK192">
        <f t="shared" si="134"/>
        <v>3.6000000000000004E-2</v>
      </c>
      <c r="AL192" s="310">
        <f t="shared" si="130"/>
        <v>3.0374999999999999E-2</v>
      </c>
      <c r="AM192" s="310">
        <f t="shared" si="135"/>
        <v>5.5427027027027023E-2</v>
      </c>
      <c r="AN192" s="310">
        <f t="shared" si="153"/>
        <v>6.6375000000000003E-2</v>
      </c>
      <c r="AO192" s="310">
        <f t="shared" si="154"/>
        <v>12.975136976941899</v>
      </c>
      <c r="AP192">
        <f t="shared" si="131"/>
        <v>68.625</v>
      </c>
      <c r="AQ192" s="9">
        <f t="shared" si="155"/>
        <v>0.84099123533814246</v>
      </c>
      <c r="AR192" s="51">
        <f t="shared" si="156"/>
        <v>505.54841966362534</v>
      </c>
      <c r="AS192" s="51">
        <f t="shared" si="157"/>
        <v>77.158766248289055</v>
      </c>
      <c r="AT192" s="9"/>
      <c r="AU192">
        <f t="shared" si="158"/>
        <v>84.09912353381425</v>
      </c>
    </row>
    <row r="193" spans="7:47">
      <c r="G193">
        <v>184</v>
      </c>
      <c r="H193">
        <f t="shared" si="120"/>
        <v>13.8</v>
      </c>
      <c r="I193" s="309">
        <f t="shared" si="136"/>
        <v>0.29969461091593758</v>
      </c>
      <c r="J193" s="310">
        <f t="shared" si="121"/>
        <v>4.7224605356450775</v>
      </c>
      <c r="K193" s="310">
        <f t="shared" si="132"/>
        <v>16.161230267822539</v>
      </c>
      <c r="L193" s="310">
        <f t="shared" si="137"/>
        <v>11.438769732177462</v>
      </c>
      <c r="M193" s="51">
        <f t="shared" si="122"/>
        <v>0</v>
      </c>
      <c r="N193" s="309">
        <f t="shared" si="138"/>
        <v>13.867172367113172</v>
      </c>
      <c r="O193" s="309">
        <f t="shared" si="139"/>
        <v>1.2711192766250157</v>
      </c>
      <c r="P193">
        <f t="shared" si="123"/>
        <v>0.2</v>
      </c>
      <c r="Q193" s="309">
        <f t="shared" si="133"/>
        <v>1.4711192766250156</v>
      </c>
      <c r="R193" s="8">
        <f t="shared" si="140"/>
        <v>1.3632569307460349</v>
      </c>
      <c r="S193" s="8">
        <f t="shared" si="141"/>
        <v>1.8584694592270995E-3</v>
      </c>
      <c r="T193" s="8">
        <f t="shared" si="142"/>
        <v>1.8584694592270995E-3</v>
      </c>
      <c r="U193" s="309">
        <f t="shared" si="143"/>
        <v>7.5914962283013336</v>
      </c>
      <c r="V193" s="311">
        <f t="shared" si="144"/>
        <v>0.11526162996862675</v>
      </c>
      <c r="W193" s="309">
        <f t="shared" si="145"/>
        <v>0.11526162996862675</v>
      </c>
      <c r="X193" s="309">
        <f t="shared" si="146"/>
        <v>7.5914962283013336</v>
      </c>
      <c r="Y193" s="309">
        <f t="shared" si="147"/>
        <v>2.9968023791842953</v>
      </c>
      <c r="Z193" s="309">
        <f t="shared" si="124"/>
        <v>0.16752280324346042</v>
      </c>
      <c r="AA193" s="309">
        <f t="shared" si="125"/>
        <v>6.9304499999999991E-2</v>
      </c>
      <c r="AB193" s="309">
        <f t="shared" si="126"/>
        <v>0</v>
      </c>
      <c r="AC193" s="309">
        <f t="shared" si="148"/>
        <v>9.4910381158780019</v>
      </c>
      <c r="AD193" s="309">
        <f t="shared" si="149"/>
        <v>11.604639351350553</v>
      </c>
      <c r="AE193" s="309">
        <f t="shared" si="150"/>
        <v>1.3466765447491378</v>
      </c>
      <c r="AF193" s="309">
        <f t="shared" si="127"/>
        <v>0.18630000000000002</v>
      </c>
      <c r="AG193" s="309">
        <f t="shared" si="151"/>
        <v>1.9540019115854812</v>
      </c>
      <c r="AH193" s="309">
        <f t="shared" si="152"/>
        <v>0</v>
      </c>
      <c r="AI193">
        <f t="shared" si="128"/>
        <v>0</v>
      </c>
      <c r="AJ193" s="310">
        <f t="shared" si="129"/>
        <v>0.21602999999999997</v>
      </c>
      <c r="AK193">
        <f t="shared" si="134"/>
        <v>3.6000000000000004E-2</v>
      </c>
      <c r="AL193" s="310">
        <f t="shared" si="130"/>
        <v>3.0374999999999999E-2</v>
      </c>
      <c r="AM193" s="310">
        <f t="shared" si="135"/>
        <v>5.5427027027027023E-2</v>
      </c>
      <c r="AN193" s="310">
        <f t="shared" si="153"/>
        <v>6.6375000000000003E-2</v>
      </c>
      <c r="AO193" s="310">
        <f t="shared" si="154"/>
        <v>13.315684403516352</v>
      </c>
      <c r="AP193">
        <f t="shared" si="131"/>
        <v>69</v>
      </c>
      <c r="AQ193" s="9">
        <f t="shared" si="155"/>
        <v>0.83823636406590407</v>
      </c>
      <c r="AR193" s="51">
        <f t="shared" si="156"/>
        <v>522.0070963732901</v>
      </c>
      <c r="AS193" s="51">
        <f t="shared" si="157"/>
        <v>78.160076463419244</v>
      </c>
      <c r="AT193" s="9"/>
      <c r="AU193">
        <f t="shared" si="158"/>
        <v>83.82363640659041</v>
      </c>
    </row>
    <row r="194" spans="7:47">
      <c r="G194">
        <v>185</v>
      </c>
      <c r="H194">
        <f t="shared" si="120"/>
        <v>13.875</v>
      </c>
      <c r="I194" s="309">
        <f t="shared" si="136"/>
        <v>0.2998177094547072</v>
      </c>
      <c r="J194" s="310">
        <f t="shared" si="121"/>
        <v>4.7244002701953871</v>
      </c>
      <c r="K194" s="310">
        <f t="shared" si="132"/>
        <v>16.237200135097694</v>
      </c>
      <c r="L194" s="310">
        <f t="shared" si="137"/>
        <v>11.512799864902306</v>
      </c>
      <c r="M194" s="51">
        <f t="shared" si="122"/>
        <v>0</v>
      </c>
      <c r="N194" s="309">
        <f t="shared" si="138"/>
        <v>13.941865782338885</v>
      </c>
      <c r="O194" s="309">
        <f t="shared" si="139"/>
        <v>1.2862623940331239</v>
      </c>
      <c r="P194">
        <f t="shared" si="123"/>
        <v>0.2</v>
      </c>
      <c r="Q194" s="309">
        <f t="shared" si="133"/>
        <v>1.4862623940331239</v>
      </c>
      <c r="R194" s="8">
        <f t="shared" si="140"/>
        <v>1.3638168838784237</v>
      </c>
      <c r="S194" s="8">
        <f t="shared" si="141"/>
        <v>1.8599964927518537E-3</v>
      </c>
      <c r="T194" s="8">
        <f t="shared" si="142"/>
        <v>1.8599964927518537E-3</v>
      </c>
      <c r="U194" s="309">
        <f t="shared" si="143"/>
        <v>7.6339539957869809</v>
      </c>
      <c r="V194" s="311">
        <f t="shared" si="144"/>
        <v>0.11655450721958403</v>
      </c>
      <c r="W194" s="309">
        <f t="shared" si="145"/>
        <v>0.11655450721958403</v>
      </c>
      <c r="X194" s="309">
        <f t="shared" si="146"/>
        <v>7.6339539957869809</v>
      </c>
      <c r="Y194" s="309">
        <f t="shared" si="147"/>
        <v>3.0304171877091846</v>
      </c>
      <c r="Z194" s="309">
        <f t="shared" si="124"/>
        <v>0.1684987912536372</v>
      </c>
      <c r="AA194" s="309">
        <f t="shared" si="125"/>
        <v>6.9304499999999991E-2</v>
      </c>
      <c r="AB194" s="309">
        <f t="shared" si="126"/>
        <v>0</v>
      </c>
      <c r="AC194" s="309">
        <f t="shared" si="148"/>
        <v>9.8054002138645799</v>
      </c>
      <c r="AD194" s="309">
        <f t="shared" si="149"/>
        <v>11.666120515533851</v>
      </c>
      <c r="AE194" s="309">
        <f t="shared" si="150"/>
        <v>1.3609836788295981</v>
      </c>
      <c r="AF194" s="309">
        <f t="shared" si="127"/>
        <v>0.18731249999999999</v>
      </c>
      <c r="AG194" s="309">
        <f t="shared" si="151"/>
        <v>1.9793043184949743</v>
      </c>
      <c r="AH194" s="309">
        <f t="shared" si="152"/>
        <v>0</v>
      </c>
      <c r="AI194">
        <f t="shared" si="128"/>
        <v>0</v>
      </c>
      <c r="AJ194" s="310">
        <f t="shared" si="129"/>
        <v>0.21598124999999999</v>
      </c>
      <c r="AK194">
        <f t="shared" si="134"/>
        <v>3.6000000000000004E-2</v>
      </c>
      <c r="AL194" s="310">
        <f t="shared" si="130"/>
        <v>3.0374999999999999E-2</v>
      </c>
      <c r="AM194" s="310">
        <f t="shared" si="135"/>
        <v>5.5427027027027023E-2</v>
      </c>
      <c r="AN194" s="310">
        <f t="shared" si="153"/>
        <v>6.6375000000000003E-2</v>
      </c>
      <c r="AO194" s="310">
        <f t="shared" si="154"/>
        <v>13.671737680105014</v>
      </c>
      <c r="AP194">
        <f t="shared" si="131"/>
        <v>69.375</v>
      </c>
      <c r="AQ194" s="9">
        <f t="shared" si="155"/>
        <v>0.83537297114826625</v>
      </c>
      <c r="AR194" s="51">
        <f t="shared" si="156"/>
        <v>539.29701176255185</v>
      </c>
      <c r="AS194" s="51">
        <f t="shared" si="157"/>
        <v>79.172172739798981</v>
      </c>
      <c r="AT194" s="9"/>
      <c r="AU194">
        <f t="shared" si="158"/>
        <v>83.537297114826629</v>
      </c>
    </row>
    <row r="195" spans="7:47">
      <c r="G195">
        <v>186</v>
      </c>
      <c r="H195">
        <f t="shared" si="120"/>
        <v>13.950000000000001</v>
      </c>
      <c r="I195" s="309">
        <f t="shared" si="136"/>
        <v>0.29994085252754948</v>
      </c>
      <c r="J195" s="310">
        <f t="shared" si="121"/>
        <v>4.7263407064947192</v>
      </c>
      <c r="K195" s="310">
        <f t="shared" si="132"/>
        <v>16.313170353247362</v>
      </c>
      <c r="L195" s="310">
        <f t="shared" si="137"/>
        <v>11.586829646752641</v>
      </c>
      <c r="M195" s="51">
        <f t="shared" si="122"/>
        <v>0</v>
      </c>
      <c r="N195" s="309">
        <f t="shared" si="138"/>
        <v>14.016562513903178</v>
      </c>
      <c r="O195" s="309">
        <f t="shared" si="139"/>
        <v>1.3015211480723616</v>
      </c>
      <c r="P195">
        <f t="shared" si="123"/>
        <v>0.2</v>
      </c>
      <c r="Q195" s="309">
        <f t="shared" si="133"/>
        <v>1.5015211480723616</v>
      </c>
      <c r="R195" s="8">
        <f t="shared" si="140"/>
        <v>1.3643770395883061</v>
      </c>
      <c r="S195" s="8">
        <f t="shared" si="141"/>
        <v>1.8615247061557502E-3</v>
      </c>
      <c r="T195" s="8">
        <f t="shared" si="142"/>
        <v>1.8615247061557502E-3</v>
      </c>
      <c r="U195" s="309">
        <f t="shared" si="143"/>
        <v>7.676430619849171</v>
      </c>
      <c r="V195" s="311">
        <f t="shared" si="144"/>
        <v>0.11785517412271586</v>
      </c>
      <c r="W195" s="309">
        <f t="shared" si="145"/>
        <v>0.11785517412271586</v>
      </c>
      <c r="X195" s="309">
        <f t="shared" si="146"/>
        <v>7.676430619849171</v>
      </c>
      <c r="Y195" s="309">
        <f t="shared" si="147"/>
        <v>3.064234527190612</v>
      </c>
      <c r="Z195" s="309">
        <f t="shared" si="124"/>
        <v>0.16947477732536728</v>
      </c>
      <c r="AA195" s="309">
        <f t="shared" si="125"/>
        <v>6.9304499999999991E-2</v>
      </c>
      <c r="AB195" s="309">
        <f t="shared" si="126"/>
        <v>0</v>
      </c>
      <c r="AC195" s="309">
        <f t="shared" si="148"/>
        <v>10.136035785577018</v>
      </c>
      <c r="AD195" s="309">
        <f t="shared" si="149"/>
        <v>11.727593003033396</v>
      </c>
      <c r="AE195" s="309">
        <f t="shared" si="150"/>
        <v>1.3753643764479788</v>
      </c>
      <c r="AF195" s="309">
        <f t="shared" si="127"/>
        <v>0.18832500000000002</v>
      </c>
      <c r="AG195" s="309">
        <f t="shared" si="151"/>
        <v>2.0048798223155173</v>
      </c>
      <c r="AH195" s="309">
        <f t="shared" si="152"/>
        <v>0</v>
      </c>
      <c r="AI195">
        <f t="shared" si="128"/>
        <v>0</v>
      </c>
      <c r="AJ195" s="310">
        <f t="shared" si="129"/>
        <v>0.21593249999999997</v>
      </c>
      <c r="AK195">
        <f t="shared" si="134"/>
        <v>3.6000000000000004E-2</v>
      </c>
      <c r="AL195" s="310">
        <f t="shared" si="130"/>
        <v>3.0374999999999999E-2</v>
      </c>
      <c r="AM195" s="310">
        <f t="shared" si="135"/>
        <v>5.5427027027027023E-2</v>
      </c>
      <c r="AN195" s="310">
        <f t="shared" si="153"/>
        <v>6.6375000000000003E-2</v>
      </c>
      <c r="AO195" s="310">
        <f t="shared" si="154"/>
        <v>14.044460954793768</v>
      </c>
      <c r="AP195">
        <f t="shared" si="131"/>
        <v>69.75</v>
      </c>
      <c r="AQ195" s="9">
        <f t="shared" si="155"/>
        <v>0.83239392204729856</v>
      </c>
      <c r="AR195" s="51">
        <f t="shared" si="156"/>
        <v>557.48196820673604</v>
      </c>
      <c r="AS195" s="51">
        <f t="shared" si="157"/>
        <v>80.195192892620696</v>
      </c>
      <c r="AT195" s="9"/>
      <c r="AU195">
        <f t="shared" si="158"/>
        <v>83.239392204729853</v>
      </c>
    </row>
    <row r="196" spans="7:47">
      <c r="G196">
        <v>187</v>
      </c>
      <c r="H196">
        <f t="shared" si="120"/>
        <v>14.025</v>
      </c>
      <c r="I196" s="309">
        <f t="shared" si="136"/>
        <v>0.30006404015863575</v>
      </c>
      <c r="J196" s="310">
        <f t="shared" si="121"/>
        <v>4.7282818449239574</v>
      </c>
      <c r="K196" s="310">
        <f t="shared" si="132"/>
        <v>16.38914092246198</v>
      </c>
      <c r="L196" s="310">
        <f t="shared" si="137"/>
        <v>11.660859077538021</v>
      </c>
      <c r="M196" s="51">
        <f t="shared" si="122"/>
        <v>0</v>
      </c>
      <c r="N196" s="309">
        <f t="shared" si="138"/>
        <v>14.091262509101865</v>
      </c>
      <c r="O196" s="309">
        <f t="shared" si="139"/>
        <v>1.316896196403067</v>
      </c>
      <c r="P196">
        <f t="shared" si="123"/>
        <v>0.2</v>
      </c>
      <c r="Q196" s="309">
        <f t="shared" si="133"/>
        <v>1.5168961964030669</v>
      </c>
      <c r="R196" s="8">
        <f t="shared" si="140"/>
        <v>1.3649373979856336</v>
      </c>
      <c r="S196" s="8">
        <f t="shared" si="141"/>
        <v>1.8630541004197921E-3</v>
      </c>
      <c r="T196" s="8">
        <f t="shared" si="142"/>
        <v>1.8630541004197921E-3</v>
      </c>
      <c r="U196" s="309">
        <f t="shared" si="143"/>
        <v>7.718926076834447</v>
      </c>
      <c r="V196" s="311">
        <f t="shared" si="144"/>
        <v>0.11916363955926966</v>
      </c>
      <c r="W196" s="309">
        <f t="shared" si="145"/>
        <v>0.11916363955926966</v>
      </c>
      <c r="X196" s="309">
        <f t="shared" si="146"/>
        <v>7.718926076834447</v>
      </c>
      <c r="Y196" s="309">
        <f t="shared" si="147"/>
        <v>3.0982546285410111</v>
      </c>
      <c r="Z196" s="309">
        <f t="shared" si="124"/>
        <v>0.17045076145759855</v>
      </c>
      <c r="AA196" s="309">
        <f t="shared" si="125"/>
        <v>6.9304499999999991E-2</v>
      </c>
      <c r="AB196" s="309">
        <f t="shared" si="126"/>
        <v>0</v>
      </c>
      <c r="AC196" s="309">
        <f t="shared" si="148"/>
        <v>10.48422685072123</v>
      </c>
      <c r="AD196" s="309">
        <f t="shared" si="149"/>
        <v>11.78905676128438</v>
      </c>
      <c r="AE196" s="309">
        <f t="shared" si="150"/>
        <v>1.3898185932078497</v>
      </c>
      <c r="AF196" s="309">
        <f t="shared" si="127"/>
        <v>0.18933749999999999</v>
      </c>
      <c r="AG196" s="309">
        <f t="shared" si="151"/>
        <v>2.0307319329183935</v>
      </c>
      <c r="AH196" s="309">
        <f t="shared" si="152"/>
        <v>0</v>
      </c>
      <c r="AI196">
        <f t="shared" si="128"/>
        <v>0</v>
      </c>
      <c r="AJ196" s="310">
        <f t="shared" si="129"/>
        <v>0.21588375000000001</v>
      </c>
      <c r="AK196">
        <f t="shared" si="134"/>
        <v>3.6000000000000004E-2</v>
      </c>
      <c r="AL196" s="310">
        <f t="shared" si="130"/>
        <v>3.0374999999999999E-2</v>
      </c>
      <c r="AM196" s="310">
        <f t="shared" si="135"/>
        <v>5.5427027027027023E-2</v>
      </c>
      <c r="AN196" s="310">
        <f t="shared" si="153"/>
        <v>6.6375000000000003E-2</v>
      </c>
      <c r="AO196" s="310">
        <f t="shared" si="154"/>
        <v>14.435140423702379</v>
      </c>
      <c r="AP196">
        <f t="shared" si="131"/>
        <v>70.125</v>
      </c>
      <c r="AQ196" s="9">
        <f t="shared" si="155"/>
        <v>0.82929143268479977</v>
      </c>
      <c r="AR196" s="51">
        <f t="shared" si="156"/>
        <v>576.63247678966763</v>
      </c>
      <c r="AS196" s="51">
        <f t="shared" si="157"/>
        <v>81.229277316735732</v>
      </c>
      <c r="AT196" s="9"/>
      <c r="AU196">
        <f t="shared" si="158"/>
        <v>82.929143268479976</v>
      </c>
    </row>
    <row r="197" spans="7:47">
      <c r="G197">
        <v>188</v>
      </c>
      <c r="H197">
        <f t="shared" si="120"/>
        <v>14.1</v>
      </c>
      <c r="I197" s="309">
        <f t="shared" si="136"/>
        <v>0.30018727237215503</v>
      </c>
      <c r="J197" s="310">
        <f t="shared" si="121"/>
        <v>4.7302236858642619</v>
      </c>
      <c r="K197" s="310">
        <f t="shared" si="132"/>
        <v>16.465111842932131</v>
      </c>
      <c r="L197" s="310">
        <f t="shared" si="137"/>
        <v>11.734888157067868</v>
      </c>
      <c r="M197" s="51">
        <f t="shared" si="122"/>
        <v>0</v>
      </c>
      <c r="N197" s="309">
        <f t="shared" si="138"/>
        <v>14.165965716340201</v>
      </c>
      <c r="O197" s="309">
        <f t="shared" si="139"/>
        <v>1.3323882037816086</v>
      </c>
      <c r="P197">
        <f t="shared" si="123"/>
        <v>0.2</v>
      </c>
      <c r="Q197" s="309">
        <f t="shared" si="133"/>
        <v>1.5323882037816086</v>
      </c>
      <c r="R197" s="8">
        <f t="shared" si="140"/>
        <v>1.3654979591804377</v>
      </c>
      <c r="S197" s="8">
        <f t="shared" si="141"/>
        <v>1.8645846765259404E-3</v>
      </c>
      <c r="T197" s="8">
        <f t="shared" si="142"/>
        <v>1.8645846765259404E-3</v>
      </c>
      <c r="U197" s="309">
        <f t="shared" si="143"/>
        <v>7.7614403436772852</v>
      </c>
      <c r="V197" s="311">
        <f t="shared" si="144"/>
        <v>0.12047991241692274</v>
      </c>
      <c r="W197" s="309">
        <f t="shared" si="145"/>
        <v>0.12047991241692274</v>
      </c>
      <c r="X197" s="309">
        <f t="shared" si="146"/>
        <v>7.7614403436772852</v>
      </c>
      <c r="Y197" s="309">
        <f t="shared" si="147"/>
        <v>3.1324777228399912</v>
      </c>
      <c r="Z197" s="309">
        <f t="shared" si="124"/>
        <v>0.17142674364927801</v>
      </c>
      <c r="AA197" s="309">
        <f t="shared" si="125"/>
        <v>6.9304499999999991E-2</v>
      </c>
      <c r="AB197" s="309">
        <f t="shared" si="126"/>
        <v>0</v>
      </c>
      <c r="AC197" s="309">
        <f t="shared" si="148"/>
        <v>10.851393868673032</v>
      </c>
      <c r="AD197" s="309">
        <f t="shared" si="149"/>
        <v>11.850511738657726</v>
      </c>
      <c r="AE197" s="309">
        <f t="shared" si="150"/>
        <v>1.4043462846806458</v>
      </c>
      <c r="AF197" s="309">
        <f t="shared" si="127"/>
        <v>0.19034999999999999</v>
      </c>
      <c r="AG197" s="309">
        <f t="shared" si="151"/>
        <v>2.056864226129945</v>
      </c>
      <c r="AH197" s="309">
        <f t="shared" si="152"/>
        <v>0</v>
      </c>
      <c r="AI197">
        <f t="shared" si="128"/>
        <v>0</v>
      </c>
      <c r="AJ197" s="310">
        <f t="shared" si="129"/>
        <v>0.21583499999999997</v>
      </c>
      <c r="AK197">
        <f t="shared" si="134"/>
        <v>3.6000000000000004E-2</v>
      </c>
      <c r="AL197" s="310">
        <f t="shared" si="130"/>
        <v>3.0374999999999999E-2</v>
      </c>
      <c r="AM197" s="310">
        <f t="shared" si="135"/>
        <v>5.5427027027027023E-2</v>
      </c>
      <c r="AN197" s="310">
        <f t="shared" si="153"/>
        <v>6.6375000000000003E-2</v>
      </c>
      <c r="AO197" s="310">
        <f t="shared" si="154"/>
        <v>14.845200795678036</v>
      </c>
      <c r="AP197">
        <f t="shared" si="131"/>
        <v>70.5</v>
      </c>
      <c r="AQ197" s="9">
        <f t="shared" si="155"/>
        <v>0.82605699374686092</v>
      </c>
      <c r="AR197" s="51">
        <f t="shared" si="156"/>
        <v>596.82666277701674</v>
      </c>
      <c r="AS197" s="51">
        <f t="shared" si="157"/>
        <v>82.274569045197808</v>
      </c>
      <c r="AT197" s="9"/>
      <c r="AU197">
        <f t="shared" si="158"/>
        <v>82.605699374686097</v>
      </c>
    </row>
    <row r="198" spans="7:47">
      <c r="G198">
        <v>189</v>
      </c>
      <c r="H198">
        <f t="shared" si="120"/>
        <v>14.174999999999999</v>
      </c>
      <c r="I198" s="309">
        <f t="shared" si="136"/>
        <v>0.30031054919231354</v>
      </c>
      <c r="J198" s="310">
        <f t="shared" si="121"/>
        <v>4.7321662296970626</v>
      </c>
      <c r="K198" s="310">
        <f t="shared" si="132"/>
        <v>16.541083114848529</v>
      </c>
      <c r="L198" s="310">
        <f t="shared" si="137"/>
        <v>11.808916885151469</v>
      </c>
      <c r="M198" s="51">
        <f t="shared" si="122"/>
        <v>0</v>
      </c>
      <c r="N198" s="309">
        <f t="shared" si="138"/>
        <v>14.240672085103887</v>
      </c>
      <c r="O198" s="309">
        <f t="shared" si="139"/>
        <v>1.3479978421397694</v>
      </c>
      <c r="P198">
        <f t="shared" si="123"/>
        <v>0.2</v>
      </c>
      <c r="Q198" s="309">
        <f t="shared" si="133"/>
        <v>1.5479978421397693</v>
      </c>
      <c r="R198" s="8">
        <f t="shared" si="140"/>
        <v>1.3660587232828278</v>
      </c>
      <c r="S198" s="8">
        <f t="shared" si="141"/>
        <v>1.8661164354571097E-3</v>
      </c>
      <c r="T198" s="8">
        <f t="shared" si="142"/>
        <v>1.8661164354571097E-3</v>
      </c>
      <c r="U198" s="309">
        <f t="shared" si="143"/>
        <v>7.8039733978848052</v>
      </c>
      <c r="V198" s="311">
        <f t="shared" si="144"/>
        <v>0.12180400158978742</v>
      </c>
      <c r="W198" s="309">
        <f t="shared" si="145"/>
        <v>0.12180400158978742</v>
      </c>
      <c r="X198" s="309">
        <f t="shared" si="146"/>
        <v>7.8039733978848052</v>
      </c>
      <c r="Y198" s="309">
        <f t="shared" si="147"/>
        <v>3.1669040413344729</v>
      </c>
      <c r="Z198" s="309">
        <f t="shared" si="124"/>
        <v>0.17240272389935218</v>
      </c>
      <c r="AA198" s="309">
        <f t="shared" si="125"/>
        <v>6.9304499999999991E-2</v>
      </c>
      <c r="AB198" s="309">
        <f t="shared" si="126"/>
        <v>0</v>
      </c>
      <c r="AC198" s="309">
        <f t="shared" si="148"/>
        <v>11.239114942063196</v>
      </c>
      <c r="AD198" s="309">
        <f t="shared" si="149"/>
        <v>11.911957884435429</v>
      </c>
      <c r="AE198" s="309">
        <f t="shared" si="150"/>
        <v>1.4189474064056338</v>
      </c>
      <c r="AF198" s="309">
        <f t="shared" si="127"/>
        <v>0.19136249999999999</v>
      </c>
      <c r="AG198" s="309">
        <f t="shared" si="151"/>
        <v>2.0832803452357238</v>
      </c>
      <c r="AH198" s="309">
        <f t="shared" si="152"/>
        <v>0</v>
      </c>
      <c r="AI198">
        <f t="shared" si="128"/>
        <v>0</v>
      </c>
      <c r="AJ198" s="310">
        <f t="shared" si="129"/>
        <v>0.21578625000000001</v>
      </c>
      <c r="AK198">
        <f t="shared" si="134"/>
        <v>3.6000000000000004E-2</v>
      </c>
      <c r="AL198" s="310">
        <f t="shared" si="130"/>
        <v>3.0374999999999999E-2</v>
      </c>
      <c r="AM198" s="310">
        <f t="shared" si="135"/>
        <v>5.5427027027027023E-2</v>
      </c>
      <c r="AN198" s="310">
        <f t="shared" si="153"/>
        <v>6.6375000000000003E-2</v>
      </c>
      <c r="AO198" s="310">
        <f t="shared" si="154"/>
        <v>15.276224497463936</v>
      </c>
      <c r="AP198">
        <f t="shared" si="131"/>
        <v>70.875</v>
      </c>
      <c r="AQ198" s="9">
        <f t="shared" si="155"/>
        <v>0.82268128414223951</v>
      </c>
      <c r="AR198" s="51">
        <f t="shared" si="156"/>
        <v>618.15132181347576</v>
      </c>
      <c r="AS198" s="51">
        <f t="shared" si="157"/>
        <v>83.331213809428959</v>
      </c>
      <c r="AT198" s="9"/>
      <c r="AU198">
        <f t="shared" si="158"/>
        <v>82.268128414223952</v>
      </c>
    </row>
    <row r="199" spans="7:47">
      <c r="G199">
        <v>190</v>
      </c>
      <c r="H199">
        <f t="shared" si="120"/>
        <v>14.25</v>
      </c>
      <c r="I199" s="309">
        <f t="shared" si="136"/>
        <v>0.30043387064333538</v>
      </c>
      <c r="J199" s="310">
        <f t="shared" si="121"/>
        <v>4.7341094768040728</v>
      </c>
      <c r="K199" s="310">
        <f t="shared" si="132"/>
        <v>16.617054738402036</v>
      </c>
      <c r="L199" s="310">
        <f t="shared" si="137"/>
        <v>11.882945261597964</v>
      </c>
      <c r="M199" s="51">
        <f t="shared" si="122"/>
        <v>0</v>
      </c>
      <c r="N199" s="309">
        <f t="shared" si="138"/>
        <v>14.315381565931002</v>
      </c>
      <c r="O199" s="309">
        <f t="shared" si="139"/>
        <v>1.3637257906653157</v>
      </c>
      <c r="P199">
        <f t="shared" si="123"/>
        <v>0.2</v>
      </c>
      <c r="Q199" s="309">
        <f t="shared" si="133"/>
        <v>1.5637257906653157</v>
      </c>
      <c r="R199" s="8">
        <f t="shared" si="140"/>
        <v>1.366619690402995</v>
      </c>
      <c r="S199" s="8">
        <f t="shared" si="141"/>
        <v>1.8676493781971779E-3</v>
      </c>
      <c r="T199" s="8">
        <f t="shared" si="142"/>
        <v>1.8676493781971779E-3</v>
      </c>
      <c r="U199" s="309">
        <f t="shared" si="143"/>
        <v>7.8465252175220002</v>
      </c>
      <c r="V199" s="311">
        <f t="shared" si="144"/>
        <v>0.12313591597841735</v>
      </c>
      <c r="W199" s="309">
        <f t="shared" si="145"/>
        <v>0.12313591597841735</v>
      </c>
      <c r="X199" s="309">
        <f t="shared" si="146"/>
        <v>7.8465252175220002</v>
      </c>
      <c r="Y199" s="309">
        <f t="shared" si="147"/>
        <v>3.2015338154388506</v>
      </c>
      <c r="Z199" s="309">
        <f t="shared" si="124"/>
        <v>0.1733787022067666</v>
      </c>
      <c r="AA199" s="309">
        <f t="shared" si="125"/>
        <v>6.9304499999999991E-2</v>
      </c>
      <c r="AB199" s="309">
        <f t="shared" si="126"/>
        <v>0</v>
      </c>
      <c r="AC199" s="309">
        <f t="shared" si="148"/>
        <v>11.649148308179116</v>
      </c>
      <c r="AD199" s="309">
        <f t="shared" si="149"/>
        <v>11.973395148786683</v>
      </c>
      <c r="AE199" s="309">
        <f t="shared" si="150"/>
        <v>1.4336219138898847</v>
      </c>
      <c r="AF199" s="309">
        <f t="shared" si="127"/>
        <v>0.19237499999999999</v>
      </c>
      <c r="AG199" s="309">
        <f t="shared" si="151"/>
        <v>2.1099840025265486</v>
      </c>
      <c r="AH199" s="309">
        <f t="shared" si="152"/>
        <v>0</v>
      </c>
      <c r="AI199">
        <f t="shared" si="128"/>
        <v>0</v>
      </c>
      <c r="AJ199" s="310">
        <f t="shared" si="129"/>
        <v>0.2157375</v>
      </c>
      <c r="AK199">
        <f t="shared" si="134"/>
        <v>3.6000000000000004E-2</v>
      </c>
      <c r="AL199" s="310">
        <f t="shared" si="130"/>
        <v>3.0374999999999999E-2</v>
      </c>
      <c r="AM199" s="310">
        <f t="shared" si="135"/>
        <v>5.5427027027027023E-2</v>
      </c>
      <c r="AN199" s="310">
        <f t="shared" si="153"/>
        <v>6.6375000000000003E-2</v>
      </c>
      <c r="AO199" s="310">
        <f t="shared" si="154"/>
        <v>15.729974166727596</v>
      </c>
      <c r="AP199">
        <f t="shared" si="131"/>
        <v>71.25</v>
      </c>
      <c r="AQ199" s="9">
        <f t="shared" si="155"/>
        <v>0.81915407175707378</v>
      </c>
      <c r="AR199" s="51">
        <f t="shared" si="156"/>
        <v>640.7031569498514</v>
      </c>
      <c r="AS199" s="51">
        <f t="shared" si="157"/>
        <v>84.399360101061944</v>
      </c>
      <c r="AT199" s="9"/>
      <c r="AU199">
        <f t="shared" si="158"/>
        <v>81.915407175707372</v>
      </c>
    </row>
    <row r="200" spans="7:47">
      <c r="G200">
        <v>191</v>
      </c>
      <c r="H200">
        <f t="shared" si="120"/>
        <v>14.324999999999999</v>
      </c>
      <c r="I200" s="309">
        <f t="shared" si="136"/>
        <v>0.30055723674946194</v>
      </c>
      <c r="J200" s="310">
        <f t="shared" si="121"/>
        <v>4.7360534275672794</v>
      </c>
      <c r="K200" s="310">
        <f t="shared" si="132"/>
        <v>16.693026713783638</v>
      </c>
      <c r="L200" s="310">
        <f t="shared" si="137"/>
        <v>11.95697328621636</v>
      </c>
      <c r="M200" s="51">
        <f t="shared" si="122"/>
        <v>0</v>
      </c>
      <c r="N200" s="309">
        <f t="shared" si="138"/>
        <v>14.390094110384787</v>
      </c>
      <c r="O200" s="309">
        <f t="shared" si="139"/>
        <v>1.3795727358837566</v>
      </c>
      <c r="P200">
        <f t="shared" si="123"/>
        <v>0.2</v>
      </c>
      <c r="Q200" s="309">
        <f t="shared" si="133"/>
        <v>1.5795727358837566</v>
      </c>
      <c r="R200" s="8">
        <f t="shared" si="140"/>
        <v>1.3671808606512093</v>
      </c>
      <c r="S200" s="8">
        <f t="shared" si="141"/>
        <v>1.8691835057309814E-3</v>
      </c>
      <c r="T200" s="8">
        <f t="shared" si="142"/>
        <v>1.8691835057309814E-3</v>
      </c>
      <c r="U200" s="309">
        <f t="shared" si="143"/>
        <v>7.8890957811973896</v>
      </c>
      <c r="V200" s="311">
        <f t="shared" si="144"/>
        <v>0.1244756644898129</v>
      </c>
      <c r="W200" s="309">
        <f t="shared" si="145"/>
        <v>0.1244756644898129</v>
      </c>
      <c r="X200" s="309">
        <f t="shared" si="146"/>
        <v>7.8890957811973896</v>
      </c>
      <c r="Y200" s="309">
        <f t="shared" si="147"/>
        <v>3.2363672767351352</v>
      </c>
      <c r="Z200" s="309">
        <f t="shared" si="124"/>
        <v>0.1743546785704661</v>
      </c>
      <c r="AA200" s="309">
        <f t="shared" si="125"/>
        <v>6.9304499999999991E-2</v>
      </c>
      <c r="AB200" s="309">
        <f t="shared" si="126"/>
        <v>0</v>
      </c>
      <c r="AC200" s="309">
        <f t="shared" si="148"/>
        <v>12.083458794190911</v>
      </c>
      <c r="AD200" s="309">
        <f t="shared" si="149"/>
        <v>12.03482348274475</v>
      </c>
      <c r="AE200" s="309">
        <f t="shared" si="150"/>
        <v>1.4483697626082448</v>
      </c>
      <c r="AF200" s="309">
        <f t="shared" si="127"/>
        <v>0.19338749999999999</v>
      </c>
      <c r="AG200" s="309">
        <f t="shared" si="151"/>
        <v>2.136978980887811</v>
      </c>
      <c r="AH200" s="309">
        <f t="shared" si="152"/>
        <v>0</v>
      </c>
      <c r="AI200">
        <f t="shared" si="128"/>
        <v>0</v>
      </c>
      <c r="AJ200" s="310">
        <f t="shared" si="129"/>
        <v>0.21568874999999996</v>
      </c>
      <c r="AK200">
        <f t="shared" si="134"/>
        <v>3.6000000000000004E-2</v>
      </c>
      <c r="AL200" s="310">
        <f t="shared" si="130"/>
        <v>3.0374999999999999E-2</v>
      </c>
      <c r="AM200" s="310">
        <f t="shared" si="135"/>
        <v>5.5427027027027023E-2</v>
      </c>
      <c r="AN200" s="310">
        <f t="shared" si="153"/>
        <v>6.6375000000000003E-2</v>
      </c>
      <c r="AO200" s="310">
        <f t="shared" si="154"/>
        <v>16.208419108958022</v>
      </c>
      <c r="AP200">
        <f t="shared" si="131"/>
        <v>71.625</v>
      </c>
      <c r="AQ200" s="9">
        <f t="shared" si="155"/>
        <v>0.81546409927579666</v>
      </c>
      <c r="AR200" s="51">
        <f t="shared" si="156"/>
        <v>664.59023368050009</v>
      </c>
      <c r="AS200" s="51">
        <f t="shared" si="157"/>
        <v>85.479159235512441</v>
      </c>
      <c r="AT200" s="9"/>
      <c r="AU200">
        <f t="shared" si="158"/>
        <v>81.54640992757966</v>
      </c>
    </row>
    <row r="201" spans="7:47">
      <c r="G201">
        <v>192</v>
      </c>
      <c r="H201">
        <f t="shared" ref="H201:H209" si="159">Iout*(G201/200)</f>
        <v>14.399999999999999</v>
      </c>
      <c r="I201" s="309">
        <f t="shared" si="136"/>
        <v>0.30068064753495222</v>
      </c>
      <c r="J201" s="310">
        <f t="shared" ref="J201:J209" si="160">(Vin-Vout)*I201/(Fsw*Lout2)</f>
        <v>4.7379980823689447</v>
      </c>
      <c r="K201" s="310">
        <f t="shared" si="132"/>
        <v>16.768999041184472</v>
      </c>
      <c r="L201" s="310">
        <f t="shared" si="137"/>
        <v>12.031000958815525</v>
      </c>
      <c r="M201" s="51">
        <f t="shared" ref="M201:M209" si="161">IF(MIN(Vin, -L201/(CossTop+CossBot)*0.00000002)&lt;0, 0, MIN(Vin, -L201/(CossTop+CossBot)*0.00000002))</f>
        <v>0</v>
      </c>
      <c r="N201" s="309">
        <f t="shared" si="138"/>
        <v>14.464809671027279</v>
      </c>
      <c r="O201" s="309">
        <f t="shared" si="139"/>
        <v>1.3955393717413291</v>
      </c>
      <c r="P201">
        <f t="shared" ref="P201:P209" si="162">Core_Loss</f>
        <v>0.2</v>
      </c>
      <c r="Q201" s="309">
        <f t="shared" si="133"/>
        <v>1.5955393717413291</v>
      </c>
      <c r="R201" s="8">
        <f t="shared" si="140"/>
        <v>1.3677422341378205</v>
      </c>
      <c r="S201" s="8">
        <f t="shared" si="141"/>
        <v>1.8707188190443165E-3</v>
      </c>
      <c r="T201" s="8">
        <f t="shared" si="142"/>
        <v>1.8707188190443165E-3</v>
      </c>
      <c r="U201" s="309">
        <f t="shared" si="143"/>
        <v>7.931685068049144</v>
      </c>
      <c r="V201" s="311">
        <f t="shared" si="144"/>
        <v>0.12582325603742753</v>
      </c>
      <c r="W201" s="309">
        <f t="shared" si="145"/>
        <v>0.12582325603742753</v>
      </c>
      <c r="X201" s="309">
        <f t="shared" si="146"/>
        <v>7.931685068049144</v>
      </c>
      <c r="Y201" s="309">
        <f t="shared" si="147"/>
        <v>3.271404656973115</v>
      </c>
      <c r="Z201" s="309">
        <f t="shared" ref="Z201:Z209" si="163">IF(L201&lt;0, (Vin*K201*Tf/2)*Fsw, (Vin*L201*Tr/2+Vin*K201*Tf/2)*Fsw)</f>
        <v>0.17533065298939468</v>
      </c>
      <c r="AA201" s="309">
        <f t="shared" ref="AA201:AA209" si="164">(0.5*CossTop*(Vin-M201)^2-0.5*CossBot*(Vin-M201)^2+(QossBot*(Vin-M201)/Vin)*Vin)*Fsw</f>
        <v>6.9304499999999991E-2</v>
      </c>
      <c r="AB201" s="309">
        <f t="shared" ref="AB201:AB209" si="165">IF(L201&gt;0,0,-L201*VsdTop*Deadtime*Fsw)</f>
        <v>0</v>
      </c>
      <c r="AC201" s="309">
        <f t="shared" si="148"/>
        <v>12.544249075868249</v>
      </c>
      <c r="AD201" s="309">
        <f t="shared" si="149"/>
        <v>12.096242838184532</v>
      </c>
      <c r="AE201" s="309">
        <f t="shared" si="150"/>
        <v>1.4631909080033056</v>
      </c>
      <c r="AF201" s="309">
        <f t="shared" ref="AF201:AF209" si="166">IF(L201&lt;0, Deadtime*Fsw*IF(VfdSky&gt;0,0,VsdBot)*K201, Deadtime*Fsw*IF(VfdSky&gt;0,0,VsdBot)*(K201+L201))</f>
        <v>0.19439999999999999</v>
      </c>
      <c r="AG201" s="309">
        <f t="shared" si="151"/>
        <v>2.1642691354334493</v>
      </c>
      <c r="AH201" s="309">
        <f t="shared" si="152"/>
        <v>0</v>
      </c>
      <c r="AI201">
        <f t="shared" ref="AI201:AI209" si="167">2*Deadtime*Fsw*IF(VfdSky&gt;0,VfdSky,0)*H201</f>
        <v>0</v>
      </c>
      <c r="AJ201" s="310">
        <f t="shared" ref="AJ201:AJ209" si="168">IF(QrrSky&gt;0,QrrSky,QrrBot)*Fsw*(Vin-H201*RdsonTop)</f>
        <v>0.21564</v>
      </c>
      <c r="AK201">
        <f t="shared" si="134"/>
        <v>3.6000000000000004E-2</v>
      </c>
      <c r="AL201" s="310">
        <f t="shared" ref="AL201:AL209" si="169">IF(Ext_VCC=1, Vdd*(QgTop+QgBot)*Fsw, Vin*(QgTop+QgBot)*Fsw)</f>
        <v>3.0374999999999999E-2</v>
      </c>
      <c r="AM201" s="310">
        <f t="shared" si="135"/>
        <v>5.5427027027027023E-2</v>
      </c>
      <c r="AN201" s="310">
        <f t="shared" si="153"/>
        <v>6.6375000000000003E-2</v>
      </c>
      <c r="AO201" s="310">
        <f t="shared" si="154"/>
        <v>16.7137665578995</v>
      </c>
      <c r="AP201">
        <f t="shared" ref="AP201:AP209" si="170">Vout*H201</f>
        <v>72</v>
      </c>
      <c r="AQ201" s="9">
        <f t="shared" si="155"/>
        <v>0.81159895237915325</v>
      </c>
      <c r="AR201" s="51">
        <f t="shared" si="156"/>
        <v>689.93369917275368</v>
      </c>
      <c r="AS201" s="51">
        <f t="shared" si="157"/>
        <v>86.570765417337981</v>
      </c>
      <c r="AT201" s="9"/>
      <c r="AU201">
        <f t="shared" si="158"/>
        <v>81.159895237915322</v>
      </c>
    </row>
    <row r="202" spans="7:47">
      <c r="G202">
        <v>193</v>
      </c>
      <c r="H202">
        <f t="shared" si="159"/>
        <v>14.475</v>
      </c>
      <c r="I202" s="309">
        <f t="shared" si="136"/>
        <v>0.30080410302408289</v>
      </c>
      <c r="J202" s="310">
        <f t="shared" si="160"/>
        <v>4.7399434415916097</v>
      </c>
      <c r="K202" s="310">
        <f t="shared" ref="K202:K209" si="171">H202+J202/2</f>
        <v>16.844971720795805</v>
      </c>
      <c r="L202" s="310">
        <f t="shared" si="137"/>
        <v>12.105028279204195</v>
      </c>
      <c r="M202" s="51">
        <f t="shared" si="161"/>
        <v>0</v>
      </c>
      <c r="N202" s="309">
        <f t="shared" si="138"/>
        <v>14.539528201393741</v>
      </c>
      <c r="O202" s="309">
        <f t="shared" si="139"/>
        <v>1.4116263996892153</v>
      </c>
      <c r="P202">
        <f t="shared" si="162"/>
        <v>0.2</v>
      </c>
      <c r="Q202" s="309">
        <f t="shared" ref="Q202:Q209" si="172">O202+P202</f>
        <v>1.6116263996892153</v>
      </c>
      <c r="R202" s="8">
        <f t="shared" si="140"/>
        <v>1.3683038109732586</v>
      </c>
      <c r="S202" s="8">
        <f t="shared" si="141"/>
        <v>1.8722553191239432E-3</v>
      </c>
      <c r="T202" s="8">
        <f t="shared" si="142"/>
        <v>1.8722553191239432E-3</v>
      </c>
      <c r="U202" s="309">
        <f t="shared" si="143"/>
        <v>7.9742930577316065</v>
      </c>
      <c r="V202" s="311">
        <f t="shared" si="144"/>
        <v>0.127178699541173</v>
      </c>
      <c r="W202" s="309">
        <f t="shared" si="145"/>
        <v>0.127178699541173</v>
      </c>
      <c r="X202" s="309">
        <f t="shared" si="146"/>
        <v>7.9742930577316065</v>
      </c>
      <c r="Y202" s="309">
        <f t="shared" si="147"/>
        <v>3.3066461880704976</v>
      </c>
      <c r="Z202" s="309">
        <f t="shared" si="163"/>
        <v>0.17630662546249579</v>
      </c>
      <c r="AA202" s="309">
        <f t="shared" si="164"/>
        <v>6.9304499999999991E-2</v>
      </c>
      <c r="AB202" s="309">
        <f t="shared" si="165"/>
        <v>0</v>
      </c>
      <c r="AC202" s="309">
        <f t="shared" si="148"/>
        <v>13.033996789074797</v>
      </c>
      <c r="AD202" s="309">
        <f t="shared" si="149"/>
        <v>12.157653167800825</v>
      </c>
      <c r="AE202" s="309">
        <f t="shared" si="150"/>
        <v>1.4780853054853744</v>
      </c>
      <c r="AF202" s="309">
        <f t="shared" si="166"/>
        <v>0.19541249999999999</v>
      </c>
      <c r="AG202" s="309">
        <f t="shared" si="151"/>
        <v>2.1918583951860566</v>
      </c>
      <c r="AH202" s="309">
        <f t="shared" si="152"/>
        <v>0</v>
      </c>
      <c r="AI202">
        <f t="shared" si="167"/>
        <v>0</v>
      </c>
      <c r="AJ202" s="310">
        <f t="shared" si="168"/>
        <v>0.21559124999999998</v>
      </c>
      <c r="AK202">
        <f t="shared" ref="AK202:AK209" si="173">Iq*Vin</f>
        <v>3.6000000000000004E-2</v>
      </c>
      <c r="AL202" s="310">
        <f t="shared" si="169"/>
        <v>3.0374999999999999E-2</v>
      </c>
      <c r="AM202" s="310">
        <f t="shared" ref="AM202:AM209" si="174">(Vin-Vdd)*Fsw*(QgTop+QgBot)+(RdsonDRT+RdsonDRT2)*Fsw*QgTop*Vdd/(RdsonDRT+2*RGateTop+RdsonDRT2)+(RdsonDRB+RdsonDRB2)*Fsw*QgBot*Vdd/(RdsonDRB+2*RGateBot+RdsonDRB2)</f>
        <v>5.5427027027027023E-2</v>
      </c>
      <c r="AN202" s="310">
        <f t="shared" si="153"/>
        <v>6.6375000000000003E-2</v>
      </c>
      <c r="AO202" s="310">
        <f t="shared" si="154"/>
        <v>17.248498788810366</v>
      </c>
      <c r="AP202">
        <f t="shared" si="170"/>
        <v>72.375</v>
      </c>
      <c r="AQ202" s="9">
        <f t="shared" si="155"/>
        <v>0.80754490706221049</v>
      </c>
      <c r="AR202" s="51">
        <f t="shared" si="156"/>
        <v>716.86982339911378</v>
      </c>
      <c r="AS202" s="51">
        <f t="shared" si="157"/>
        <v>87.674335807442262</v>
      </c>
      <c r="AT202" s="9"/>
      <c r="AU202">
        <f t="shared" si="158"/>
        <v>80.754490706221048</v>
      </c>
    </row>
    <row r="203" spans="7:47">
      <c r="G203">
        <v>194</v>
      </c>
      <c r="H203">
        <f t="shared" si="159"/>
        <v>14.549999999999999</v>
      </c>
      <c r="I203" s="309">
        <f t="shared" si="136"/>
        <v>0.30092760324114809</v>
      </c>
      <c r="J203" s="310">
        <f t="shared" si="160"/>
        <v>4.7418895056180919</v>
      </c>
      <c r="K203" s="310">
        <f t="shared" si="171"/>
        <v>16.920944752809046</v>
      </c>
      <c r="L203" s="310">
        <f t="shared" si="137"/>
        <v>12.179055247190952</v>
      </c>
      <c r="M203" s="51">
        <f t="shared" si="161"/>
        <v>0</v>
      </c>
      <c r="N203" s="309">
        <f t="shared" si="138"/>
        <v>14.614249655967889</v>
      </c>
      <c r="O203" s="309">
        <f t="shared" si="139"/>
        <v>1.4278345287690208</v>
      </c>
      <c r="P203">
        <f t="shared" si="162"/>
        <v>0.2</v>
      </c>
      <c r="Q203" s="309">
        <f t="shared" si="172"/>
        <v>1.6278345287690208</v>
      </c>
      <c r="R203" s="8">
        <f t="shared" si="140"/>
        <v>1.3688655912680334</v>
      </c>
      <c r="S203" s="8">
        <f t="shared" si="141"/>
        <v>1.8737930069575828E-3</v>
      </c>
      <c r="T203" s="8">
        <f t="shared" si="142"/>
        <v>1.8737930069575828E-3</v>
      </c>
      <c r="U203" s="309">
        <f t="shared" si="143"/>
        <v>8.0169197304022521</v>
      </c>
      <c r="V203" s="311">
        <f t="shared" si="144"/>
        <v>0.12854200392742585</v>
      </c>
      <c r="W203" s="309">
        <f t="shared" si="145"/>
        <v>0.12854200392742585</v>
      </c>
      <c r="X203" s="309">
        <f t="shared" si="146"/>
        <v>8.0169197304022521</v>
      </c>
      <c r="Y203" s="309">
        <f t="shared" si="147"/>
        <v>3.3420921021130718</v>
      </c>
      <c r="Z203" s="309">
        <f t="shared" si="163"/>
        <v>0.17728259598871185</v>
      </c>
      <c r="AA203" s="309">
        <f t="shared" si="164"/>
        <v>6.9304499999999991E-2</v>
      </c>
      <c r="AB203" s="309">
        <f t="shared" si="165"/>
        <v>0</v>
      </c>
      <c r="AC203" s="309">
        <f t="shared" si="148"/>
        <v>13.555498813719488</v>
      </c>
      <c r="AD203" s="309">
        <f t="shared" si="149"/>
        <v>12.219054425087265</v>
      </c>
      <c r="AE203" s="309">
        <f t="shared" si="150"/>
        <v>1.4930529104324466</v>
      </c>
      <c r="AF203" s="309">
        <f t="shared" si="166"/>
        <v>0.19642499999999999</v>
      </c>
      <c r="AG203" s="309">
        <f t="shared" si="151"/>
        <v>2.2197507648046417</v>
      </c>
      <c r="AH203" s="309">
        <f t="shared" si="152"/>
        <v>0</v>
      </c>
      <c r="AI203">
        <f t="shared" si="167"/>
        <v>0</v>
      </c>
      <c r="AJ203" s="310">
        <f t="shared" si="168"/>
        <v>0.2155425</v>
      </c>
      <c r="AK203">
        <f t="shared" si="173"/>
        <v>3.6000000000000004E-2</v>
      </c>
      <c r="AL203" s="310">
        <f t="shared" si="169"/>
        <v>3.0374999999999999E-2</v>
      </c>
      <c r="AM203" s="310">
        <f t="shared" si="174"/>
        <v>5.5427027027027023E-2</v>
      </c>
      <c r="AN203" s="310">
        <f t="shared" si="153"/>
        <v>6.6375000000000003E-2</v>
      </c>
      <c r="AO203" s="310">
        <f t="shared" si="154"/>
        <v>17.815417404227535</v>
      </c>
      <c r="AP203">
        <f t="shared" si="170"/>
        <v>72.75</v>
      </c>
      <c r="AQ203" s="9">
        <f t="shared" si="155"/>
        <v>0.80328675210858225</v>
      </c>
      <c r="AR203" s="51">
        <f t="shared" si="156"/>
        <v>745.55243475457189</v>
      </c>
      <c r="AS203" s="51">
        <f t="shared" si="157"/>
        <v>88.790030592185673</v>
      </c>
      <c r="AT203" s="9"/>
      <c r="AU203">
        <f t="shared" si="158"/>
        <v>80.328675210858222</v>
      </c>
    </row>
    <row r="204" spans="7:47">
      <c r="G204">
        <v>195</v>
      </c>
      <c r="H204">
        <f t="shared" si="159"/>
        <v>14.625</v>
      </c>
      <c r="I204" s="309">
        <f t="shared" si="136"/>
        <v>0.30105114821045975</v>
      </c>
      <c r="J204" s="310">
        <f t="shared" si="160"/>
        <v>4.7438362748314873</v>
      </c>
      <c r="K204" s="310">
        <f t="shared" si="171"/>
        <v>16.996918137415744</v>
      </c>
      <c r="L204" s="310">
        <f t="shared" si="137"/>
        <v>12.253081862584256</v>
      </c>
      <c r="M204" s="51">
        <f t="shared" si="161"/>
        <v>0</v>
      </c>
      <c r="N204" s="309">
        <f t="shared" si="138"/>
        <v>14.688973990157853</v>
      </c>
      <c r="O204" s="309">
        <f t="shared" si="139"/>
        <v>1.4441644756995315</v>
      </c>
      <c r="P204">
        <f t="shared" si="162"/>
        <v>0.2</v>
      </c>
      <c r="Q204" s="309">
        <f t="shared" si="172"/>
        <v>1.6441644756995315</v>
      </c>
      <c r="R204" s="8">
        <f t="shared" si="140"/>
        <v>1.3694275751327354</v>
      </c>
      <c r="S204" s="8">
        <f t="shared" si="141"/>
        <v>1.8753318835339238E-3</v>
      </c>
      <c r="T204" s="8">
        <f t="shared" si="142"/>
        <v>1.8753318835339238E-3</v>
      </c>
      <c r="U204" s="309">
        <f t="shared" si="143"/>
        <v>8.0595650667090251</v>
      </c>
      <c r="V204" s="311">
        <f t="shared" si="144"/>
        <v>0.12991317812903291</v>
      </c>
      <c r="W204" s="309">
        <f t="shared" si="145"/>
        <v>0.12991317812903291</v>
      </c>
      <c r="X204" s="309">
        <f t="shared" si="146"/>
        <v>8.0595650667090251</v>
      </c>
      <c r="Y204" s="309">
        <f t="shared" si="147"/>
        <v>3.3777426313548551</v>
      </c>
      <c r="Z204" s="309">
        <f t="shared" si="163"/>
        <v>0.17825856456698475</v>
      </c>
      <c r="AA204" s="309">
        <f t="shared" si="164"/>
        <v>6.9304499999999991E-2</v>
      </c>
      <c r="AB204" s="309">
        <f t="shared" si="165"/>
        <v>0</v>
      </c>
      <c r="AC204" s="309">
        <f t="shared" si="148"/>
        <v>14.111924401229802</v>
      </c>
      <c r="AD204" s="309">
        <f t="shared" si="149"/>
        <v>12.280446564315872</v>
      </c>
      <c r="AE204" s="309">
        <f t="shared" si="150"/>
        <v>1.508093678190175</v>
      </c>
      <c r="AF204" s="309">
        <f t="shared" si="166"/>
        <v>0.19743749999999999</v>
      </c>
      <c r="AG204" s="309">
        <f t="shared" si="151"/>
        <v>2.2479503263616136</v>
      </c>
      <c r="AH204" s="309">
        <f t="shared" si="152"/>
        <v>0</v>
      </c>
      <c r="AI204">
        <f t="shared" si="167"/>
        <v>0</v>
      </c>
      <c r="AJ204" s="310">
        <f t="shared" si="168"/>
        <v>0.21549374999999998</v>
      </c>
      <c r="AK204">
        <f t="shared" si="173"/>
        <v>3.6000000000000004E-2</v>
      </c>
      <c r="AL204" s="310">
        <f t="shared" si="169"/>
        <v>3.0374999999999999E-2</v>
      </c>
      <c r="AM204" s="310">
        <f t="shared" si="174"/>
        <v>5.5427027027027023E-2</v>
      </c>
      <c r="AN204" s="310">
        <f t="shared" si="153"/>
        <v>6.6375000000000003E-2</v>
      </c>
      <c r="AO204" s="310">
        <f t="shared" si="154"/>
        <v>18.417696463303514</v>
      </c>
      <c r="AP204">
        <f t="shared" si="170"/>
        <v>73.125</v>
      </c>
      <c r="AQ204" s="9">
        <f t="shared" si="155"/>
        <v>0.79880758187315826</v>
      </c>
      <c r="AR204" s="51">
        <f t="shared" si="156"/>
        <v>776.15584206763913</v>
      </c>
      <c r="AS204" s="51">
        <f t="shared" si="157"/>
        <v>89.918013054464552</v>
      </c>
      <c r="AT204" s="9"/>
      <c r="AU204">
        <f t="shared" si="158"/>
        <v>79.88075818731582</v>
      </c>
    </row>
    <row r="205" spans="7:47">
      <c r="G205">
        <v>196</v>
      </c>
      <c r="H205">
        <f t="shared" si="159"/>
        <v>14.7</v>
      </c>
      <c r="I205" s="309">
        <f t="shared" si="136"/>
        <v>0.30117473795634714</v>
      </c>
      <c r="J205" s="310">
        <f t="shared" si="160"/>
        <v>4.7457837496151667</v>
      </c>
      <c r="K205" s="310">
        <f t="shared" si="171"/>
        <v>17.072891874807581</v>
      </c>
      <c r="L205" s="310">
        <f t="shared" si="137"/>
        <v>12.327108125192415</v>
      </c>
      <c r="M205" s="51">
        <f t="shared" si="161"/>
        <v>0</v>
      </c>
      <c r="N205" s="309">
        <f t="shared" si="138"/>
        <v>14.763701160272873</v>
      </c>
      <c r="O205" s="309">
        <f t="shared" si="139"/>
        <v>1.4606169649647729</v>
      </c>
      <c r="P205">
        <f t="shared" si="162"/>
        <v>0.2</v>
      </c>
      <c r="Q205" s="309">
        <f t="shared" si="172"/>
        <v>1.6606169649647728</v>
      </c>
      <c r="R205" s="8">
        <f t="shared" si="140"/>
        <v>1.3699897626780342</v>
      </c>
      <c r="S205" s="8">
        <f t="shared" si="141"/>
        <v>1.8768719498426165E-3</v>
      </c>
      <c r="T205" s="8">
        <f t="shared" si="142"/>
        <v>1.8768719498426165E-3</v>
      </c>
      <c r="U205" s="309">
        <f t="shared" si="143"/>
        <v>8.1022290477780565</v>
      </c>
      <c r="V205" s="311">
        <f t="shared" si="144"/>
        <v>0.13129223108531701</v>
      </c>
      <c r="W205" s="309">
        <f t="shared" si="145"/>
        <v>0.13129223108531701</v>
      </c>
      <c r="X205" s="309">
        <f t="shared" si="146"/>
        <v>8.1022290477780565</v>
      </c>
      <c r="Y205" s="309">
        <f t="shared" si="147"/>
        <v>3.413598008218242</v>
      </c>
      <c r="Z205" s="309">
        <f t="shared" si="163"/>
        <v>0.17923453119625532</v>
      </c>
      <c r="AA205" s="309">
        <f t="shared" si="164"/>
        <v>6.9304499999999991E-2</v>
      </c>
      <c r="AB205" s="309">
        <f t="shared" si="165"/>
        <v>0</v>
      </c>
      <c r="AC205" s="309">
        <f t="shared" si="148"/>
        <v>14.706879276882058</v>
      </c>
      <c r="AD205" s="309">
        <f t="shared" si="149"/>
        <v>12.341829540517244</v>
      </c>
      <c r="AE205" s="309">
        <f t="shared" si="150"/>
        <v>1.523207564071841</v>
      </c>
      <c r="AF205" s="309">
        <f t="shared" si="166"/>
        <v>0.19844999999999999</v>
      </c>
      <c r="AG205" s="309">
        <f t="shared" si="151"/>
        <v>2.2764612411706393</v>
      </c>
      <c r="AH205" s="309">
        <f t="shared" si="152"/>
        <v>0</v>
      </c>
      <c r="AI205">
        <f t="shared" si="167"/>
        <v>0</v>
      </c>
      <c r="AJ205" s="310">
        <f t="shared" si="168"/>
        <v>0.215445</v>
      </c>
      <c r="AK205">
        <f t="shared" si="173"/>
        <v>3.6000000000000004E-2</v>
      </c>
      <c r="AL205" s="310">
        <f t="shared" si="169"/>
        <v>3.0374999999999999E-2</v>
      </c>
      <c r="AM205" s="310">
        <f t="shared" si="174"/>
        <v>5.5427027027027023E-2</v>
      </c>
      <c r="AN205" s="310">
        <f t="shared" si="153"/>
        <v>6.6375000000000003E-2</v>
      </c>
      <c r="AO205" s="310">
        <f t="shared" si="154"/>
        <v>19.058946586052631</v>
      </c>
      <c r="AP205">
        <f t="shared" si="170"/>
        <v>73.5</v>
      </c>
      <c r="AQ205" s="9">
        <f t="shared" si="155"/>
        <v>0.79408855341354379</v>
      </c>
      <c r="AR205" s="51">
        <f t="shared" si="156"/>
        <v>808.8783602285132</v>
      </c>
      <c r="AS205" s="51">
        <f t="shared" si="157"/>
        <v>91.058449646825579</v>
      </c>
      <c r="AT205" s="9"/>
      <c r="AU205">
        <f t="shared" si="158"/>
        <v>79.408855341354382</v>
      </c>
    </row>
    <row r="206" spans="7:47">
      <c r="G206">
        <v>197</v>
      </c>
      <c r="H206">
        <f t="shared" si="159"/>
        <v>14.775</v>
      </c>
      <c r="I206" s="309">
        <f t="shared" si="136"/>
        <v>0.30129837250315755</v>
      </c>
      <c r="J206" s="310">
        <f t="shared" si="160"/>
        <v>4.7477319303527858</v>
      </c>
      <c r="K206" s="310">
        <f t="shared" si="171"/>
        <v>17.148865965176395</v>
      </c>
      <c r="L206" s="310">
        <f t="shared" si="137"/>
        <v>12.401134034823608</v>
      </c>
      <c r="M206" s="51">
        <f t="shared" si="161"/>
        <v>0</v>
      </c>
      <c r="N206" s="309">
        <f t="shared" si="138"/>
        <v>14.838431123500701</v>
      </c>
      <c r="O206" s="309">
        <f t="shared" si="139"/>
        <v>1.4771927289033913</v>
      </c>
      <c r="P206">
        <f t="shared" si="162"/>
        <v>0.2</v>
      </c>
      <c r="Q206" s="309">
        <f t="shared" si="172"/>
        <v>1.6771927289033912</v>
      </c>
      <c r="R206" s="8">
        <f t="shared" si="140"/>
        <v>1.3705521540146812</v>
      </c>
      <c r="S206" s="8">
        <f t="shared" si="141"/>
        <v>1.8784132068742825E-3</v>
      </c>
      <c r="T206" s="8">
        <f t="shared" si="142"/>
        <v>1.8784132068742825E-3</v>
      </c>
      <c r="U206" s="309">
        <f t="shared" si="143"/>
        <v>8.1449116552017777</v>
      </c>
      <c r="V206" s="311">
        <f t="shared" si="144"/>
        <v>0.13267917174208352</v>
      </c>
      <c r="W206" s="309">
        <f t="shared" si="145"/>
        <v>0.13267917174208352</v>
      </c>
      <c r="X206" s="309">
        <f t="shared" si="146"/>
        <v>8.1449116552017777</v>
      </c>
      <c r="Y206" s="309">
        <f t="shared" si="147"/>
        <v>3.4496584652941715</v>
      </c>
      <c r="Z206" s="309">
        <f t="shared" si="163"/>
        <v>0.18021049587546398</v>
      </c>
      <c r="AA206" s="309">
        <f t="shared" si="164"/>
        <v>6.9304499999999991E-2</v>
      </c>
      <c r="AB206" s="309">
        <f t="shared" si="165"/>
        <v>0</v>
      </c>
      <c r="AC206" s="309">
        <f t="shared" si="148"/>
        <v>15.344483456299178</v>
      </c>
      <c r="AD206" s="309">
        <f t="shared" si="149"/>
        <v>12.403203309461331</v>
      </c>
      <c r="AE206" s="309">
        <f t="shared" si="150"/>
        <v>1.5383945233583252</v>
      </c>
      <c r="AF206" s="309">
        <f t="shared" si="166"/>
        <v>0.19946250000000001</v>
      </c>
      <c r="AG206" s="309">
        <f t="shared" si="151"/>
        <v>2.3052877516670685</v>
      </c>
      <c r="AH206" s="309">
        <f t="shared" si="152"/>
        <v>0</v>
      </c>
      <c r="AI206">
        <f t="shared" si="167"/>
        <v>0</v>
      </c>
      <c r="AJ206" s="310">
        <f t="shared" si="168"/>
        <v>0.21539624999999998</v>
      </c>
      <c r="AK206">
        <f t="shared" si="173"/>
        <v>3.6000000000000004E-2</v>
      </c>
      <c r="AL206" s="310">
        <f t="shared" si="169"/>
        <v>3.0374999999999999E-2</v>
      </c>
      <c r="AM206" s="310">
        <f t="shared" si="174"/>
        <v>5.5427027027027023E-2</v>
      </c>
      <c r="AN206" s="310">
        <f t="shared" si="153"/>
        <v>6.6375000000000003E-2</v>
      </c>
      <c r="AO206" s="310">
        <f t="shared" si="154"/>
        <v>19.743292771818599</v>
      </c>
      <c r="AP206">
        <f t="shared" si="170"/>
        <v>73.875</v>
      </c>
      <c r="AQ206" s="9">
        <f t="shared" si="155"/>
        <v>0.78910860060287469</v>
      </c>
      <c r="AR206" s="51">
        <f t="shared" si="156"/>
        <v>843.94659009645477</v>
      </c>
      <c r="AS206" s="51">
        <f t="shared" si="157"/>
        <v>92.211510066682735</v>
      </c>
      <c r="AT206" s="9"/>
      <c r="AU206">
        <f t="shared" si="158"/>
        <v>78.910860060287462</v>
      </c>
    </row>
    <row r="207" spans="7:47">
      <c r="G207">
        <v>198</v>
      </c>
      <c r="H207">
        <f t="shared" si="159"/>
        <v>14.85</v>
      </c>
      <c r="I207" s="309">
        <f t="shared" si="136"/>
        <v>0.30142205187525545</v>
      </c>
      <c r="J207" s="310">
        <f t="shared" si="160"/>
        <v>4.7496808174282679</v>
      </c>
      <c r="K207" s="310">
        <f t="shared" si="171"/>
        <v>17.224840408714133</v>
      </c>
      <c r="L207" s="310">
        <f t="shared" si="137"/>
        <v>12.475159591285866</v>
      </c>
      <c r="M207" s="51">
        <f t="shared" si="161"/>
        <v>0</v>
      </c>
      <c r="N207" s="309">
        <f t="shared" si="138"/>
        <v>14.913163837885659</v>
      </c>
      <c r="O207" s="309">
        <f t="shared" si="139"/>
        <v>1.4938925077993783</v>
      </c>
      <c r="P207">
        <f t="shared" si="162"/>
        <v>0.2</v>
      </c>
      <c r="Q207" s="309">
        <f t="shared" si="172"/>
        <v>1.6938925077993783</v>
      </c>
      <c r="R207" s="8">
        <f t="shared" si="140"/>
        <v>1.3711147492535061</v>
      </c>
      <c r="S207" s="8">
        <f t="shared" si="141"/>
        <v>1.8799556556205049E-3</v>
      </c>
      <c r="T207" s="8">
        <f t="shared" si="142"/>
        <v>1.8799556556205049E-3</v>
      </c>
      <c r="U207" s="309">
        <f t="shared" si="143"/>
        <v>8.1876128710273459</v>
      </c>
      <c r="V207" s="311">
        <f t="shared" si="144"/>
        <v>0.13407400905162534</v>
      </c>
      <c r="W207" s="309">
        <f t="shared" si="145"/>
        <v>0.13407400905162534</v>
      </c>
      <c r="X207" s="309">
        <f t="shared" si="146"/>
        <v>8.1876128710273459</v>
      </c>
      <c r="Y207" s="309">
        <f t="shared" si="147"/>
        <v>3.4859242353422584</v>
      </c>
      <c r="Z207" s="309">
        <f t="shared" si="163"/>
        <v>0.18118645860355007</v>
      </c>
      <c r="AA207" s="309">
        <f t="shared" si="164"/>
        <v>6.9304499999999991E-2</v>
      </c>
      <c r="AB207" s="309">
        <f t="shared" si="165"/>
        <v>0</v>
      </c>
      <c r="AC207" s="309">
        <f t="shared" si="148"/>
        <v>16.029466325721721</v>
      </c>
      <c r="AD207" s="309">
        <f t="shared" si="149"/>
        <v>12.464567827638785</v>
      </c>
      <c r="AE207" s="309">
        <f t="shared" si="150"/>
        <v>1.5536545112980786</v>
      </c>
      <c r="AF207" s="309">
        <f t="shared" si="166"/>
        <v>0.20047499999999999</v>
      </c>
      <c r="AG207" s="309">
        <f t="shared" si="151"/>
        <v>2.3344341833426889</v>
      </c>
      <c r="AH207" s="309">
        <f t="shared" si="152"/>
        <v>0</v>
      </c>
      <c r="AI207">
        <f t="shared" si="167"/>
        <v>0</v>
      </c>
      <c r="AJ207" s="310">
        <f t="shared" si="168"/>
        <v>0.21534749999999997</v>
      </c>
      <c r="AK207">
        <f t="shared" si="173"/>
        <v>3.6000000000000004E-2</v>
      </c>
      <c r="AL207" s="310">
        <f t="shared" si="169"/>
        <v>3.0374999999999999E-2</v>
      </c>
      <c r="AM207" s="310">
        <f t="shared" si="174"/>
        <v>5.5427027027027023E-2</v>
      </c>
      <c r="AN207" s="310">
        <f t="shared" si="153"/>
        <v>6.6375000000000003E-2</v>
      </c>
      <c r="AO207" s="310">
        <f t="shared" si="154"/>
        <v>20.475469481571036</v>
      </c>
      <c r="AP207">
        <f t="shared" si="170"/>
        <v>74.25</v>
      </c>
      <c r="AQ207" s="9">
        <f t="shared" si="155"/>
        <v>0.78384409606378813</v>
      </c>
      <c r="AR207" s="51">
        <f t="shared" si="156"/>
        <v>881.6206479146947</v>
      </c>
      <c r="AS207" s="51">
        <f t="shared" si="157"/>
        <v>93.377367333707554</v>
      </c>
      <c r="AT207" s="9"/>
      <c r="AU207">
        <f t="shared" si="158"/>
        <v>78.38440960637881</v>
      </c>
    </row>
    <row r="208" spans="7:47">
      <c r="G208">
        <v>199</v>
      </c>
      <c r="H208">
        <f t="shared" si="159"/>
        <v>14.925000000000001</v>
      </c>
      <c r="I208" s="309">
        <f t="shared" si="136"/>
        <v>0.30154577609702332</v>
      </c>
      <c r="J208" s="310">
        <f t="shared" si="160"/>
        <v>4.7516304112258219</v>
      </c>
      <c r="K208" s="310">
        <f t="shared" si="171"/>
        <v>17.300815205612913</v>
      </c>
      <c r="L208" s="310">
        <f t="shared" si="137"/>
        <v>12.54918479438709</v>
      </c>
      <c r="M208" s="51">
        <f t="shared" si="161"/>
        <v>0</v>
      </c>
      <c r="N208" s="309">
        <f t="shared" si="138"/>
        <v>14.987899262307371</v>
      </c>
      <c r="O208" s="309">
        <f t="shared" si="139"/>
        <v>1.5107170499741656</v>
      </c>
      <c r="P208">
        <f t="shared" si="162"/>
        <v>0.2</v>
      </c>
      <c r="Q208" s="309">
        <f t="shared" si="172"/>
        <v>1.7107170499741655</v>
      </c>
      <c r="R208" s="8">
        <f t="shared" si="140"/>
        <v>1.3716775485054202</v>
      </c>
      <c r="S208" s="8">
        <f t="shared" si="141"/>
        <v>1.8814992970738395E-3</v>
      </c>
      <c r="T208" s="8">
        <f t="shared" si="142"/>
        <v>1.8814992970738395E-3</v>
      </c>
      <c r="U208" s="309">
        <f t="shared" si="143"/>
        <v>8.2303326777454515</v>
      </c>
      <c r="V208" s="311">
        <f t="shared" si="144"/>
        <v>0.13547675197272924</v>
      </c>
      <c r="W208" s="309">
        <f t="shared" si="145"/>
        <v>0.13547675197272924</v>
      </c>
      <c r="X208" s="309">
        <f t="shared" si="146"/>
        <v>8.2303326777454515</v>
      </c>
      <c r="Y208" s="309">
        <f t="shared" si="147"/>
        <v>3.5223955512909599</v>
      </c>
      <c r="Z208" s="309">
        <f t="shared" si="163"/>
        <v>0.18216241937945235</v>
      </c>
      <c r="AA208" s="309">
        <f t="shared" si="164"/>
        <v>6.9304499999999991E-2</v>
      </c>
      <c r="AB208" s="309">
        <f t="shared" si="165"/>
        <v>0</v>
      </c>
      <c r="AC208" s="309">
        <f t="shared" si="148"/>
        <v>16.767283625958981</v>
      </c>
      <c r="AD208" s="309">
        <f t="shared" si="149"/>
        <v>12.525923052242865</v>
      </c>
      <c r="AE208" s="309">
        <f t="shared" si="150"/>
        <v>1.568987483107092</v>
      </c>
      <c r="AF208" s="309">
        <f t="shared" si="166"/>
        <v>0.20148750000000001</v>
      </c>
      <c r="AG208" s="309">
        <f t="shared" si="151"/>
        <v>2.3639049467366506</v>
      </c>
      <c r="AH208" s="309">
        <f t="shared" si="152"/>
        <v>0</v>
      </c>
      <c r="AI208">
        <f t="shared" si="167"/>
        <v>0</v>
      </c>
      <c r="AJ208" s="310">
        <f t="shared" si="168"/>
        <v>0.21529874999999998</v>
      </c>
      <c r="AK208">
        <f t="shared" si="173"/>
        <v>3.6000000000000004E-2</v>
      </c>
      <c r="AL208" s="310">
        <f t="shared" si="169"/>
        <v>3.0374999999999999E-2</v>
      </c>
      <c r="AM208" s="310">
        <f t="shared" si="174"/>
        <v>5.5427027027027023E-2</v>
      </c>
      <c r="AN208" s="310">
        <f t="shared" si="153"/>
        <v>6.6375000000000003E-2</v>
      </c>
      <c r="AO208" s="310">
        <f t="shared" si="154"/>
        <v>21.260937623939601</v>
      </c>
      <c r="AP208">
        <f t="shared" si="170"/>
        <v>74.625</v>
      </c>
      <c r="AQ208" s="9">
        <f t="shared" si="155"/>
        <v>0.77826844946415341</v>
      </c>
      <c r="AR208" s="51">
        <f t="shared" si="156"/>
        <v>922.20059942774401</v>
      </c>
      <c r="AS208" s="51">
        <f t="shared" si="157"/>
        <v>94.556197869466018</v>
      </c>
      <c r="AT208" s="9"/>
      <c r="AU208">
        <f t="shared" si="158"/>
        <v>77.826844946415335</v>
      </c>
    </row>
    <row r="209" spans="7:47">
      <c r="G209">
        <v>200</v>
      </c>
      <c r="H209">
        <f t="shared" si="159"/>
        <v>15</v>
      </c>
      <c r="I209" s="309">
        <f t="shared" si="136"/>
        <v>0.30166954519286132</v>
      </c>
      <c r="J209" s="310">
        <f t="shared" si="160"/>
        <v>4.7535807121299358</v>
      </c>
      <c r="K209" s="310">
        <f t="shared" si="171"/>
        <v>17.376790356064969</v>
      </c>
      <c r="L209" s="310">
        <f t="shared" si="137"/>
        <v>12.623209643935033</v>
      </c>
      <c r="M209" s="51">
        <f t="shared" si="161"/>
        <v>0</v>
      </c>
      <c r="N209" s="309">
        <f t="shared" si="138"/>
        <v>15.062637356460117</v>
      </c>
      <c r="O209" s="309">
        <f t="shared" si="139"/>
        <v>1.52766711188011</v>
      </c>
      <c r="P209">
        <f t="shared" si="162"/>
        <v>0.2</v>
      </c>
      <c r="Q209" s="309">
        <f t="shared" si="172"/>
        <v>1.7276671118801099</v>
      </c>
      <c r="R209" s="8">
        <f t="shared" si="140"/>
        <v>1.3722405518814158</v>
      </c>
      <c r="S209" s="8">
        <f t="shared" si="141"/>
        <v>1.8830441322278126E-3</v>
      </c>
      <c r="T209" s="8">
        <f t="shared" si="142"/>
        <v>1.8830441322278126E-3</v>
      </c>
      <c r="U209" s="309">
        <f t="shared" si="143"/>
        <v>8.2730710582794504</v>
      </c>
      <c r="V209" s="311">
        <f t="shared" si="144"/>
        <v>0.13688740947068215</v>
      </c>
      <c r="W209" s="309">
        <f t="shared" si="145"/>
        <v>0.13688740947068215</v>
      </c>
      <c r="X209" s="309">
        <f t="shared" si="146"/>
        <v>8.2730710582794504</v>
      </c>
      <c r="Y209" s="309">
        <f t="shared" si="147"/>
        <v>3.5590726462377358</v>
      </c>
      <c r="Z209" s="309">
        <f t="shared" si="163"/>
        <v>0.18313837820210876</v>
      </c>
      <c r="AA209" s="309">
        <f t="shared" si="164"/>
        <v>6.9304499999999991E-2</v>
      </c>
      <c r="AB209" s="309">
        <f t="shared" si="165"/>
        <v>0</v>
      </c>
      <c r="AC209" s="309">
        <f t="shared" si="148"/>
        <v>17.564262462025937</v>
      </c>
      <c r="AD209" s="309">
        <f t="shared" si="149"/>
        <v>12.58726894115188</v>
      </c>
      <c r="AE209" s="309">
        <f t="shared" si="150"/>
        <v>1.5843933939688677</v>
      </c>
      <c r="AF209" s="309">
        <f t="shared" si="166"/>
        <v>0.20249999999999999</v>
      </c>
      <c r="AG209" s="309">
        <f t="shared" si="151"/>
        <v>2.3937045394844638</v>
      </c>
      <c r="AH209" s="309">
        <f t="shared" si="152"/>
        <v>0</v>
      </c>
      <c r="AI209">
        <f t="shared" si="167"/>
        <v>0</v>
      </c>
      <c r="AJ209" s="310">
        <f t="shared" si="168"/>
        <v>0.21524999999999997</v>
      </c>
      <c r="AK209">
        <f t="shared" si="173"/>
        <v>3.6000000000000004E-2</v>
      </c>
      <c r="AL209" s="310">
        <f t="shared" si="169"/>
        <v>3.0374999999999999E-2</v>
      </c>
      <c r="AM209" s="310">
        <f t="shared" si="174"/>
        <v>5.5427027027027023E-2</v>
      </c>
      <c r="AN209" s="310">
        <f t="shared" si="153"/>
        <v>6.6375000000000003E-2</v>
      </c>
      <c r="AO209" s="310">
        <f t="shared" si="154"/>
        <v>22.106029566993421</v>
      </c>
      <c r="AP209">
        <f t="shared" si="170"/>
        <v>75</v>
      </c>
      <c r="AQ209" s="9">
        <f t="shared" si="155"/>
        <v>0.77235162774580879</v>
      </c>
      <c r="AR209" s="51">
        <f t="shared" si="156"/>
        <v>966.03443541142656</v>
      </c>
      <c r="AS209" s="51">
        <f t="shared" si="157"/>
        <v>95.748181579378553</v>
      </c>
      <c r="AT209" s="9"/>
      <c r="AU209">
        <f t="shared" si="158"/>
        <v>77.235162774580886</v>
      </c>
    </row>
  </sheetData>
  <sheetProtection selectLockedCells="1"/>
  <mergeCells count="2">
    <mergeCell ref="A1:D4"/>
    <mergeCell ref="A6:D7"/>
  </mergeCells>
  <phoneticPr fontId="5"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7"/>
  <sheetViews>
    <sheetView workbookViewId="0">
      <selection activeCell="M42" sqref="M42"/>
    </sheetView>
  </sheetViews>
  <sheetFormatPr defaultColWidth="8.85546875" defaultRowHeight="12.95"/>
  <cols>
    <col min="1" max="1" width="18.42578125" customWidth="1"/>
    <col min="2" max="2" width="9.28515625" customWidth="1"/>
    <col min="4" max="4" width="11.140625" customWidth="1"/>
  </cols>
  <sheetData>
    <row r="1" spans="1:5">
      <c r="C1" t="s">
        <v>755</v>
      </c>
      <c r="D1" t="s">
        <v>756</v>
      </c>
    </row>
    <row r="2" spans="1:5">
      <c r="A2" t="s">
        <v>757</v>
      </c>
      <c r="B2" s="50">
        <v>85</v>
      </c>
      <c r="C2" t="s">
        <v>758</v>
      </c>
      <c r="D2">
        <f>B2*1000000</f>
        <v>85000000</v>
      </c>
      <c r="E2" t="s">
        <v>208</v>
      </c>
    </row>
    <row r="3" spans="1:5">
      <c r="A3" t="s">
        <v>759</v>
      </c>
      <c r="B3" s="50">
        <v>3000</v>
      </c>
      <c r="C3" t="s">
        <v>92</v>
      </c>
      <c r="D3">
        <f>B3*0.000000000001</f>
        <v>3E-9</v>
      </c>
      <c r="E3" t="s">
        <v>307</v>
      </c>
    </row>
    <row r="4" spans="1:5">
      <c r="A4" t="s">
        <v>760</v>
      </c>
      <c r="B4" s="51">
        <f>1000000000*1/((D2*2*3.14159)^2*D3)</f>
        <v>1.1686430773614742</v>
      </c>
      <c r="C4" t="s">
        <v>761</v>
      </c>
      <c r="D4">
        <f>B4/1000000000</f>
        <v>1.1686430773614743E-9</v>
      </c>
      <c r="E4" t="s">
        <v>236</v>
      </c>
    </row>
    <row r="5" spans="1:5">
      <c r="A5" t="s">
        <v>762</v>
      </c>
      <c r="B5">
        <f>4*B3</f>
        <v>12000</v>
      </c>
      <c r="C5" t="s">
        <v>92</v>
      </c>
      <c r="D5">
        <f>B5*0.000000000001</f>
        <v>1.2E-8</v>
      </c>
      <c r="E5" t="s">
        <v>307</v>
      </c>
    </row>
    <row r="6" spans="1:5">
      <c r="A6" t="s">
        <v>763</v>
      </c>
      <c r="B6" s="3">
        <f>SQRT(D4/D3)</f>
        <v>0.62413755891936573</v>
      </c>
      <c r="C6" s="3" t="s">
        <v>36</v>
      </c>
      <c r="D6" s="3">
        <f>B6</f>
        <v>0.62413755891936573</v>
      </c>
      <c r="E6" t="s">
        <v>36</v>
      </c>
    </row>
    <row r="7" spans="1:5">
      <c r="B7" s="3"/>
      <c r="C7" s="3"/>
      <c r="D7" s="3"/>
    </row>
  </sheetData>
  <phoneticPr fontId="5"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3:E16"/>
  <sheetViews>
    <sheetView workbookViewId="0">
      <selection activeCell="E30" sqref="E30"/>
    </sheetView>
  </sheetViews>
  <sheetFormatPr defaultColWidth="8.85546875" defaultRowHeight="12.95"/>
  <sheetData>
    <row r="3" spans="1:5">
      <c r="A3" t="s">
        <v>764</v>
      </c>
      <c r="B3">
        <f>Iripple1</f>
        <v>4.7535807121299349</v>
      </c>
    </row>
    <row r="4" spans="1:5">
      <c r="A4" t="s">
        <v>207</v>
      </c>
      <c r="B4">
        <f>Fsw</f>
        <v>250000</v>
      </c>
    </row>
    <row r="6" spans="1:5">
      <c r="A6" t="s">
        <v>765</v>
      </c>
      <c r="B6" s="43">
        <v>0.5</v>
      </c>
      <c r="C6" t="s">
        <v>766</v>
      </c>
      <c r="D6">
        <f>B6/1000</f>
        <v>5.0000000000000001E-4</v>
      </c>
      <c r="E6" t="s">
        <v>260</v>
      </c>
    </row>
    <row r="7" spans="1:5">
      <c r="A7" t="s">
        <v>767</v>
      </c>
      <c r="B7" s="43">
        <v>20</v>
      </c>
      <c r="C7" t="s">
        <v>736</v>
      </c>
      <c r="D7">
        <f>B7/1000000</f>
        <v>2.0000000000000002E-5</v>
      </c>
      <c r="E7" t="s">
        <v>307</v>
      </c>
    </row>
    <row r="9" spans="1:5">
      <c r="A9" t="s">
        <v>768</v>
      </c>
      <c r="B9" s="43">
        <v>20</v>
      </c>
      <c r="C9" t="s">
        <v>766</v>
      </c>
      <c r="D9">
        <f>B9/1000</f>
        <v>0.02</v>
      </c>
      <c r="E9" t="s">
        <v>260</v>
      </c>
    </row>
    <row r="10" spans="1:5">
      <c r="A10" t="s">
        <v>769</v>
      </c>
      <c r="B10" s="43">
        <v>68</v>
      </c>
      <c r="C10" t="s">
        <v>736</v>
      </c>
      <c r="D10">
        <f>B10/1000000</f>
        <v>6.7999999999999999E-5</v>
      </c>
      <c r="E10" t="s">
        <v>307</v>
      </c>
    </row>
    <row r="12" spans="1:5">
      <c r="A12" t="s">
        <v>770</v>
      </c>
      <c r="B12">
        <f>(D7/(D7+D10))*SQRT((D9*D10*B4)^2+1)/SQRT((((D6+D9)*D7*D10/(D10+D7))*B4)^2+1)</f>
        <v>0.23930049040395651</v>
      </c>
      <c r="C12" t="s">
        <v>28</v>
      </c>
    </row>
    <row r="13" spans="1:5">
      <c r="A13" t="s">
        <v>771</v>
      </c>
      <c r="B13">
        <f>1-B12</f>
        <v>0.76069950959604349</v>
      </c>
      <c r="C13" t="s">
        <v>28</v>
      </c>
    </row>
    <row r="15" spans="1:5">
      <c r="A15" t="s">
        <v>770</v>
      </c>
      <c r="B15">
        <f>B12*(Iripple1/(2*SQRT(3)))</f>
        <v>0.32837783701741868</v>
      </c>
      <c r="C15" t="s">
        <v>13</v>
      </c>
    </row>
    <row r="16" spans="1:5">
      <c r="A16" t="s">
        <v>771</v>
      </c>
      <c r="B16">
        <f>B13*(Iripple1/(2*SQRT(3)))</f>
        <v>1.043862714863997</v>
      </c>
      <c r="C16" t="s">
        <v>13</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LM5146-Q1 Design Tool</dc:title>
  <dc:subject/>
  <dc:creator>Timothy Hegarty</dc:creator>
  <cp:keywords>LM5146-Q1, PWM controller, synchronous buck, wide Vin</cp:keywords>
  <dc:description/>
  <cp:lastModifiedBy>WANG Tianran</cp:lastModifiedBy>
  <cp:revision/>
  <dcterms:created xsi:type="dcterms:W3CDTF">1996-10-14T23:33:28Z</dcterms:created>
  <dcterms:modified xsi:type="dcterms:W3CDTF">2026-02-06T17:37:38Z</dcterms:modified>
  <cp:category/>
  <cp:contentStatus/>
</cp:coreProperties>
</file>