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955" windowHeight="17655"/>
  </bookViews>
  <sheets>
    <sheet name="General" sheetId="5" r:id="rId1"/>
    <sheet name="Upgrades" sheetId="4" r:id="rId2"/>
    <sheet name="Stats1" sheetId="1" r:id="rId3"/>
    <sheet name="Exp" sheetId="8" r:id="rId4"/>
    <sheet name="Inv" sheetId="3" r:id="rId5"/>
  </sheets>
  <definedNames>
    <definedName name="Stats">Stats1!$A$2:$AB$32</definedName>
  </definedNames>
  <calcPr calcId="125725" calcMode="manual"/>
</workbook>
</file>

<file path=xl/calcChain.xml><?xml version="1.0" encoding="utf-8"?>
<calcChain xmlns="http://schemas.openxmlformats.org/spreadsheetml/2006/main">
  <c r="N2" i="5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N3"/>
  <c r="AA3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AA27" s="1"/>
  <c r="N28"/>
  <c r="N29"/>
  <c r="N30"/>
  <c r="N31"/>
  <c r="AA31" s="1"/>
  <c r="N3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2"/>
  <c r="N2"/>
  <c r="AB2" s="1"/>
  <c r="L2"/>
  <c r="J2"/>
  <c r="H2"/>
  <c r="T2" s="1"/>
  <c r="F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S25" s="1"/>
  <c r="H26"/>
  <c r="H27"/>
  <c r="H28"/>
  <c r="H29"/>
  <c r="H30"/>
  <c r="H31"/>
  <c r="H32"/>
  <c r="H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/>
  <c r="Q25"/>
  <c r="R24"/>
  <c r="AB24"/>
  <c r="AB25"/>
  <c r="AB26"/>
  <c r="AA28"/>
  <c r="Q29"/>
  <c r="S29"/>
  <c r="AB29"/>
  <c r="AB30"/>
  <c r="AA32"/>
  <c r="Q4"/>
  <c r="AB4"/>
  <c r="Q5"/>
  <c r="Q6"/>
  <c r="Q8"/>
  <c r="AB8"/>
  <c r="Q9"/>
  <c r="AA10"/>
  <c r="Q11"/>
  <c r="AB12"/>
  <c r="AB16"/>
  <c r="AA18"/>
  <c r="AB20"/>
  <c r="S3"/>
  <c r="N6" i="5" l="1"/>
  <c r="T14" s="1"/>
  <c r="R2" i="1"/>
  <c r="S2"/>
  <c r="Q2"/>
  <c r="AA2"/>
  <c r="Q27"/>
  <c r="AA23"/>
  <c r="AB7"/>
  <c r="Q3"/>
  <c r="Q7"/>
  <c r="Q24"/>
  <c r="Q21"/>
  <c r="Q19"/>
  <c r="Q17"/>
  <c r="Q15"/>
  <c r="Q13"/>
  <c r="AB32"/>
  <c r="Q31"/>
  <c r="Q10"/>
  <c r="Q28"/>
  <c r="Q26"/>
  <c r="Q23"/>
  <c r="Q22"/>
  <c r="Q20"/>
  <c r="Q18"/>
  <c r="Q16"/>
  <c r="Q14"/>
  <c r="Q12"/>
  <c r="Q32"/>
  <c r="Q30"/>
  <c r="AB31"/>
  <c r="S24"/>
  <c r="AA29"/>
  <c r="T29"/>
  <c r="AA25"/>
  <c r="T24"/>
  <c r="AA24"/>
  <c r="AB23"/>
  <c r="AB28"/>
  <c r="AB27"/>
  <c r="R27"/>
  <c r="T27"/>
  <c r="S27"/>
  <c r="T32"/>
  <c r="R32"/>
  <c r="S32"/>
  <c r="R26"/>
  <c r="T26"/>
  <c r="S26"/>
  <c r="S31"/>
  <c r="T31"/>
  <c r="R31"/>
  <c r="R30"/>
  <c r="S30"/>
  <c r="T30"/>
  <c r="T28"/>
  <c r="S28"/>
  <c r="R28"/>
  <c r="R23"/>
  <c r="T23"/>
  <c r="S23"/>
  <c r="T25"/>
  <c r="AA30"/>
  <c r="R29"/>
  <c r="AA26"/>
  <c r="R25"/>
  <c r="AB15"/>
  <c r="AA15"/>
  <c r="AB13"/>
  <c r="AA13"/>
  <c r="AB21"/>
  <c r="AA21"/>
  <c r="AA11"/>
  <c r="AB11"/>
  <c r="AA19"/>
  <c r="AB19"/>
  <c r="AB9"/>
  <c r="AA9"/>
  <c r="AB14"/>
  <c r="AA14"/>
  <c r="AA22"/>
  <c r="AB22"/>
  <c r="AA17"/>
  <c r="AB17"/>
  <c r="AA6"/>
  <c r="AB6"/>
  <c r="AA5"/>
  <c r="AB5"/>
  <c r="AB18"/>
  <c r="AA7"/>
  <c r="AB10"/>
  <c r="AB3"/>
  <c r="R3"/>
  <c r="T3"/>
  <c r="T9"/>
  <c r="S9"/>
  <c r="R9"/>
  <c r="T15"/>
  <c r="S15"/>
  <c r="R15"/>
  <c r="T7"/>
  <c r="S7"/>
  <c r="R7"/>
  <c r="T22"/>
  <c r="S22"/>
  <c r="R22"/>
  <c r="T14"/>
  <c r="S14"/>
  <c r="R14"/>
  <c r="T6"/>
  <c r="S6"/>
  <c r="R6"/>
  <c r="T21"/>
  <c r="S21"/>
  <c r="R21"/>
  <c r="T13"/>
  <c r="S13"/>
  <c r="R13"/>
  <c r="T5"/>
  <c r="S5"/>
  <c r="R5"/>
  <c r="T17"/>
  <c r="S17"/>
  <c r="R17"/>
  <c r="T16"/>
  <c r="S16"/>
  <c r="R16"/>
  <c r="T8"/>
  <c r="S8"/>
  <c r="R8"/>
  <c r="T20"/>
  <c r="S20"/>
  <c r="R20"/>
  <c r="T12"/>
  <c r="S12"/>
  <c r="R12"/>
  <c r="T4"/>
  <c r="S4"/>
  <c r="R4"/>
  <c r="T19"/>
  <c r="S19"/>
  <c r="R19"/>
  <c r="T11"/>
  <c r="S11"/>
  <c r="R11"/>
  <c r="T18"/>
  <c r="S18"/>
  <c r="R18"/>
  <c r="T10"/>
  <c r="S10"/>
  <c r="R10"/>
  <c r="AA16"/>
  <c r="AA12"/>
  <c r="AA4"/>
  <c r="AA20"/>
  <c r="AA8"/>
  <c r="L2" i="5" l="1"/>
  <c r="T17"/>
  <c r="R2"/>
  <c r="N12"/>
  <c r="J21"/>
  <c r="L16"/>
  <c r="L18" s="1"/>
  <c r="T16"/>
  <c r="L21"/>
  <c r="L26" s="1"/>
  <c r="T11"/>
  <c r="T21"/>
  <c r="P22"/>
  <c r="P26" s="1"/>
  <c r="T12"/>
  <c r="T10"/>
  <c r="T18"/>
  <c r="P12"/>
  <c r="P16" s="1"/>
  <c r="J8"/>
  <c r="T25"/>
  <c r="T9"/>
  <c r="T19"/>
  <c r="T13"/>
  <c r="T20"/>
  <c r="L8"/>
  <c r="L12" s="1"/>
  <c r="J16"/>
  <c r="T24"/>
  <c r="J2"/>
  <c r="N22"/>
  <c r="R6"/>
  <c r="L24"/>
  <c r="P19"/>
  <c r="P17"/>
  <c r="P25"/>
  <c r="P27"/>
  <c r="P24"/>
  <c r="P28"/>
  <c r="L27"/>
  <c r="P14"/>
  <c r="P15"/>
  <c r="L13"/>
  <c r="L4"/>
  <c r="P18" l="1"/>
  <c r="L25"/>
  <c r="L11"/>
  <c r="P9"/>
  <c r="L5"/>
  <c r="L28"/>
  <c r="L23"/>
  <c r="L10"/>
</calcChain>
</file>

<file path=xl/sharedStrings.xml><?xml version="1.0" encoding="utf-8"?>
<sst xmlns="http://schemas.openxmlformats.org/spreadsheetml/2006/main" count="268" uniqueCount="221">
  <si>
    <t>Level</t>
  </si>
  <si>
    <t>Proficiency Bonus</t>
  </si>
  <si>
    <t>Strength</t>
  </si>
  <si>
    <t>Dexterity</t>
  </si>
  <si>
    <t>Experience</t>
  </si>
  <si>
    <t>Hit Points</t>
  </si>
  <si>
    <t>Constitution</t>
  </si>
  <si>
    <t>Intelligence</t>
  </si>
  <si>
    <t>Wisdom</t>
  </si>
  <si>
    <t>Charisma</t>
  </si>
  <si>
    <t>Melee Attack</t>
  </si>
  <si>
    <t>Melee Attack (finesse)</t>
  </si>
  <si>
    <t>Ranged Attack</t>
  </si>
  <si>
    <t>Armour Class</t>
  </si>
  <si>
    <t>Spells Known</t>
  </si>
  <si>
    <t>L1 Spell Slots</t>
  </si>
  <si>
    <t>L2 Spell Slots</t>
  </si>
  <si>
    <t>L3 Spell Slots</t>
  </si>
  <si>
    <t>L4 Spell Slots</t>
  </si>
  <si>
    <t>L5 Spell Slots</t>
  </si>
  <si>
    <t>Spell Save DC</t>
  </si>
  <si>
    <t>Spell Attack Mod</t>
  </si>
  <si>
    <t>Dex Modifier</t>
  </si>
  <si>
    <t>Str Modifier</t>
  </si>
  <si>
    <t>Con Modifier</t>
  </si>
  <si>
    <t>Int Modifier</t>
  </si>
  <si>
    <t>Wis Modifier</t>
  </si>
  <si>
    <t>Cha Modifier</t>
  </si>
  <si>
    <t>Category</t>
  </si>
  <si>
    <t>Item</t>
  </si>
  <si>
    <t>Value Ea.</t>
  </si>
  <si>
    <t>Count</t>
  </si>
  <si>
    <t>Favored Enemy</t>
  </si>
  <si>
    <t>Natural Explorer</t>
  </si>
  <si>
    <t>Fighting Style</t>
  </si>
  <si>
    <t>Upgrade</t>
  </si>
  <si>
    <t>Ability Score Improvement</t>
  </si>
  <si>
    <t>Name</t>
  </si>
  <si>
    <t>Race</t>
  </si>
  <si>
    <t>Skin</t>
  </si>
  <si>
    <t>Eyes</t>
  </si>
  <si>
    <t>Hair</t>
  </si>
  <si>
    <t>Height</t>
  </si>
  <si>
    <t>Weight</t>
  </si>
  <si>
    <t>Ideal</t>
  </si>
  <si>
    <t>Bond</t>
  </si>
  <si>
    <t>Flaw</t>
  </si>
  <si>
    <t>Size</t>
  </si>
  <si>
    <t>Walk Speed</t>
  </si>
  <si>
    <t>Class</t>
  </si>
  <si>
    <t>Background</t>
  </si>
  <si>
    <t>Soldier (Scout)</t>
  </si>
  <si>
    <t>Wood Elf (Dex+2, Wis+1)</t>
  </si>
  <si>
    <t>Ranger (Dex+2, Wis+2)</t>
  </si>
  <si>
    <t>Languages</t>
  </si>
  <si>
    <t>Alignment</t>
  </si>
  <si>
    <t>shortsword, longsword, shortbow, longbow, perception</t>
  </si>
  <si>
    <t>athletics, intimidation, gaming set, land vehicles</t>
  </si>
  <si>
    <t>Racial Bonuses</t>
  </si>
  <si>
    <t>arrow</t>
  </si>
  <si>
    <t>rapier</t>
  </si>
  <si>
    <t>undead</t>
  </si>
  <si>
    <t>forest</t>
  </si>
  <si>
    <t>archery</t>
  </si>
  <si>
    <t>monstrosities</t>
  </si>
  <si>
    <t>arctic</t>
  </si>
  <si>
    <t>int+2</t>
  </si>
  <si>
    <t>str+2</t>
  </si>
  <si>
    <t>str+1, int+1</t>
  </si>
  <si>
    <t>int+1, wis+1</t>
  </si>
  <si>
    <t>int+1, cha+1</t>
  </si>
  <si>
    <t>spyglass</t>
  </si>
  <si>
    <t>Type</t>
  </si>
  <si>
    <t>Enchantment</t>
  </si>
  <si>
    <t>Notes</t>
  </si>
  <si>
    <t>elven</t>
  </si>
  <si>
    <t>longbow</t>
  </si>
  <si>
    <t>silver</t>
  </si>
  <si>
    <t>platinum</t>
  </si>
  <si>
    <t>coin</t>
  </si>
  <si>
    <t>gold</t>
  </si>
  <si>
    <t>ammo</t>
  </si>
  <si>
    <t>weapon</t>
  </si>
  <si>
    <t>tool</t>
  </si>
  <si>
    <t>armour</t>
  </si>
  <si>
    <t>currency</t>
  </si>
  <si>
    <t>AC 11+Dex mod</t>
  </si>
  <si>
    <t>finesse, 1d8 piercing</t>
  </si>
  <si>
    <t>ranged (150/600) 2-handed 1d8+2</t>
  </si>
  <si>
    <t>Thorn</t>
  </si>
  <si>
    <t>tinderbox</t>
  </si>
  <si>
    <t>Property</t>
  </si>
  <si>
    <t>Saving Throw</t>
  </si>
  <si>
    <t>Athletics</t>
  </si>
  <si>
    <t>Acrobatics</t>
  </si>
  <si>
    <t>Sleight of Hand</t>
  </si>
  <si>
    <t>Arcana</t>
  </si>
  <si>
    <t>History</t>
  </si>
  <si>
    <t>Investigation</t>
  </si>
  <si>
    <t>Nature</t>
  </si>
  <si>
    <t>Religion</t>
  </si>
  <si>
    <t>Animal Handling</t>
  </si>
  <si>
    <t>Insight</t>
  </si>
  <si>
    <t>Medicine</t>
  </si>
  <si>
    <t>Perception</t>
  </si>
  <si>
    <t>Survival</t>
  </si>
  <si>
    <t>Deception</t>
  </si>
  <si>
    <t>Intimidation</t>
  </si>
  <si>
    <t>Performance</t>
  </si>
  <si>
    <t>Persuasion</t>
  </si>
  <si>
    <t>Lockpicking</t>
  </si>
  <si>
    <t>Party Affiliation</t>
  </si>
  <si>
    <t>Spell 1 (L1)</t>
  </si>
  <si>
    <t>Spell 2 (L1)</t>
  </si>
  <si>
    <t>Spell 3 (L1)</t>
  </si>
  <si>
    <t>Spell 4 (L2)</t>
  </si>
  <si>
    <t>Spell 5 (L2)</t>
  </si>
  <si>
    <t>Spell 6 (L3)</t>
  </si>
  <si>
    <t>Spell 7 (L3)</t>
  </si>
  <si>
    <t>Spell 8 (L4)</t>
  </si>
  <si>
    <t>Spell 9 (L4)</t>
  </si>
  <si>
    <t>Spell 10 (L5)</t>
  </si>
  <si>
    <t>Spell 11 (L5)</t>
  </si>
  <si>
    <t>speak with animals</t>
  </si>
  <si>
    <t>ensnaring strike</t>
  </si>
  <si>
    <t>detect poison &amp; disease</t>
  </si>
  <si>
    <t>beast sense</t>
  </si>
  <si>
    <t>pass without trace</t>
  </si>
  <si>
    <t>flame arrows</t>
  </si>
  <si>
    <t>freedom of movement</t>
  </si>
  <si>
    <t>locate creature</t>
  </si>
  <si>
    <t>commune with nature</t>
  </si>
  <si>
    <t>tree stride</t>
  </si>
  <si>
    <t>oakleaf</t>
  </si>
  <si>
    <t>sneak attack</t>
  </si>
  <si>
    <t>coordination</t>
  </si>
  <si>
    <t>disengagement expertise</t>
  </si>
  <si>
    <t>shadowmeld</t>
  </si>
  <si>
    <t>primeval awareness</t>
  </si>
  <si>
    <t>Class feature</t>
  </si>
  <si>
    <t>Class Archetype feature</t>
  </si>
  <si>
    <t>Class Archetype</t>
  </si>
  <si>
    <t>extra attack</t>
  </si>
  <si>
    <t>land's stride</t>
  </si>
  <si>
    <t>hide in plain sight</t>
  </si>
  <si>
    <t>vanish</t>
  </si>
  <si>
    <t>feral senses</t>
  </si>
  <si>
    <t>foe slayer</t>
  </si>
  <si>
    <t>underdark</t>
  </si>
  <si>
    <t>abberation</t>
  </si>
  <si>
    <t>Melee</t>
  </si>
  <si>
    <t>Finesse</t>
  </si>
  <si>
    <t>Ranged</t>
  </si>
  <si>
    <t>Known</t>
  </si>
  <si>
    <t>L1 Slots</t>
  </si>
  <si>
    <t>L2 Slots</t>
  </si>
  <si>
    <t>L3 Slots</t>
  </si>
  <si>
    <t>L4 Slots</t>
  </si>
  <si>
    <t>L5 Slots</t>
  </si>
  <si>
    <t>Spell</t>
  </si>
  <si>
    <t>STRENGTH</t>
  </si>
  <si>
    <t>DEXTERITY</t>
  </si>
  <si>
    <t>CONSTITUTION</t>
  </si>
  <si>
    <t>INTELLIGENCE</t>
  </si>
  <si>
    <t>CHARISMA</t>
  </si>
  <si>
    <t>WISDOM</t>
  </si>
  <si>
    <t>Sex</t>
  </si>
  <si>
    <t>Female</t>
  </si>
  <si>
    <t>Medium</t>
  </si>
  <si>
    <t>Physical Traits</t>
  </si>
  <si>
    <t>Age (years)</t>
  </si>
  <si>
    <t>Proficiencies</t>
  </si>
  <si>
    <t>Racial</t>
  </si>
  <si>
    <t>Personality Traits</t>
  </si>
  <si>
    <t>Acquired Traits</t>
  </si>
  <si>
    <t>Fey Ancestry¹</t>
  </si>
  <si>
    <t>Mask of the Wild²</t>
  </si>
  <si>
    <t>Trance³</t>
  </si>
  <si>
    <t>¹advantage vs. charm, magic sleep immune</t>
  </si>
  <si>
    <t>³four-hour meditation = eight-hour rest</t>
  </si>
  <si>
    <t>²can attempt  to hide in light foliage, heavy rain, falling snow, etc.</t>
  </si>
  <si>
    <t>light armour, medium armour, shields, simple weapons, martial weapons, strength, dexterity, investigation, nature, stealth</t>
  </si>
  <si>
    <t>EXPERIENCE</t>
  </si>
  <si>
    <t>LEVEL</t>
  </si>
  <si>
    <t>SPELLS</t>
  </si>
  <si>
    <t>ATTACK</t>
  </si>
  <si>
    <t>HIT POINTS</t>
  </si>
  <si>
    <t>leather</t>
  </si>
  <si>
    <t>cuirass</t>
  </si>
  <si>
    <t>vambrace</t>
  </si>
  <si>
    <t>(part of leather armour)</t>
  </si>
  <si>
    <t>cuisse</t>
  </si>
  <si>
    <t>greave</t>
  </si>
  <si>
    <t>brassart</t>
  </si>
  <si>
    <t>Amount</t>
  </si>
  <si>
    <t>Date</t>
  </si>
  <si>
    <t>Source</t>
  </si>
  <si>
    <t>base</t>
  </si>
  <si>
    <t>INITIATIVE</t>
  </si>
  <si>
    <t>plant growth</t>
  </si>
  <si>
    <t>Arrows</t>
  </si>
  <si>
    <t>Damage</t>
  </si>
  <si>
    <t>ranger (dex, wis)+2</t>
  </si>
  <si>
    <t>⁴class proficiency</t>
  </si>
  <si>
    <t>Darkvision 60 ft</t>
  </si>
  <si>
    <t>35 ft/round</t>
  </si>
  <si>
    <r>
      <t>Stealth</t>
    </r>
    <r>
      <rPr>
        <sz val="11"/>
        <color theme="1"/>
        <rFont val="Calibri"/>
        <family val="2"/>
      </rPr>
      <t>⁴</t>
    </r>
  </si>
  <si>
    <t>Katja Meadowgleam</t>
  </si>
  <si>
    <t>lawful neutral</t>
  </si>
  <si>
    <t>Green</t>
  </si>
  <si>
    <t>Elvish, Common</t>
  </si>
  <si>
    <t>Coral</t>
  </si>
  <si>
    <t>Pale</t>
  </si>
  <si>
    <t>Thesa's triat</t>
  </si>
  <si>
    <t>• I always have a plan for what to do when things go wrong.</t>
  </si>
  <si>
    <t>• My friends know they can rely on me, no matter what.</t>
  </si>
  <si>
    <t>Community - We have to take care of each other, because we're all in this together.</t>
  </si>
  <si>
    <t>I protect those who cannot protect themselves.</t>
  </si>
  <si>
    <t>I am too enamored of ale, wine, and other intoxicants.</t>
  </si>
  <si>
    <t>10x</t>
  </si>
  <si>
    <t>5'-8"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</si>
</sst>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\+0;\-0;\+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Ink Free"/>
      <family val="4"/>
    </font>
    <font>
      <sz val="18"/>
      <color theme="1"/>
      <name val="Ink Free"/>
      <family val="4"/>
    </font>
    <font>
      <sz val="11"/>
      <color theme="1"/>
      <name val="Cataneo BT"/>
      <family val="4"/>
    </font>
    <font>
      <b/>
      <sz val="11"/>
      <color theme="1"/>
      <name val="Cataneo BT"/>
      <family val="4"/>
    </font>
    <font>
      <i/>
      <sz val="11"/>
      <color theme="1"/>
      <name val="Cataneo BT"/>
      <family val="4"/>
    </font>
    <font>
      <sz val="24"/>
      <color theme="1"/>
      <name val="Ink Free"/>
      <family val="4"/>
    </font>
    <font>
      <sz val="16"/>
      <color theme="1"/>
      <name val="Ink Free"/>
      <family val="4"/>
    </font>
    <font>
      <u/>
      <sz val="11"/>
      <color theme="10"/>
      <name val="Ink Free"/>
      <family val="4"/>
    </font>
    <font>
      <sz val="11"/>
      <name val="Cataneo BT"/>
      <family val="4"/>
    </font>
    <font>
      <sz val="11"/>
      <color theme="1"/>
      <name val="Calibri"/>
      <family val="2"/>
      <scheme val="minor"/>
    </font>
    <font>
      <b/>
      <sz val="11"/>
      <color theme="1"/>
      <name val="Cataneo BT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/>
    <xf numFmtId="0" fontId="0" fillId="0" borderId="13" xfId="0" applyBorder="1"/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0" fillId="0" borderId="27" xfId="0" applyBorder="1"/>
    <xf numFmtId="0" fontId="1" fillId="0" borderId="30" xfId="0" applyFont="1" applyBorder="1" applyAlignment="1">
      <alignment horizontal="right"/>
    </xf>
    <xf numFmtId="0" fontId="0" fillId="0" borderId="30" xfId="0" applyBorder="1"/>
    <xf numFmtId="0" fontId="1" fillId="0" borderId="34" xfId="0" applyFont="1" applyBorder="1" applyAlignment="1">
      <alignment horizontal="right"/>
    </xf>
    <xf numFmtId="0" fontId="4" fillId="0" borderId="34" xfId="0" applyFont="1" applyBorder="1" applyAlignment="1">
      <alignment horizontal="left"/>
    </xf>
    <xf numFmtId="0" fontId="4" fillId="0" borderId="34" xfId="0" applyFont="1" applyBorder="1"/>
    <xf numFmtId="0" fontId="4" fillId="0" borderId="35" xfId="0" applyFont="1" applyBorder="1"/>
    <xf numFmtId="0" fontId="4" fillId="0" borderId="27" xfId="0" applyFont="1" applyBorder="1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 applyAlignment="1">
      <alignment horizontal="left"/>
    </xf>
    <xf numFmtId="0" fontId="4" fillId="0" borderId="30" xfId="0" applyFont="1" applyBorder="1"/>
    <xf numFmtId="0" fontId="4" fillId="0" borderId="3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13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6" fillId="0" borderId="26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6" fillId="0" borderId="0" xfId="0" applyFont="1"/>
    <xf numFmtId="0" fontId="6" fillId="0" borderId="33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17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7" xfId="0" applyFont="1" applyFill="1" applyBorder="1"/>
    <xf numFmtId="164" fontId="4" fillId="4" borderId="27" xfId="0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0" xfId="0" applyFont="1" applyBorder="1"/>
    <xf numFmtId="164" fontId="4" fillId="0" borderId="30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6" fillId="0" borderId="0" xfId="0" applyFont="1" applyBorder="1"/>
    <xf numFmtId="0" fontId="6" fillId="0" borderId="14" xfId="0" applyFont="1" applyBorder="1"/>
    <xf numFmtId="0" fontId="6" fillId="0" borderId="16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0" xfId="0" applyFont="1" applyBorder="1"/>
    <xf numFmtId="0" fontId="11" fillId="0" borderId="15" xfId="1" applyFont="1" applyBorder="1" applyAlignment="1" applyProtection="1"/>
    <xf numFmtId="0" fontId="4" fillId="0" borderId="14" xfId="0" applyFont="1" applyBorder="1"/>
    <xf numFmtId="0" fontId="4" fillId="0" borderId="16" xfId="0" applyFont="1" applyBorder="1"/>
    <xf numFmtId="0" fontId="6" fillId="0" borderId="1" xfId="0" applyFont="1" applyBorder="1" applyAlignment="1">
      <alignment textRotation="90"/>
    </xf>
    <xf numFmtId="0" fontId="6" fillId="0" borderId="5" xfId="0" applyFont="1" applyBorder="1" applyAlignment="1">
      <alignment textRotation="90"/>
    </xf>
    <xf numFmtId="0" fontId="6" fillId="0" borderId="3" xfId="0" applyFont="1" applyBorder="1" applyAlignment="1">
      <alignment textRotation="90"/>
    </xf>
    <xf numFmtId="0" fontId="6" fillId="3" borderId="4" xfId="0" applyFont="1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center" vertical="top"/>
    </xf>
    <xf numFmtId="0" fontId="6" fillId="4" borderId="0" xfId="0" applyFont="1" applyFill="1" applyAlignment="1">
      <alignment vertical="top" wrapText="1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3" borderId="4" xfId="0" applyFill="1" applyBorder="1"/>
    <xf numFmtId="0" fontId="6" fillId="4" borderId="0" xfId="2" applyNumberFormat="1" applyFont="1" applyFill="1" applyAlignment="1">
      <alignment horizontal="center" vertical="top"/>
    </xf>
    <xf numFmtId="0" fontId="6" fillId="0" borderId="0" xfId="2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17" xfId="0" applyFont="1" applyFill="1" applyBorder="1" applyAlignment="1">
      <alignment horizontal="center"/>
    </xf>
    <xf numFmtId="0" fontId="6" fillId="0" borderId="17" xfId="0" applyFont="1" applyFill="1" applyBorder="1" applyAlignment="1"/>
    <xf numFmtId="0" fontId="4" fillId="0" borderId="17" xfId="0" applyFont="1" applyFill="1" applyBorder="1" applyAlignment="1"/>
    <xf numFmtId="0" fontId="6" fillId="3" borderId="4" xfId="0" applyFont="1" applyFill="1" applyBorder="1" applyAlignment="1"/>
    <xf numFmtId="0" fontId="14" fillId="0" borderId="0" xfId="0" applyFont="1" applyBorder="1" applyAlignment="1"/>
    <xf numFmtId="0" fontId="14" fillId="0" borderId="0" xfId="0" applyFont="1"/>
    <xf numFmtId="0" fontId="14" fillId="0" borderId="0" xfId="0" applyFont="1" applyFill="1"/>
    <xf numFmtId="0" fontId="14" fillId="2" borderId="0" xfId="0" applyFont="1" applyFill="1" applyBorder="1" applyAlignment="1"/>
    <xf numFmtId="0" fontId="14" fillId="2" borderId="0" xfId="0" applyFont="1" applyFill="1"/>
    <xf numFmtId="0" fontId="14" fillId="0" borderId="2" xfId="0" applyFont="1" applyBorder="1"/>
    <xf numFmtId="0" fontId="14" fillId="0" borderId="4" xfId="0" applyFont="1" applyBorder="1"/>
    <xf numFmtId="164" fontId="4" fillId="0" borderId="30" xfId="0" applyNumberFormat="1" applyFont="1" applyFill="1" applyBorder="1" applyAlignment="1">
      <alignment horizontal="center"/>
    </xf>
    <xf numFmtId="164" fontId="4" fillId="0" borderId="38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right" vertical="top"/>
    </xf>
    <xf numFmtId="0" fontId="1" fillId="0" borderId="36" xfId="0" applyFont="1" applyBorder="1" applyAlignment="1">
      <alignment horizontal="right" vertical="top"/>
    </xf>
    <xf numFmtId="0" fontId="0" fillId="0" borderId="0" xfId="0" applyBorder="1"/>
    <xf numFmtId="0" fontId="0" fillId="0" borderId="36" xfId="0" applyBorder="1"/>
    <xf numFmtId="0" fontId="6" fillId="0" borderId="40" xfId="0" applyFont="1" applyBorder="1" applyAlignment="1">
      <alignment horizontal="right" vertical="top"/>
    </xf>
    <xf numFmtId="0" fontId="6" fillId="0" borderId="40" xfId="0" applyFont="1" applyBorder="1" applyAlignment="1">
      <alignment horizontal="right" vertical="top"/>
    </xf>
    <xf numFmtId="0" fontId="6" fillId="0" borderId="19" xfId="0" applyFont="1" applyBorder="1" applyAlignment="1">
      <alignment horizontal="right" vertical="top"/>
    </xf>
    <xf numFmtId="0" fontId="6" fillId="0" borderId="8" xfId="0" applyFont="1" applyBorder="1" applyAlignment="1">
      <alignment horizontal="right" vertical="top"/>
    </xf>
    <xf numFmtId="0" fontId="4" fillId="0" borderId="36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6" xfId="0" applyFont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20" xfId="0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5" fillId="0" borderId="32" xfId="0" applyFont="1" applyBorder="1" applyAlignment="1"/>
    <xf numFmtId="0" fontId="14" fillId="5" borderId="22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12" xfId="0" applyFont="1" applyBorder="1" applyAlignment="1"/>
    <xf numFmtId="0" fontId="4" fillId="0" borderId="7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32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6" fillId="0" borderId="41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8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ndwiki.com/wiki/Oakleaf_(5e_Subclas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0"/>
  <sheetViews>
    <sheetView showGridLines="0" tabSelected="1" workbookViewId="0">
      <selection activeCell="D8" sqref="D8"/>
    </sheetView>
  </sheetViews>
  <sheetFormatPr defaultRowHeight="15"/>
  <cols>
    <col min="1" max="1" width="2.7109375" style="6" customWidth="1"/>
    <col min="2" max="2" width="16.140625" customWidth="1"/>
    <col min="3" max="3" width="1.7109375" style="6" customWidth="1"/>
    <col min="4" max="4" width="24.7109375" style="2" customWidth="1"/>
    <col min="5" max="5" width="1.7109375" customWidth="1"/>
    <col min="7" max="7" width="1.7109375" customWidth="1"/>
    <col min="8" max="8" width="18.42578125" customWidth="1"/>
    <col min="9" max="9" width="5.85546875" customWidth="1"/>
    <col min="10" max="10" width="3.7109375" customWidth="1"/>
    <col min="11" max="11" width="15.140625" bestFit="1" customWidth="1"/>
    <col min="12" max="12" width="6.28515625" customWidth="1"/>
    <col min="13" max="13" width="5.85546875" customWidth="1"/>
    <col min="14" max="14" width="3.7109375" customWidth="1"/>
    <col min="15" max="15" width="16" bestFit="1" customWidth="1"/>
    <col min="16" max="16" width="6.28515625" customWidth="1"/>
    <col min="17" max="17" width="5.85546875" customWidth="1"/>
    <col min="18" max="18" width="3.7109375" customWidth="1"/>
    <col min="19" max="19" width="10.7109375" customWidth="1"/>
    <col min="20" max="20" width="5" customWidth="1"/>
  </cols>
  <sheetData>
    <row r="1" spans="2:21" ht="25.5" thickBot="1">
      <c r="B1" s="41" t="s">
        <v>37</v>
      </c>
      <c r="C1" s="3"/>
      <c r="D1" s="171" t="s">
        <v>207</v>
      </c>
      <c r="E1" s="171"/>
      <c r="F1" s="171"/>
      <c r="G1" s="171"/>
      <c r="H1" s="171"/>
      <c r="J1" s="139" t="s">
        <v>160</v>
      </c>
      <c r="K1" s="139"/>
      <c r="L1" s="139"/>
      <c r="M1" s="43"/>
      <c r="N1" s="139" t="s">
        <v>182</v>
      </c>
      <c r="O1" s="139"/>
      <c r="P1" s="139"/>
      <c r="Q1" s="43"/>
      <c r="R1" s="138" t="s">
        <v>1</v>
      </c>
      <c r="S1" s="138"/>
      <c r="T1" s="138"/>
    </row>
    <row r="2" spans="2:21" s="6" customFormat="1" ht="15" customHeight="1">
      <c r="B2" s="3"/>
      <c r="C2" s="3"/>
      <c r="D2" s="11"/>
      <c r="J2" s="140">
        <f>VLOOKUP(N6,Stats,5)</f>
        <v>10</v>
      </c>
      <c r="K2" s="141"/>
      <c r="L2" s="144">
        <f>VLOOKUP(N6,Stats,6)</f>
        <v>0</v>
      </c>
      <c r="M2" s="43"/>
      <c r="N2" s="159">
        <f>SUM(Exp!C:C)</f>
        <v>160000</v>
      </c>
      <c r="O2" s="160"/>
      <c r="P2" s="161"/>
      <c r="Q2" s="43"/>
      <c r="R2" s="165">
        <f>VLOOKUP(N6,Stats,3)</f>
        <v>5</v>
      </c>
      <c r="S2" s="166"/>
      <c r="T2" s="167"/>
    </row>
    <row r="3" spans="2:21" s="6" customFormat="1" ht="15" customHeight="1" thickBot="1">
      <c r="B3" s="172" t="s">
        <v>169</v>
      </c>
      <c r="C3" s="173"/>
      <c r="D3" s="173"/>
      <c r="E3" s="173"/>
      <c r="F3" s="173"/>
      <c r="G3" s="173"/>
      <c r="H3" s="174"/>
      <c r="J3" s="142"/>
      <c r="K3" s="143"/>
      <c r="L3" s="145"/>
      <c r="M3" s="43"/>
      <c r="N3" s="162"/>
      <c r="O3" s="163"/>
      <c r="P3" s="164"/>
      <c r="Q3" s="43"/>
      <c r="R3" s="168"/>
      <c r="S3" s="169"/>
      <c r="T3" s="170"/>
    </row>
    <row r="4" spans="2:21" ht="15.75">
      <c r="B4" s="37" t="s">
        <v>38</v>
      </c>
      <c r="C4" s="13"/>
      <c r="D4" s="21" t="s">
        <v>52</v>
      </c>
      <c r="E4" s="14"/>
      <c r="F4" s="46" t="s">
        <v>47</v>
      </c>
      <c r="G4" s="13"/>
      <c r="H4" s="34" t="s">
        <v>168</v>
      </c>
      <c r="J4" s="61">
        <v>1</v>
      </c>
      <c r="K4" s="62" t="s">
        <v>92</v>
      </c>
      <c r="L4" s="63">
        <f>IF(J4=1,R2,0)+L2</f>
        <v>5</v>
      </c>
      <c r="M4" s="43"/>
      <c r="N4" s="43"/>
      <c r="O4" s="43"/>
      <c r="P4" s="43"/>
      <c r="Q4" s="43"/>
      <c r="R4" s="6"/>
      <c r="S4" s="6"/>
      <c r="T4" s="1"/>
    </row>
    <row r="5" spans="2:21" s="6" customFormat="1" ht="16.5" thickBot="1">
      <c r="B5" s="38" t="s">
        <v>166</v>
      </c>
      <c r="C5" s="15"/>
      <c r="D5" s="24" t="s">
        <v>167</v>
      </c>
      <c r="E5" s="16"/>
      <c r="F5" s="47" t="s">
        <v>39</v>
      </c>
      <c r="G5" s="15"/>
      <c r="H5" s="35" t="s">
        <v>212</v>
      </c>
      <c r="J5" s="106">
        <v>1</v>
      </c>
      <c r="K5" s="50" t="s">
        <v>93</v>
      </c>
      <c r="L5" s="55">
        <f>IF(J5=1,R2,0)+L2</f>
        <v>5</v>
      </c>
      <c r="M5" s="43"/>
      <c r="N5" s="139" t="s">
        <v>183</v>
      </c>
      <c r="O5" s="139"/>
      <c r="P5" s="139"/>
      <c r="Q5" s="43"/>
      <c r="R5" s="139" t="s">
        <v>186</v>
      </c>
      <c r="S5" s="139"/>
      <c r="T5" s="139"/>
    </row>
    <row r="6" spans="2:21" s="6" customFormat="1" ht="15.75" customHeight="1">
      <c r="B6" s="38" t="s">
        <v>41</v>
      </c>
      <c r="C6" s="15"/>
      <c r="D6" s="24" t="s">
        <v>211</v>
      </c>
      <c r="E6" s="16"/>
      <c r="F6" s="47" t="s">
        <v>40</v>
      </c>
      <c r="G6" s="15"/>
      <c r="H6" s="35" t="s">
        <v>209</v>
      </c>
      <c r="J6" s="43"/>
      <c r="K6" s="43"/>
      <c r="L6" s="43"/>
      <c r="M6" s="43"/>
      <c r="N6" s="153">
        <f>INDEX(Stats,MATCH(N2,Stats1!B2:B32,1),1)</f>
        <v>15</v>
      </c>
      <c r="O6" s="154"/>
      <c r="P6" s="155"/>
      <c r="Q6" s="43"/>
      <c r="R6" s="153">
        <f>VLOOKUP(N6,Stats,4)</f>
        <v>81</v>
      </c>
      <c r="S6" s="154"/>
      <c r="T6" s="155"/>
    </row>
    <row r="7" spans="2:21" s="6" customFormat="1" ht="16.5" customHeight="1" thickBot="1">
      <c r="B7" s="38" t="s">
        <v>170</v>
      </c>
      <c r="C7" s="15"/>
      <c r="D7" s="24">
        <v>139</v>
      </c>
      <c r="E7" s="16"/>
      <c r="F7" s="47" t="s">
        <v>42</v>
      </c>
      <c r="G7" s="15"/>
      <c r="H7" s="35" t="s">
        <v>220</v>
      </c>
      <c r="J7" s="139" t="s">
        <v>161</v>
      </c>
      <c r="K7" s="139"/>
      <c r="L7" s="139"/>
      <c r="M7" s="43"/>
      <c r="N7" s="156"/>
      <c r="O7" s="157"/>
      <c r="P7" s="158"/>
      <c r="Q7" s="43"/>
      <c r="R7" s="156"/>
      <c r="S7" s="157"/>
      <c r="T7" s="158"/>
    </row>
    <row r="8" spans="2:21" s="6" customFormat="1" ht="16.5" customHeight="1" thickBot="1">
      <c r="B8" s="39" t="s">
        <v>48</v>
      </c>
      <c r="C8" s="12"/>
      <c r="D8" s="33" t="s">
        <v>205</v>
      </c>
      <c r="E8" s="7"/>
      <c r="F8" s="48" t="s">
        <v>43</v>
      </c>
      <c r="G8" s="12"/>
      <c r="H8" s="36">
        <v>126</v>
      </c>
      <c r="J8" s="140">
        <f>VLOOKUP(N6,Stats,7)</f>
        <v>20</v>
      </c>
      <c r="K8" s="141"/>
      <c r="L8" s="144">
        <f>VLOOKUP(N6,Stats,8)</f>
        <v>5</v>
      </c>
      <c r="M8" s="43"/>
      <c r="Q8" s="43"/>
      <c r="T8" s="1"/>
    </row>
    <row r="9" spans="2:21" ht="16.5" customHeight="1" thickBot="1">
      <c r="B9" s="40" t="s">
        <v>58</v>
      </c>
      <c r="C9" s="8"/>
      <c r="D9" s="30" t="s">
        <v>204</v>
      </c>
      <c r="E9" s="31"/>
      <c r="F9" s="30" t="s">
        <v>175</v>
      </c>
      <c r="G9" s="31"/>
      <c r="H9" s="32"/>
      <c r="J9" s="142"/>
      <c r="K9" s="143"/>
      <c r="L9" s="145"/>
      <c r="M9" s="43"/>
      <c r="N9" s="6"/>
      <c r="O9" s="101" t="s">
        <v>198</v>
      </c>
      <c r="P9" s="100">
        <f>L8+R2</f>
        <v>10</v>
      </c>
      <c r="Q9" s="43"/>
      <c r="R9" s="147" t="s">
        <v>185</v>
      </c>
      <c r="S9" s="46" t="s">
        <v>150</v>
      </c>
      <c r="T9" s="67">
        <f>VLOOKUP(N6,Stats,17)</f>
        <v>5</v>
      </c>
    </row>
    <row r="10" spans="2:21" ht="16.5" thickBot="1">
      <c r="B10" s="9"/>
      <c r="C10" s="10"/>
      <c r="D10" s="27" t="s">
        <v>176</v>
      </c>
      <c r="E10" s="28"/>
      <c r="F10" s="27" t="s">
        <v>177</v>
      </c>
      <c r="G10" s="28"/>
      <c r="H10" s="29"/>
      <c r="J10" s="61">
        <v>1</v>
      </c>
      <c r="K10" s="62" t="s">
        <v>92</v>
      </c>
      <c r="L10" s="63">
        <f>IF(J10=1,R2,0)+L8</f>
        <v>10</v>
      </c>
      <c r="M10" s="43"/>
      <c r="N10" s="6"/>
      <c r="O10" s="6"/>
      <c r="P10" s="6"/>
      <c r="Q10" s="43"/>
      <c r="R10" s="148"/>
      <c r="S10" s="47" t="s">
        <v>151</v>
      </c>
      <c r="T10" s="68">
        <f>VLOOKUP(N6,Stats,18)</f>
        <v>10</v>
      </c>
    </row>
    <row r="11" spans="2:21" ht="16.5" thickBot="1">
      <c r="B11" s="8"/>
      <c r="C11" s="8"/>
      <c r="J11" s="64">
        <v>1</v>
      </c>
      <c r="K11" s="65" t="s">
        <v>94</v>
      </c>
      <c r="L11" s="120">
        <f>IF(J11=1,R3,0)+L8</f>
        <v>5</v>
      </c>
      <c r="M11" s="43"/>
      <c r="N11" s="139" t="s">
        <v>165</v>
      </c>
      <c r="O11" s="139"/>
      <c r="P11" s="139"/>
      <c r="Q11" s="43"/>
      <c r="R11" s="148"/>
      <c r="S11" s="47" t="s">
        <v>152</v>
      </c>
      <c r="T11" s="68">
        <f>VLOOKUP(N6,Stats,19)+FLOOR(N6/3,1)</f>
        <v>15</v>
      </c>
    </row>
    <row r="12" spans="2:21" ht="16.5" customHeight="1" thickBot="1">
      <c r="B12" s="172" t="s">
        <v>173</v>
      </c>
      <c r="C12" s="173"/>
      <c r="D12" s="173"/>
      <c r="E12" s="173"/>
      <c r="F12" s="173"/>
      <c r="G12" s="173"/>
      <c r="H12" s="174"/>
      <c r="J12" s="64">
        <v>0</v>
      </c>
      <c r="K12" s="65" t="s">
        <v>95</v>
      </c>
      <c r="L12" s="120">
        <f>IF(J12=1,R2,0)+L8</f>
        <v>5</v>
      </c>
      <c r="M12" s="43"/>
      <c r="N12" s="140">
        <f>VLOOKUP(N6,Stats,13)</f>
        <v>19</v>
      </c>
      <c r="O12" s="141"/>
      <c r="P12" s="144">
        <f>VLOOKUP(N6,Stats,14)</f>
        <v>4</v>
      </c>
      <c r="Q12" s="43"/>
      <c r="R12" s="150"/>
      <c r="S12" s="48" t="s">
        <v>159</v>
      </c>
      <c r="T12" s="60">
        <f>VLOOKUP(N6,Stats,28)</f>
        <v>9</v>
      </c>
    </row>
    <row r="13" spans="2:21" s="6" customFormat="1" ht="16.5" customHeight="1" thickBot="1">
      <c r="B13" s="178" t="s">
        <v>214</v>
      </c>
      <c r="C13" s="179"/>
      <c r="D13" s="179"/>
      <c r="E13" s="179"/>
      <c r="F13" s="179"/>
      <c r="G13" s="179"/>
      <c r="H13" s="180"/>
      <c r="J13" s="106">
        <v>0</v>
      </c>
      <c r="K13" s="50" t="s">
        <v>206</v>
      </c>
      <c r="L13" s="121">
        <f>IF(J13=1,R2,0)+L8</f>
        <v>5</v>
      </c>
      <c r="M13" s="43"/>
      <c r="N13" s="142"/>
      <c r="O13" s="143"/>
      <c r="P13" s="145"/>
      <c r="Q13" s="43"/>
      <c r="R13" s="151" t="s">
        <v>13</v>
      </c>
      <c r="S13" s="152"/>
      <c r="T13" s="69">
        <f>VLOOKUP(N6,Stats,20)</f>
        <v>15</v>
      </c>
    </row>
    <row r="14" spans="2:21" ht="16.5" customHeight="1" thickBot="1">
      <c r="B14" s="136" t="s">
        <v>215</v>
      </c>
      <c r="C14" s="132"/>
      <c r="D14" s="132"/>
      <c r="E14" s="132"/>
      <c r="F14" s="132"/>
      <c r="G14" s="132"/>
      <c r="H14" s="133"/>
      <c r="J14" s="43"/>
      <c r="K14" s="43"/>
      <c r="L14" s="43"/>
      <c r="M14" s="43"/>
      <c r="N14" s="61">
        <v>1</v>
      </c>
      <c r="O14" s="62" t="s">
        <v>92</v>
      </c>
      <c r="P14" s="63">
        <f>IF(N14=1,R2,0)+P12</f>
        <v>9</v>
      </c>
      <c r="Q14" s="43"/>
      <c r="R14" s="137" t="s">
        <v>20</v>
      </c>
      <c r="S14" s="138"/>
      <c r="T14" s="59">
        <f>VLOOKUP(N6,Stats,27)</f>
        <v>17</v>
      </c>
    </row>
    <row r="15" spans="2:21" s="6" customFormat="1" ht="16.5" customHeight="1" thickBot="1">
      <c r="B15" s="44" t="s">
        <v>55</v>
      </c>
      <c r="C15" s="17"/>
      <c r="D15" s="18" t="s">
        <v>208</v>
      </c>
      <c r="E15" s="19"/>
      <c r="F15" s="19"/>
      <c r="G15" s="19"/>
      <c r="H15" s="20"/>
      <c r="J15" s="139" t="s">
        <v>162</v>
      </c>
      <c r="K15" s="139"/>
      <c r="L15" s="139"/>
      <c r="M15" s="43"/>
      <c r="N15" s="64">
        <v>1</v>
      </c>
      <c r="O15" s="65" t="s">
        <v>101</v>
      </c>
      <c r="P15" s="66">
        <f>IF(N15=1,R2,0)+P12</f>
        <v>9</v>
      </c>
      <c r="Q15" s="43"/>
      <c r="R15" s="43"/>
      <c r="S15" s="43"/>
      <c r="T15" s="49"/>
      <c r="U15"/>
    </row>
    <row r="16" spans="2:21" ht="15.75" customHeight="1">
      <c r="B16" s="127" t="s">
        <v>44</v>
      </c>
      <c r="C16" s="123"/>
      <c r="D16" s="130" t="s">
        <v>216</v>
      </c>
      <c r="E16" s="130"/>
      <c r="F16" s="130"/>
      <c r="G16" s="130"/>
      <c r="H16" s="131"/>
      <c r="J16" s="140">
        <f>VLOOKUP(N6,Stats,9)</f>
        <v>7</v>
      </c>
      <c r="K16" s="141"/>
      <c r="L16" s="144">
        <f>VLOOKUP(N6,Stats,10)</f>
        <v>-2</v>
      </c>
      <c r="M16" s="43"/>
      <c r="N16" s="64">
        <v>0</v>
      </c>
      <c r="O16" s="65" t="s">
        <v>102</v>
      </c>
      <c r="P16" s="66">
        <f>IF(N16=1,R2,0)+P12</f>
        <v>4</v>
      </c>
      <c r="Q16" s="43"/>
      <c r="R16" s="147" t="s">
        <v>184</v>
      </c>
      <c r="S16" s="51" t="s">
        <v>153</v>
      </c>
      <c r="T16" s="58">
        <f>VLOOKUP(N6,Stats,21)</f>
        <v>9</v>
      </c>
      <c r="U16" s="4"/>
    </row>
    <row r="17" spans="2:21" s="4" customFormat="1" ht="16.5" customHeight="1" thickBot="1">
      <c r="B17" s="185"/>
      <c r="C17" s="122"/>
      <c r="D17" s="183"/>
      <c r="E17" s="183"/>
      <c r="F17" s="183"/>
      <c r="G17" s="183"/>
      <c r="H17" s="184"/>
      <c r="J17" s="142"/>
      <c r="K17" s="143"/>
      <c r="L17" s="145"/>
      <c r="M17" s="43"/>
      <c r="N17" s="64">
        <v>0</v>
      </c>
      <c r="O17" s="65" t="s">
        <v>103</v>
      </c>
      <c r="P17" s="66">
        <f>IF(N17=1,R2,0)+P12</f>
        <v>4</v>
      </c>
      <c r="Q17" s="43"/>
      <c r="R17" s="148"/>
      <c r="S17" s="70" t="s">
        <v>154</v>
      </c>
      <c r="T17" s="69">
        <f>VLOOKUP(N6,Stats,22)</f>
        <v>4</v>
      </c>
    </row>
    <row r="18" spans="2:21" s="4" customFormat="1" ht="16.5" customHeight="1" thickBot="1">
      <c r="B18" s="126" t="s">
        <v>45</v>
      </c>
      <c r="C18" s="123"/>
      <c r="D18" s="130" t="s">
        <v>217</v>
      </c>
      <c r="E18" s="130"/>
      <c r="F18" s="130"/>
      <c r="G18" s="130"/>
      <c r="H18" s="131"/>
      <c r="J18" s="53">
        <v>0</v>
      </c>
      <c r="K18" s="54" t="s">
        <v>92</v>
      </c>
      <c r="L18" s="57">
        <f>IF(J18=1,R2,0)+L16</f>
        <v>-2</v>
      </c>
      <c r="M18" s="43"/>
      <c r="N18" s="64">
        <v>1</v>
      </c>
      <c r="O18" s="65" t="s">
        <v>104</v>
      </c>
      <c r="P18" s="66">
        <f>IF(N18=1,R2,0)+P12</f>
        <v>9</v>
      </c>
      <c r="Q18" s="43"/>
      <c r="R18" s="148"/>
      <c r="S18" s="47" t="s">
        <v>155</v>
      </c>
      <c r="T18" s="71">
        <f>VLOOKUP(N6,Stats,23)</f>
        <v>3</v>
      </c>
      <c r="U18"/>
    </row>
    <row r="19" spans="2:21" ht="16.5" customHeight="1" thickBot="1">
      <c r="B19" s="45" t="s">
        <v>46</v>
      </c>
      <c r="C19" s="10"/>
      <c r="D19" s="181" t="s">
        <v>218</v>
      </c>
      <c r="E19" s="181"/>
      <c r="F19" s="181"/>
      <c r="G19" s="181"/>
      <c r="H19" s="182"/>
      <c r="J19" s="43"/>
      <c r="K19" s="43"/>
      <c r="L19" s="43"/>
      <c r="M19" s="43"/>
      <c r="N19" s="106">
        <v>1</v>
      </c>
      <c r="O19" s="50" t="s">
        <v>105</v>
      </c>
      <c r="P19" s="55">
        <f>IF(N19=1,R2,0)+P12</f>
        <v>9</v>
      </c>
      <c r="Q19" s="43"/>
      <c r="R19" s="148"/>
      <c r="S19" s="47" t="s">
        <v>156</v>
      </c>
      <c r="T19" s="71">
        <f>VLOOKUP(N6,Stats,24)</f>
        <v>3</v>
      </c>
      <c r="U19" s="6"/>
    </row>
    <row r="20" spans="2:21" s="6" customFormat="1" ht="16.5" customHeight="1" thickBot="1">
      <c r="B20"/>
      <c r="D20" s="2"/>
      <c r="E20"/>
      <c r="F20"/>
      <c r="G20"/>
      <c r="H20"/>
      <c r="J20" s="139" t="s">
        <v>163</v>
      </c>
      <c r="K20" s="139"/>
      <c r="L20" s="139"/>
      <c r="M20" s="43"/>
      <c r="N20" s="43"/>
      <c r="O20" s="43"/>
      <c r="P20" s="43"/>
      <c r="Q20" s="43"/>
      <c r="R20" s="148"/>
      <c r="S20" s="47" t="s">
        <v>157</v>
      </c>
      <c r="T20" s="71">
        <f>VLOOKUP(N6,Stats,25)</f>
        <v>2</v>
      </c>
      <c r="U20"/>
    </row>
    <row r="21" spans="2:21" ht="16.5" thickBot="1">
      <c r="B21" s="175" t="s">
        <v>174</v>
      </c>
      <c r="C21" s="176"/>
      <c r="D21" s="176"/>
      <c r="E21" s="176"/>
      <c r="F21" s="176"/>
      <c r="G21" s="176"/>
      <c r="H21" s="177"/>
      <c r="J21" s="140">
        <f>VLOOKUP(N6,Stats,11)</f>
        <v>12</v>
      </c>
      <c r="K21" s="141"/>
      <c r="L21" s="144">
        <f>VLOOKUP(N6,Stats,12)</f>
        <v>1</v>
      </c>
      <c r="M21" s="43"/>
      <c r="N21" s="139" t="s">
        <v>164</v>
      </c>
      <c r="O21" s="139"/>
      <c r="P21" s="139"/>
      <c r="Q21" s="43"/>
      <c r="R21" s="149"/>
      <c r="S21" s="52" t="s">
        <v>158</v>
      </c>
      <c r="T21" s="59">
        <f>VLOOKUP(N6,Stats,26)</f>
        <v>0</v>
      </c>
    </row>
    <row r="22" spans="2:21" ht="16.5" thickBot="1">
      <c r="B22" s="37" t="s">
        <v>54</v>
      </c>
      <c r="C22" s="13"/>
      <c r="D22" s="21" t="s">
        <v>210</v>
      </c>
      <c r="E22" s="22"/>
      <c r="F22" s="22"/>
      <c r="G22" s="22"/>
      <c r="H22" s="23"/>
      <c r="J22" s="142"/>
      <c r="K22" s="143"/>
      <c r="L22" s="145"/>
      <c r="M22" s="43"/>
      <c r="N22" s="140">
        <f>VLOOKUP(N6,Stats,15)</f>
        <v>11</v>
      </c>
      <c r="O22" s="141"/>
      <c r="P22" s="144">
        <f>VLOOKUP(N6,Stats,16)</f>
        <v>0</v>
      </c>
      <c r="Q22" s="43"/>
      <c r="R22" s="43"/>
      <c r="S22" s="43"/>
      <c r="T22" s="49"/>
    </row>
    <row r="23" spans="2:21" ht="16.5" thickBot="1">
      <c r="B23" s="38" t="s">
        <v>49</v>
      </c>
      <c r="C23" s="15"/>
      <c r="D23" s="24" t="s">
        <v>53</v>
      </c>
      <c r="E23" s="25"/>
      <c r="F23" s="25"/>
      <c r="G23" s="25"/>
      <c r="H23" s="26"/>
      <c r="J23" s="61">
        <v>0</v>
      </c>
      <c r="K23" s="62" t="s">
        <v>92</v>
      </c>
      <c r="L23" s="63">
        <f>IF(J23=1,R2,0)+L21</f>
        <v>1</v>
      </c>
      <c r="M23" s="43"/>
      <c r="N23" s="142"/>
      <c r="O23" s="143"/>
      <c r="P23" s="145"/>
      <c r="Q23" s="43"/>
      <c r="R23" s="146" t="s">
        <v>110</v>
      </c>
      <c r="S23" s="146"/>
      <c r="T23" s="56">
        <v>0</v>
      </c>
    </row>
    <row r="24" spans="2:21" ht="16.5" customHeight="1">
      <c r="B24" s="38" t="s">
        <v>50</v>
      </c>
      <c r="C24" s="15"/>
      <c r="D24" s="24" t="s">
        <v>51</v>
      </c>
      <c r="E24" s="25"/>
      <c r="F24" s="25"/>
      <c r="G24" s="25"/>
      <c r="H24" s="26"/>
      <c r="J24" s="64">
        <v>0</v>
      </c>
      <c r="K24" s="65" t="s">
        <v>96</v>
      </c>
      <c r="L24" s="66">
        <f>IF(J24=1,R2,0)+L21</f>
        <v>1</v>
      </c>
      <c r="M24" s="43"/>
      <c r="N24" s="61">
        <v>0</v>
      </c>
      <c r="O24" s="62" t="s">
        <v>92</v>
      </c>
      <c r="P24" s="63">
        <f>IF(N24=1,R2,0)+P22</f>
        <v>0</v>
      </c>
      <c r="Q24" s="43"/>
      <c r="R24" s="43"/>
      <c r="S24" s="43" t="s">
        <v>200</v>
      </c>
      <c r="T24" s="105">
        <f>FLOOR(POWER(2,N6/5),1)</f>
        <v>8</v>
      </c>
    </row>
    <row r="25" spans="2:21" ht="16.5" customHeight="1" thickBot="1">
      <c r="B25" s="45" t="s">
        <v>111</v>
      </c>
      <c r="C25" s="10"/>
      <c r="D25" s="27" t="s">
        <v>213</v>
      </c>
      <c r="E25" s="28"/>
      <c r="F25" s="28"/>
      <c r="G25" s="28"/>
      <c r="H25" s="29"/>
      <c r="J25" s="64">
        <v>0</v>
      </c>
      <c r="K25" s="65" t="s">
        <v>97</v>
      </c>
      <c r="L25" s="66">
        <f>IF(J25=1,R2,0)+L21</f>
        <v>1</v>
      </c>
      <c r="M25" s="43"/>
      <c r="N25" s="64">
        <v>0</v>
      </c>
      <c r="O25" s="65" t="s">
        <v>106</v>
      </c>
      <c r="P25" s="66">
        <f>IF(N25=1,R2,0)+P22</f>
        <v>0</v>
      </c>
      <c r="Q25" s="43"/>
      <c r="R25" s="6"/>
      <c r="S25" s="43" t="s">
        <v>201</v>
      </c>
      <c r="T25" s="56">
        <f>FLOOR(N6/3,1)</f>
        <v>5</v>
      </c>
    </row>
    <row r="26" spans="2:21" ht="16.5" customHeight="1">
      <c r="B26" s="8"/>
      <c r="C26" s="8"/>
      <c r="E26" s="6"/>
      <c r="F26" s="6"/>
      <c r="G26" s="6"/>
      <c r="H26" s="6"/>
      <c r="J26" s="64">
        <v>0</v>
      </c>
      <c r="K26" s="65" t="s">
        <v>98</v>
      </c>
      <c r="L26" s="66">
        <f>IF(J26=1,R2,0)+L21</f>
        <v>1</v>
      </c>
      <c r="M26" s="43"/>
      <c r="N26" s="64">
        <v>0</v>
      </c>
      <c r="O26" s="65" t="s">
        <v>107</v>
      </c>
      <c r="P26" s="66">
        <f>IF(N26=1,R2,0)+P22</f>
        <v>0</v>
      </c>
      <c r="Q26" s="43"/>
      <c r="R26" s="6"/>
      <c r="S26" s="6"/>
      <c r="T26" s="1"/>
    </row>
    <row r="27" spans="2:21" ht="16.5" customHeight="1" thickBot="1">
      <c r="B27" s="175" t="s">
        <v>171</v>
      </c>
      <c r="C27" s="176"/>
      <c r="D27" s="176"/>
      <c r="E27" s="176"/>
      <c r="F27" s="176"/>
      <c r="G27" s="176"/>
      <c r="H27" s="177"/>
      <c r="J27" s="64">
        <v>1</v>
      </c>
      <c r="K27" s="65" t="s">
        <v>99</v>
      </c>
      <c r="L27" s="66">
        <f>IF(J27=1,R2,0)+L21</f>
        <v>6</v>
      </c>
      <c r="M27" s="43"/>
      <c r="N27" s="64">
        <v>0</v>
      </c>
      <c r="O27" s="65" t="s">
        <v>108</v>
      </c>
      <c r="P27" s="66">
        <f>IF(N27=1,R2,0)+P22</f>
        <v>0</v>
      </c>
      <c r="Q27" s="43"/>
      <c r="R27" s="6"/>
      <c r="S27" s="6"/>
      <c r="T27" s="1"/>
      <c r="U27" s="6"/>
    </row>
    <row r="28" spans="2:21" s="6" customFormat="1" ht="16.5" customHeight="1" thickBot="1">
      <c r="B28" s="37" t="s">
        <v>172</v>
      </c>
      <c r="C28" s="14"/>
      <c r="D28" s="21" t="s">
        <v>56</v>
      </c>
      <c r="E28" s="22"/>
      <c r="F28" s="22"/>
      <c r="G28" s="22"/>
      <c r="H28" s="23"/>
      <c r="J28" s="106">
        <v>0</v>
      </c>
      <c r="K28" s="50" t="s">
        <v>100</v>
      </c>
      <c r="L28" s="55">
        <f>IF(J28=R2,2,0)+L21</f>
        <v>1</v>
      </c>
      <c r="M28" s="43"/>
      <c r="N28" s="106">
        <v>0</v>
      </c>
      <c r="O28" s="50" t="s">
        <v>109</v>
      </c>
      <c r="P28" s="55">
        <f>IF(N28=1,R2,0)+P22</f>
        <v>0</v>
      </c>
      <c r="Q28" s="43"/>
      <c r="T28" s="1"/>
    </row>
    <row r="29" spans="2:21" s="6" customFormat="1" ht="15" customHeight="1">
      <c r="B29" s="38" t="s">
        <v>50</v>
      </c>
      <c r="C29" s="16"/>
      <c r="D29" s="24" t="s">
        <v>57</v>
      </c>
      <c r="E29" s="25"/>
      <c r="F29" s="25"/>
      <c r="G29" s="25"/>
      <c r="H29" s="26"/>
      <c r="J29"/>
      <c r="K29"/>
      <c r="L29"/>
      <c r="M29"/>
      <c r="N29"/>
      <c r="O29"/>
      <c r="P29"/>
      <c r="Q29"/>
      <c r="T29" s="1"/>
    </row>
    <row r="30" spans="2:21" s="6" customFormat="1" ht="16.5" customHeight="1">
      <c r="B30" s="127" t="s">
        <v>49</v>
      </c>
      <c r="C30" s="125"/>
      <c r="D30" s="130" t="s">
        <v>181</v>
      </c>
      <c r="E30" s="130"/>
      <c r="F30" s="130"/>
      <c r="G30" s="130"/>
      <c r="H30" s="131"/>
      <c r="I30"/>
      <c r="J30" s="42" t="s">
        <v>74</v>
      </c>
      <c r="K30"/>
      <c r="L30"/>
      <c r="M30"/>
      <c r="N30"/>
      <c r="O30"/>
      <c r="P30"/>
      <c r="Q30"/>
      <c r="R30"/>
      <c r="S30"/>
      <c r="T30"/>
      <c r="U30"/>
    </row>
    <row r="31" spans="2:21" s="6" customFormat="1" ht="16.5" customHeight="1">
      <c r="B31" s="128"/>
      <c r="C31" s="124"/>
      <c r="D31" s="132"/>
      <c r="E31" s="132"/>
      <c r="F31" s="132"/>
      <c r="G31" s="132"/>
      <c r="H31" s="133"/>
      <c r="J31" s="43" t="s">
        <v>178</v>
      </c>
    </row>
    <row r="32" spans="2:21" s="6" customFormat="1" ht="16.5" customHeight="1" thickBot="1">
      <c r="B32" s="129"/>
      <c r="C32" s="5"/>
      <c r="D32" s="134"/>
      <c r="E32" s="134"/>
      <c r="F32" s="134"/>
      <c r="G32" s="134"/>
      <c r="H32" s="135"/>
      <c r="J32" s="43" t="s">
        <v>180</v>
      </c>
    </row>
    <row r="33" spans="2:21" ht="15.75">
      <c r="I33" s="6"/>
      <c r="J33" s="43" t="s">
        <v>179</v>
      </c>
      <c r="U33" s="6"/>
    </row>
    <row r="34" spans="2:21" s="6" customFormat="1" ht="15.75">
      <c r="B34"/>
      <c r="D34" s="2"/>
      <c r="E34"/>
      <c r="F34"/>
      <c r="G34"/>
      <c r="H34"/>
      <c r="I34"/>
      <c r="J34" s="43" t="s">
        <v>203</v>
      </c>
      <c r="K34"/>
      <c r="L34"/>
      <c r="M34"/>
      <c r="N34"/>
      <c r="O34"/>
      <c r="P34"/>
      <c r="Q34"/>
      <c r="R34"/>
      <c r="S34"/>
      <c r="T34"/>
      <c r="U34"/>
    </row>
    <row r="36" spans="2:21">
      <c r="K36" s="6"/>
      <c r="L36" s="6"/>
      <c r="M36" s="6"/>
      <c r="N36" s="6"/>
      <c r="O36" s="6"/>
      <c r="P36" s="6"/>
      <c r="Q36" s="6"/>
    </row>
    <row r="37" spans="2:21">
      <c r="R37" s="6"/>
      <c r="S37" s="6"/>
      <c r="T37" s="6"/>
    </row>
    <row r="38" spans="2:21" ht="16.5" customHeight="1"/>
    <row r="39" spans="2:21">
      <c r="I39" s="6"/>
      <c r="U39" s="6"/>
    </row>
    <row r="40" spans="2:21" s="6" customFormat="1">
      <c r="B40"/>
      <c r="D40" s="2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</sheetData>
  <mergeCells count="44">
    <mergeCell ref="D1:H1"/>
    <mergeCell ref="B3:H3"/>
    <mergeCell ref="B27:H27"/>
    <mergeCell ref="B12:H12"/>
    <mergeCell ref="B13:H13"/>
    <mergeCell ref="D19:H19"/>
    <mergeCell ref="B21:H21"/>
    <mergeCell ref="D16:H17"/>
    <mergeCell ref="B16:B17"/>
    <mergeCell ref="J1:L1"/>
    <mergeCell ref="N1:P1"/>
    <mergeCell ref="R1:T1"/>
    <mergeCell ref="J2:K3"/>
    <mergeCell ref="L2:L3"/>
    <mergeCell ref="N2:P3"/>
    <mergeCell ref="R2:T3"/>
    <mergeCell ref="N5:P5"/>
    <mergeCell ref="R5:T5"/>
    <mergeCell ref="N6:P7"/>
    <mergeCell ref="R6:T7"/>
    <mergeCell ref="J7:L7"/>
    <mergeCell ref="J8:K9"/>
    <mergeCell ref="L8:L9"/>
    <mergeCell ref="R9:R12"/>
    <mergeCell ref="N11:P11"/>
    <mergeCell ref="N12:O13"/>
    <mergeCell ref="P12:P13"/>
    <mergeCell ref="R13:S13"/>
    <mergeCell ref="B30:B32"/>
    <mergeCell ref="D30:H32"/>
    <mergeCell ref="B14:H14"/>
    <mergeCell ref="D18:H18"/>
    <mergeCell ref="R14:S14"/>
    <mergeCell ref="J15:L15"/>
    <mergeCell ref="J20:L20"/>
    <mergeCell ref="J21:K22"/>
    <mergeCell ref="L21:L22"/>
    <mergeCell ref="N21:P21"/>
    <mergeCell ref="N22:O23"/>
    <mergeCell ref="P22:P23"/>
    <mergeCell ref="R23:S23"/>
    <mergeCell ref="R16:R21"/>
    <mergeCell ref="J16:K17"/>
    <mergeCell ref="L16:L17"/>
  </mergeCells>
  <conditionalFormatting sqref="N24:N28 N14:N19 J4:J5 J18 J23:J28 J10:J13">
    <cfRule type="iconSet" priority="2">
      <iconSet iconSet="3Symbols2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B40" sqref="B40"/>
    </sheetView>
  </sheetViews>
  <sheetFormatPr defaultRowHeight="15"/>
  <cols>
    <col min="1" max="1" width="5.7109375" style="1" bestFit="1" customWidth="1"/>
    <col min="2" max="2" width="25.140625" bestFit="1" customWidth="1"/>
    <col min="3" max="3" width="24" bestFit="1" customWidth="1"/>
  </cols>
  <sheetData>
    <row r="1" spans="1:3" ht="16.5" thickBot="1">
      <c r="A1" s="72" t="s">
        <v>0</v>
      </c>
      <c r="B1" s="73" t="s">
        <v>91</v>
      </c>
      <c r="C1" s="73" t="s">
        <v>35</v>
      </c>
    </row>
    <row r="2" spans="1:3" s="6" customFormat="1" ht="15.75">
      <c r="A2" s="109">
        <v>0</v>
      </c>
      <c r="B2" s="110" t="s">
        <v>49</v>
      </c>
      <c r="C2" s="111" t="s">
        <v>202</v>
      </c>
    </row>
    <row r="3" spans="1:3" ht="15.75">
      <c r="A3" s="188">
        <v>1</v>
      </c>
      <c r="B3" s="78" t="s">
        <v>32</v>
      </c>
      <c r="C3" s="83" t="s">
        <v>61</v>
      </c>
    </row>
    <row r="4" spans="1:3" ht="15.75">
      <c r="A4" s="187"/>
      <c r="B4" s="76" t="s">
        <v>33</v>
      </c>
      <c r="C4" s="81" t="s">
        <v>62</v>
      </c>
    </row>
    <row r="5" spans="1:3" ht="15.75">
      <c r="A5" s="186">
        <v>2</v>
      </c>
      <c r="B5" s="77" t="s">
        <v>34</v>
      </c>
      <c r="C5" s="82" t="s">
        <v>63</v>
      </c>
    </row>
    <row r="6" spans="1:3" ht="15.75">
      <c r="A6" s="188"/>
      <c r="B6" s="78" t="s">
        <v>112</v>
      </c>
      <c r="C6" s="83" t="s">
        <v>123</v>
      </c>
    </row>
    <row r="7" spans="1:3" ht="15.75">
      <c r="A7" s="187"/>
      <c r="B7" s="76" t="s">
        <v>113</v>
      </c>
      <c r="C7" s="81" t="s">
        <v>125</v>
      </c>
    </row>
    <row r="8" spans="1:3" ht="15.75">
      <c r="A8" s="186">
        <v>3</v>
      </c>
      <c r="B8" s="77" t="s">
        <v>141</v>
      </c>
      <c r="C8" s="84" t="s">
        <v>133</v>
      </c>
    </row>
    <row r="9" spans="1:3" s="6" customFormat="1" ht="15.75">
      <c r="A9" s="188"/>
      <c r="B9" s="78" t="s">
        <v>140</v>
      </c>
      <c r="C9" s="83" t="s">
        <v>134</v>
      </c>
    </row>
    <row r="10" spans="1:3" ht="15.75">
      <c r="A10" s="188"/>
      <c r="B10" s="78" t="s">
        <v>139</v>
      </c>
      <c r="C10" s="83" t="s">
        <v>138</v>
      </c>
    </row>
    <row r="11" spans="1:3" ht="15.75">
      <c r="A11" s="187"/>
      <c r="B11" s="76" t="s">
        <v>114</v>
      </c>
      <c r="C11" s="81" t="s">
        <v>124</v>
      </c>
    </row>
    <row r="12" spans="1:3" ht="15.75">
      <c r="A12" s="74">
        <v>4</v>
      </c>
      <c r="B12" s="79" t="s">
        <v>36</v>
      </c>
      <c r="C12" s="85" t="s">
        <v>68</v>
      </c>
    </row>
    <row r="13" spans="1:3" ht="15.75">
      <c r="A13" s="186">
        <v>5</v>
      </c>
      <c r="B13" s="77" t="s">
        <v>139</v>
      </c>
      <c r="C13" s="82" t="s">
        <v>142</v>
      </c>
    </row>
    <row r="14" spans="1:3" ht="15.75">
      <c r="A14" s="187"/>
      <c r="B14" s="76" t="s">
        <v>115</v>
      </c>
      <c r="C14" s="81" t="s">
        <v>126</v>
      </c>
    </row>
    <row r="15" spans="1:3" ht="15.75">
      <c r="A15" s="186">
        <v>6</v>
      </c>
      <c r="B15" s="77" t="s">
        <v>32</v>
      </c>
      <c r="C15" s="82" t="s">
        <v>64</v>
      </c>
    </row>
    <row r="16" spans="1:3" ht="15.75">
      <c r="A16" s="187"/>
      <c r="B16" s="76" t="s">
        <v>33</v>
      </c>
      <c r="C16" s="81" t="s">
        <v>65</v>
      </c>
    </row>
    <row r="17" spans="1:3" ht="15.75">
      <c r="A17" s="186">
        <v>7</v>
      </c>
      <c r="B17" s="77" t="s">
        <v>140</v>
      </c>
      <c r="C17" s="82" t="s">
        <v>135</v>
      </c>
    </row>
    <row r="18" spans="1:3" ht="15.75">
      <c r="A18" s="187"/>
      <c r="B18" s="76" t="s">
        <v>116</v>
      </c>
      <c r="C18" s="81" t="s">
        <v>127</v>
      </c>
    </row>
    <row r="19" spans="1:3" ht="15.75">
      <c r="A19" s="186">
        <v>8</v>
      </c>
      <c r="B19" s="77" t="s">
        <v>36</v>
      </c>
      <c r="C19" s="82" t="s">
        <v>67</v>
      </c>
    </row>
    <row r="20" spans="1:3" ht="15.75">
      <c r="A20" s="187"/>
      <c r="B20" s="76" t="s">
        <v>139</v>
      </c>
      <c r="C20" s="81" t="s">
        <v>143</v>
      </c>
    </row>
    <row r="21" spans="1:3" ht="15.75">
      <c r="A21" s="74">
        <v>9</v>
      </c>
      <c r="B21" s="79" t="s">
        <v>117</v>
      </c>
      <c r="C21" s="85" t="s">
        <v>128</v>
      </c>
    </row>
    <row r="22" spans="1:3" ht="15.75">
      <c r="A22" s="186">
        <v>10</v>
      </c>
      <c r="B22" s="77" t="s">
        <v>33</v>
      </c>
      <c r="C22" s="82" t="s">
        <v>148</v>
      </c>
    </row>
    <row r="23" spans="1:3" ht="15.75">
      <c r="A23" s="187"/>
      <c r="B23" s="76" t="s">
        <v>139</v>
      </c>
      <c r="C23" s="81" t="s">
        <v>144</v>
      </c>
    </row>
    <row r="24" spans="1:3" ht="15.75">
      <c r="A24" s="186">
        <v>11</v>
      </c>
      <c r="B24" s="77" t="s">
        <v>140</v>
      </c>
      <c r="C24" s="82" t="s">
        <v>136</v>
      </c>
    </row>
    <row r="25" spans="1:3" ht="15.75">
      <c r="A25" s="187"/>
      <c r="B25" s="76" t="s">
        <v>118</v>
      </c>
      <c r="C25" s="81" t="s">
        <v>199</v>
      </c>
    </row>
    <row r="26" spans="1:3" ht="15.75">
      <c r="A26" s="74">
        <v>12</v>
      </c>
      <c r="B26" s="79" t="s">
        <v>36</v>
      </c>
      <c r="C26" s="85" t="s">
        <v>66</v>
      </c>
    </row>
    <row r="27" spans="1:3" ht="15.75">
      <c r="A27" s="74">
        <v>13</v>
      </c>
      <c r="B27" s="79" t="s">
        <v>119</v>
      </c>
      <c r="C27" s="85" t="s">
        <v>129</v>
      </c>
    </row>
    <row r="28" spans="1:3" ht="15.75">
      <c r="A28" s="186">
        <v>14</v>
      </c>
      <c r="B28" s="77" t="s">
        <v>32</v>
      </c>
      <c r="C28" s="82" t="s">
        <v>149</v>
      </c>
    </row>
    <row r="29" spans="1:3" ht="15.75">
      <c r="A29" s="187"/>
      <c r="B29" s="76" t="s">
        <v>139</v>
      </c>
      <c r="C29" s="81" t="s">
        <v>145</v>
      </c>
    </row>
    <row r="30" spans="1:3" ht="15.75">
      <c r="A30" s="186">
        <v>15</v>
      </c>
      <c r="B30" s="77" t="s">
        <v>140</v>
      </c>
      <c r="C30" s="82" t="s">
        <v>137</v>
      </c>
    </row>
    <row r="31" spans="1:3" ht="15.75">
      <c r="A31" s="187"/>
      <c r="B31" s="76" t="s">
        <v>120</v>
      </c>
      <c r="C31" s="81" t="s">
        <v>130</v>
      </c>
    </row>
    <row r="32" spans="1:3" ht="15.75">
      <c r="A32" s="74">
        <v>16</v>
      </c>
      <c r="B32" s="79" t="s">
        <v>36</v>
      </c>
      <c r="C32" s="85" t="s">
        <v>69</v>
      </c>
    </row>
    <row r="33" spans="1:3" ht="15.75">
      <c r="A33" s="74">
        <v>17</v>
      </c>
      <c r="B33" s="79" t="s">
        <v>121</v>
      </c>
      <c r="C33" s="85" t="s">
        <v>131</v>
      </c>
    </row>
    <row r="34" spans="1:3" ht="15.75">
      <c r="A34" s="74">
        <v>18</v>
      </c>
      <c r="B34" s="79" t="s">
        <v>139</v>
      </c>
      <c r="C34" s="85" t="s">
        <v>146</v>
      </c>
    </row>
    <row r="35" spans="1:3" ht="15.75">
      <c r="A35" s="186">
        <v>19</v>
      </c>
      <c r="B35" s="77" t="s">
        <v>36</v>
      </c>
      <c r="C35" s="82" t="s">
        <v>70</v>
      </c>
    </row>
    <row r="36" spans="1:3" ht="15.75">
      <c r="A36" s="187"/>
      <c r="B36" s="76" t="s">
        <v>122</v>
      </c>
      <c r="C36" s="81" t="s">
        <v>132</v>
      </c>
    </row>
    <row r="37" spans="1:3" ht="16.5" thickBot="1">
      <c r="A37" s="75">
        <v>20</v>
      </c>
      <c r="B37" s="80" t="s">
        <v>139</v>
      </c>
      <c r="C37" s="86" t="s">
        <v>147</v>
      </c>
    </row>
  </sheetData>
  <mergeCells count="12">
    <mergeCell ref="A30:A31"/>
    <mergeCell ref="A35:A36"/>
    <mergeCell ref="A28:A29"/>
    <mergeCell ref="A3:A4"/>
    <mergeCell ref="A5:A7"/>
    <mergeCell ref="A13:A14"/>
    <mergeCell ref="A15:A16"/>
    <mergeCell ref="A17:A18"/>
    <mergeCell ref="A19:A20"/>
    <mergeCell ref="A22:A23"/>
    <mergeCell ref="A24:A25"/>
    <mergeCell ref="A8:A11"/>
  </mergeCells>
  <hyperlinks>
    <hyperlink ref="C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6"/>
  <sheetViews>
    <sheetView workbookViewId="0">
      <selection activeCell="B17" sqref="B17"/>
    </sheetView>
  </sheetViews>
  <sheetFormatPr defaultRowHeight="15"/>
  <cols>
    <col min="1" max="1" width="5" bestFit="1" customWidth="1"/>
    <col min="2" max="2" width="7.85546875" bestFit="1" customWidth="1"/>
    <col min="3" max="3" width="3.7109375" bestFit="1" customWidth="1"/>
    <col min="4" max="4" width="4.42578125" bestFit="1" customWidth="1"/>
    <col min="5" max="5" width="3.7109375" bestFit="1" customWidth="1"/>
    <col min="6" max="6" width="5.5703125" bestFit="1" customWidth="1"/>
    <col min="7" max="7" width="3.7109375" bestFit="1" customWidth="1"/>
    <col min="8" max="8" width="3.7109375" customWidth="1"/>
    <col min="9" max="9" width="3.7109375" bestFit="1" customWidth="1"/>
    <col min="10" max="10" width="3.7109375" customWidth="1"/>
    <col min="11" max="11" width="3.7109375" bestFit="1" customWidth="1"/>
    <col min="12" max="12" width="3.7109375" customWidth="1"/>
    <col min="13" max="13" width="3.7109375" bestFit="1" customWidth="1"/>
    <col min="14" max="14" width="3.7109375" customWidth="1"/>
    <col min="15" max="15" width="3.7109375" bestFit="1" customWidth="1"/>
    <col min="16" max="16" width="3.7109375" customWidth="1"/>
    <col min="17" max="28" width="3.7109375" bestFit="1" customWidth="1"/>
  </cols>
  <sheetData>
    <row r="1" spans="1:33" ht="99.75" thickBot="1">
      <c r="A1" s="87" t="s">
        <v>0</v>
      </c>
      <c r="B1" s="87" t="s">
        <v>4</v>
      </c>
      <c r="C1" s="87" t="s">
        <v>1</v>
      </c>
      <c r="D1" s="88" t="s">
        <v>5</v>
      </c>
      <c r="E1" s="87" t="s">
        <v>2</v>
      </c>
      <c r="F1" s="87" t="s">
        <v>23</v>
      </c>
      <c r="G1" s="87" t="s">
        <v>3</v>
      </c>
      <c r="H1" s="87" t="s">
        <v>22</v>
      </c>
      <c r="I1" s="87" t="s">
        <v>6</v>
      </c>
      <c r="J1" s="87" t="s">
        <v>24</v>
      </c>
      <c r="K1" s="87" t="s">
        <v>7</v>
      </c>
      <c r="L1" s="87" t="s">
        <v>25</v>
      </c>
      <c r="M1" s="87" t="s">
        <v>8</v>
      </c>
      <c r="N1" s="87" t="s">
        <v>26</v>
      </c>
      <c r="O1" s="87" t="s">
        <v>9</v>
      </c>
      <c r="P1" s="88" t="s">
        <v>27</v>
      </c>
      <c r="Q1" s="87" t="s">
        <v>10</v>
      </c>
      <c r="R1" s="87" t="s">
        <v>11</v>
      </c>
      <c r="S1" s="87" t="s">
        <v>12</v>
      </c>
      <c r="T1" s="87" t="s">
        <v>13</v>
      </c>
      <c r="U1" s="89" t="s">
        <v>14</v>
      </c>
      <c r="V1" s="87" t="s">
        <v>15</v>
      </c>
      <c r="W1" s="87" t="s">
        <v>16</v>
      </c>
      <c r="X1" s="87" t="s">
        <v>17</v>
      </c>
      <c r="Y1" s="87" t="s">
        <v>18</v>
      </c>
      <c r="Z1" s="88" t="s">
        <v>19</v>
      </c>
      <c r="AA1" s="87" t="s">
        <v>20</v>
      </c>
      <c r="AB1" s="87" t="s">
        <v>21</v>
      </c>
    </row>
    <row r="2" spans="1:33" s="6" customFormat="1" ht="15.75">
      <c r="A2" s="113">
        <v>0</v>
      </c>
      <c r="B2" s="6">
        <f t="shared" ref="B2:B32" si="0">FLOOR(POWER(A2*20,2.1),100)</f>
        <v>0</v>
      </c>
      <c r="C2" s="107">
        <f t="shared" ref="C2:C32" si="1">CEILING(1+A2/4,1)</f>
        <v>1</v>
      </c>
      <c r="D2" s="112">
        <v>8</v>
      </c>
      <c r="E2" s="116">
        <v>7</v>
      </c>
      <c r="F2" s="43">
        <f>FLOOR(E2/2,1)-5</f>
        <v>-2</v>
      </c>
      <c r="G2" s="116">
        <v>18</v>
      </c>
      <c r="H2" s="43">
        <f>FLOOR(G2/2,1)-5</f>
        <v>4</v>
      </c>
      <c r="I2" s="116">
        <v>7</v>
      </c>
      <c r="J2" s="107">
        <f>FLOOR(I2/2,1)-5</f>
        <v>-2</v>
      </c>
      <c r="K2" s="116">
        <v>9</v>
      </c>
      <c r="L2" s="107">
        <f>FLOOR(K2/2,1)-5</f>
        <v>-1</v>
      </c>
      <c r="M2" s="116">
        <v>17</v>
      </c>
      <c r="N2" s="107">
        <f>FLOOR(M2/2,1)-5</f>
        <v>3</v>
      </c>
      <c r="O2" s="116">
        <v>11</v>
      </c>
      <c r="P2" s="108">
        <f>FLOOR(O2/2,1)-5</f>
        <v>0</v>
      </c>
      <c r="Q2" s="43">
        <f>C2+F2</f>
        <v>-1</v>
      </c>
      <c r="R2" s="43">
        <f>C2+H2</f>
        <v>5</v>
      </c>
      <c r="S2" s="43">
        <f>C2+H2</f>
        <v>5</v>
      </c>
      <c r="T2" s="43">
        <f>10+H2</f>
        <v>14</v>
      </c>
      <c r="U2" s="118">
        <v>0</v>
      </c>
      <c r="V2" s="114">
        <v>0</v>
      </c>
      <c r="W2" s="114">
        <v>0</v>
      </c>
      <c r="X2" s="114">
        <v>0</v>
      </c>
      <c r="Y2" s="114">
        <v>0</v>
      </c>
      <c r="Z2" s="119">
        <v>0</v>
      </c>
      <c r="AA2" s="43">
        <f>8+C2+N2</f>
        <v>12</v>
      </c>
      <c r="AB2" s="43">
        <f>C2+N2</f>
        <v>4</v>
      </c>
    </row>
    <row r="3" spans="1:33" ht="15.75">
      <c r="A3" s="114">
        <v>1</v>
      </c>
      <c r="B3" s="6">
        <f t="shared" si="0"/>
        <v>500</v>
      </c>
      <c r="C3" s="107">
        <f t="shared" si="1"/>
        <v>2</v>
      </c>
      <c r="D3" s="90">
        <v>8</v>
      </c>
      <c r="E3" s="117">
        <v>7</v>
      </c>
      <c r="F3" s="43">
        <f>FLOOR(E3/2,1)-5</f>
        <v>-2</v>
      </c>
      <c r="G3" s="117">
        <v>20</v>
      </c>
      <c r="H3" s="43">
        <f>FLOOR(G3/2,1)-5</f>
        <v>5</v>
      </c>
      <c r="I3" s="117">
        <v>7</v>
      </c>
      <c r="J3" s="107">
        <f t="shared" ref="J3:J32" si="2">FLOOR(I3/2,1)-5</f>
        <v>-2</v>
      </c>
      <c r="K3" s="117">
        <v>9</v>
      </c>
      <c r="L3" s="107">
        <f t="shared" ref="L3:L32" si="3">FLOOR(K3/2,1)-5</f>
        <v>-1</v>
      </c>
      <c r="M3" s="117">
        <v>19</v>
      </c>
      <c r="N3" s="107">
        <f t="shared" ref="N3:N32" si="4">FLOOR(M3/2,1)-5</f>
        <v>4</v>
      </c>
      <c r="O3" s="117">
        <v>11</v>
      </c>
      <c r="P3" s="108">
        <f t="shared" ref="P3:P32" si="5">FLOOR(O3/2,1)-5</f>
        <v>0</v>
      </c>
      <c r="Q3" s="43">
        <f>C3+F3</f>
        <v>0</v>
      </c>
      <c r="R3" s="43">
        <f>C3+H3</f>
        <v>7</v>
      </c>
      <c r="S3" s="43">
        <f>C3+H3</f>
        <v>7</v>
      </c>
      <c r="T3" s="43">
        <f>10+H3</f>
        <v>15</v>
      </c>
      <c r="U3" s="118">
        <v>0</v>
      </c>
      <c r="V3" s="114">
        <v>0</v>
      </c>
      <c r="W3" s="114">
        <v>0</v>
      </c>
      <c r="X3" s="114">
        <v>0</v>
      </c>
      <c r="Y3" s="114">
        <v>0</v>
      </c>
      <c r="Z3" s="119">
        <v>0</v>
      </c>
      <c r="AA3" s="43">
        <f>8+C3+N3</f>
        <v>14</v>
      </c>
      <c r="AB3" s="43">
        <f>C3+N3</f>
        <v>6</v>
      </c>
      <c r="AC3" s="6"/>
      <c r="AE3" s="6"/>
      <c r="AF3" s="6"/>
      <c r="AG3" s="6"/>
    </row>
    <row r="4" spans="1:33" ht="15.75">
      <c r="A4" s="114">
        <v>2</v>
      </c>
      <c r="B4" s="6">
        <f t="shared" si="0"/>
        <v>2300</v>
      </c>
      <c r="C4" s="107">
        <f t="shared" si="1"/>
        <v>2</v>
      </c>
      <c r="D4" s="90">
        <v>13</v>
      </c>
      <c r="E4" s="117">
        <v>7</v>
      </c>
      <c r="F4" s="43">
        <f t="shared" ref="F4:F32" si="6">FLOOR(E4/2,1)-5</f>
        <v>-2</v>
      </c>
      <c r="G4" s="117">
        <v>20</v>
      </c>
      <c r="H4" s="43">
        <f t="shared" ref="H4:H32" si="7">FLOOR(G4/2,1)-5</f>
        <v>5</v>
      </c>
      <c r="I4" s="117">
        <v>7</v>
      </c>
      <c r="J4" s="107">
        <f t="shared" si="2"/>
        <v>-2</v>
      </c>
      <c r="K4" s="117">
        <v>9</v>
      </c>
      <c r="L4" s="107">
        <f t="shared" si="3"/>
        <v>-1</v>
      </c>
      <c r="M4" s="117">
        <v>19</v>
      </c>
      <c r="N4" s="107">
        <f t="shared" si="4"/>
        <v>4</v>
      </c>
      <c r="O4" s="117">
        <v>11</v>
      </c>
      <c r="P4" s="108">
        <f t="shared" si="5"/>
        <v>0</v>
      </c>
      <c r="Q4" s="43">
        <f t="shared" ref="Q4:Q22" si="8">C4+F4</f>
        <v>0</v>
      </c>
      <c r="R4" s="43">
        <f t="shared" ref="R4:R22" si="9">C4+H4</f>
        <v>7</v>
      </c>
      <c r="S4" s="43">
        <f t="shared" ref="S4:S22" si="10">C4+H4</f>
        <v>7</v>
      </c>
      <c r="T4" s="43">
        <f t="shared" ref="T4:T22" si="11">10+H4</f>
        <v>15</v>
      </c>
      <c r="U4" s="118">
        <v>2</v>
      </c>
      <c r="V4" s="114">
        <v>2</v>
      </c>
      <c r="W4" s="114">
        <v>0</v>
      </c>
      <c r="X4" s="114">
        <v>0</v>
      </c>
      <c r="Y4" s="114">
        <v>0</v>
      </c>
      <c r="Z4" s="119">
        <v>0</v>
      </c>
      <c r="AA4" s="43">
        <f t="shared" ref="AA4:AA22" si="12">8+C4+N4</f>
        <v>14</v>
      </c>
      <c r="AB4" s="43">
        <f t="shared" ref="AB4:AB22" si="13">C4+N4</f>
        <v>6</v>
      </c>
      <c r="AC4" s="6"/>
      <c r="AD4" s="6"/>
      <c r="AE4" s="6"/>
      <c r="AF4" s="6"/>
      <c r="AG4" s="6"/>
    </row>
    <row r="5" spans="1:33" ht="15.75">
      <c r="A5" s="114">
        <v>3</v>
      </c>
      <c r="B5" s="6">
        <f t="shared" si="0"/>
        <v>5400</v>
      </c>
      <c r="C5" s="107">
        <f t="shared" si="1"/>
        <v>2</v>
      </c>
      <c r="D5" s="90">
        <v>23</v>
      </c>
      <c r="E5" s="117">
        <v>7</v>
      </c>
      <c r="F5" s="43">
        <f t="shared" si="6"/>
        <v>-2</v>
      </c>
      <c r="G5" s="117">
        <v>20</v>
      </c>
      <c r="H5" s="43">
        <f t="shared" si="7"/>
        <v>5</v>
      </c>
      <c r="I5" s="117">
        <v>7</v>
      </c>
      <c r="J5" s="107">
        <f t="shared" si="2"/>
        <v>-2</v>
      </c>
      <c r="K5" s="117">
        <v>9</v>
      </c>
      <c r="L5" s="107">
        <f t="shared" si="3"/>
        <v>-1</v>
      </c>
      <c r="M5" s="117">
        <v>19</v>
      </c>
      <c r="N5" s="107">
        <f t="shared" si="4"/>
        <v>4</v>
      </c>
      <c r="O5" s="117">
        <v>11</v>
      </c>
      <c r="P5" s="108">
        <f t="shared" si="5"/>
        <v>0</v>
      </c>
      <c r="Q5" s="43">
        <f t="shared" si="8"/>
        <v>0</v>
      </c>
      <c r="R5" s="43">
        <f t="shared" si="9"/>
        <v>7</v>
      </c>
      <c r="S5" s="43">
        <f t="shared" si="10"/>
        <v>7</v>
      </c>
      <c r="T5" s="43">
        <f t="shared" si="11"/>
        <v>15</v>
      </c>
      <c r="U5" s="118">
        <v>3</v>
      </c>
      <c r="V5" s="114">
        <v>3</v>
      </c>
      <c r="W5" s="114">
        <v>0</v>
      </c>
      <c r="X5" s="114">
        <v>0</v>
      </c>
      <c r="Y5" s="114">
        <v>0</v>
      </c>
      <c r="Z5" s="119">
        <v>0</v>
      </c>
      <c r="AA5" s="43">
        <f t="shared" si="12"/>
        <v>14</v>
      </c>
      <c r="AB5" s="43">
        <f t="shared" si="13"/>
        <v>6</v>
      </c>
      <c r="AC5" s="6"/>
      <c r="AD5" s="6"/>
      <c r="AE5" s="6"/>
      <c r="AF5" s="6"/>
      <c r="AG5" s="6"/>
    </row>
    <row r="6" spans="1:33" ht="15.75">
      <c r="A6" s="115">
        <v>4</v>
      </c>
      <c r="B6" s="6">
        <f t="shared" si="0"/>
        <v>9900</v>
      </c>
      <c r="C6" s="107">
        <f t="shared" si="1"/>
        <v>2</v>
      </c>
      <c r="D6" s="90">
        <v>30</v>
      </c>
      <c r="E6" s="117">
        <v>8</v>
      </c>
      <c r="F6" s="43">
        <f t="shared" si="6"/>
        <v>-1</v>
      </c>
      <c r="G6" s="117">
        <v>20</v>
      </c>
      <c r="H6" s="43">
        <f t="shared" si="7"/>
        <v>5</v>
      </c>
      <c r="I6" s="117">
        <v>7</v>
      </c>
      <c r="J6" s="107">
        <f t="shared" si="2"/>
        <v>-2</v>
      </c>
      <c r="K6" s="117">
        <v>10</v>
      </c>
      <c r="L6" s="107">
        <f t="shared" si="3"/>
        <v>0</v>
      </c>
      <c r="M6" s="117">
        <v>19</v>
      </c>
      <c r="N6" s="107">
        <f t="shared" si="4"/>
        <v>4</v>
      </c>
      <c r="O6" s="117">
        <v>11</v>
      </c>
      <c r="P6" s="108">
        <f t="shared" si="5"/>
        <v>0</v>
      </c>
      <c r="Q6" s="43">
        <f t="shared" si="8"/>
        <v>1</v>
      </c>
      <c r="R6" s="43">
        <f t="shared" si="9"/>
        <v>7</v>
      </c>
      <c r="S6" s="43">
        <f t="shared" si="10"/>
        <v>7</v>
      </c>
      <c r="T6" s="43">
        <f t="shared" si="11"/>
        <v>15</v>
      </c>
      <c r="U6" s="118">
        <v>3</v>
      </c>
      <c r="V6" s="114">
        <v>3</v>
      </c>
      <c r="W6" s="114">
        <v>0</v>
      </c>
      <c r="X6" s="114">
        <v>0</v>
      </c>
      <c r="Y6" s="114">
        <v>0</v>
      </c>
      <c r="Z6" s="119">
        <v>0</v>
      </c>
      <c r="AA6" s="43">
        <f t="shared" si="12"/>
        <v>14</v>
      </c>
      <c r="AB6" s="43">
        <f t="shared" si="13"/>
        <v>6</v>
      </c>
      <c r="AC6" s="6"/>
      <c r="AD6" s="6"/>
      <c r="AE6" s="6"/>
      <c r="AF6" s="6"/>
      <c r="AG6" s="6"/>
    </row>
    <row r="7" spans="1:33" ht="15.75">
      <c r="A7" s="114">
        <v>5</v>
      </c>
      <c r="B7" s="6">
        <f t="shared" si="0"/>
        <v>15800</v>
      </c>
      <c r="C7" s="107">
        <f t="shared" si="1"/>
        <v>3</v>
      </c>
      <c r="D7" s="90">
        <v>38</v>
      </c>
      <c r="E7" s="117">
        <v>8</v>
      </c>
      <c r="F7" s="43">
        <f t="shared" si="6"/>
        <v>-1</v>
      </c>
      <c r="G7" s="117">
        <v>20</v>
      </c>
      <c r="H7" s="43">
        <f t="shared" si="7"/>
        <v>5</v>
      </c>
      <c r="I7" s="117">
        <v>7</v>
      </c>
      <c r="J7" s="107">
        <f t="shared" si="2"/>
        <v>-2</v>
      </c>
      <c r="K7" s="117">
        <v>10</v>
      </c>
      <c r="L7" s="107">
        <f t="shared" si="3"/>
        <v>0</v>
      </c>
      <c r="M7" s="117">
        <v>19</v>
      </c>
      <c r="N7" s="107">
        <f t="shared" si="4"/>
        <v>4</v>
      </c>
      <c r="O7" s="117">
        <v>11</v>
      </c>
      <c r="P7" s="108">
        <f t="shared" si="5"/>
        <v>0</v>
      </c>
      <c r="Q7" s="43">
        <f t="shared" si="8"/>
        <v>2</v>
      </c>
      <c r="R7" s="43">
        <f t="shared" si="9"/>
        <v>8</v>
      </c>
      <c r="S7" s="43">
        <f t="shared" si="10"/>
        <v>8</v>
      </c>
      <c r="T7" s="43">
        <f t="shared" si="11"/>
        <v>15</v>
      </c>
      <c r="U7" s="118">
        <v>4</v>
      </c>
      <c r="V7" s="114">
        <v>4</v>
      </c>
      <c r="W7" s="114">
        <v>2</v>
      </c>
      <c r="X7" s="114">
        <v>0</v>
      </c>
      <c r="Y7" s="114">
        <v>0</v>
      </c>
      <c r="Z7" s="119">
        <v>0</v>
      </c>
      <c r="AA7" s="43">
        <f t="shared" si="12"/>
        <v>15</v>
      </c>
      <c r="AB7" s="43">
        <f t="shared" si="13"/>
        <v>7</v>
      </c>
      <c r="AC7" s="6"/>
      <c r="AD7" s="6"/>
      <c r="AE7" s="6"/>
      <c r="AF7" s="6"/>
      <c r="AG7" s="6"/>
    </row>
    <row r="8" spans="1:33" ht="15.75">
      <c r="A8" s="114">
        <v>6</v>
      </c>
      <c r="B8" s="6">
        <f t="shared" si="0"/>
        <v>23200</v>
      </c>
      <c r="C8" s="107">
        <f t="shared" si="1"/>
        <v>3</v>
      </c>
      <c r="D8" s="90">
        <v>41</v>
      </c>
      <c r="E8" s="117">
        <v>8</v>
      </c>
      <c r="F8" s="43">
        <f t="shared" si="6"/>
        <v>-1</v>
      </c>
      <c r="G8" s="117">
        <v>20</v>
      </c>
      <c r="H8" s="43">
        <f t="shared" si="7"/>
        <v>5</v>
      </c>
      <c r="I8" s="117">
        <v>7</v>
      </c>
      <c r="J8" s="107">
        <f t="shared" si="2"/>
        <v>-2</v>
      </c>
      <c r="K8" s="117">
        <v>10</v>
      </c>
      <c r="L8" s="107">
        <f t="shared" si="3"/>
        <v>0</v>
      </c>
      <c r="M8" s="117">
        <v>19</v>
      </c>
      <c r="N8" s="107">
        <f t="shared" si="4"/>
        <v>4</v>
      </c>
      <c r="O8" s="117">
        <v>11</v>
      </c>
      <c r="P8" s="108">
        <f t="shared" si="5"/>
        <v>0</v>
      </c>
      <c r="Q8" s="43">
        <f t="shared" si="8"/>
        <v>2</v>
      </c>
      <c r="R8" s="43">
        <f t="shared" si="9"/>
        <v>8</v>
      </c>
      <c r="S8" s="43">
        <f t="shared" si="10"/>
        <v>8</v>
      </c>
      <c r="T8" s="43">
        <f t="shared" si="11"/>
        <v>15</v>
      </c>
      <c r="U8" s="118">
        <v>4</v>
      </c>
      <c r="V8" s="114">
        <v>4</v>
      </c>
      <c r="W8" s="114">
        <v>2</v>
      </c>
      <c r="X8" s="114">
        <v>0</v>
      </c>
      <c r="Y8" s="114">
        <v>0</v>
      </c>
      <c r="Z8" s="119">
        <v>0</v>
      </c>
      <c r="AA8" s="43">
        <f t="shared" si="12"/>
        <v>15</v>
      </c>
      <c r="AB8" s="43">
        <f t="shared" si="13"/>
        <v>7</v>
      </c>
      <c r="AC8" s="6"/>
      <c r="AD8" s="6"/>
      <c r="AE8" s="6"/>
      <c r="AF8" s="6"/>
      <c r="AG8" s="6"/>
    </row>
    <row r="9" spans="1:33" ht="15.75">
      <c r="A9" s="114">
        <v>7</v>
      </c>
      <c r="B9" s="6">
        <f t="shared" si="0"/>
        <v>32100</v>
      </c>
      <c r="C9" s="107">
        <f t="shared" si="1"/>
        <v>3</v>
      </c>
      <c r="D9" s="90">
        <v>43</v>
      </c>
      <c r="E9" s="117">
        <v>8</v>
      </c>
      <c r="F9" s="43">
        <f t="shared" si="6"/>
        <v>-1</v>
      </c>
      <c r="G9" s="117">
        <v>20</v>
      </c>
      <c r="H9" s="43">
        <f t="shared" si="7"/>
        <v>5</v>
      </c>
      <c r="I9" s="117">
        <v>7</v>
      </c>
      <c r="J9" s="107">
        <f t="shared" si="2"/>
        <v>-2</v>
      </c>
      <c r="K9" s="117">
        <v>10</v>
      </c>
      <c r="L9" s="107">
        <f t="shared" si="3"/>
        <v>0</v>
      </c>
      <c r="M9" s="117">
        <v>19</v>
      </c>
      <c r="N9" s="107">
        <f t="shared" si="4"/>
        <v>4</v>
      </c>
      <c r="O9" s="117">
        <v>11</v>
      </c>
      <c r="P9" s="108">
        <f t="shared" si="5"/>
        <v>0</v>
      </c>
      <c r="Q9" s="43">
        <f t="shared" si="8"/>
        <v>2</v>
      </c>
      <c r="R9" s="43">
        <f t="shared" si="9"/>
        <v>8</v>
      </c>
      <c r="S9" s="43">
        <f t="shared" si="10"/>
        <v>8</v>
      </c>
      <c r="T9" s="43">
        <f t="shared" si="11"/>
        <v>15</v>
      </c>
      <c r="U9" s="118">
        <v>5</v>
      </c>
      <c r="V9" s="114">
        <v>4</v>
      </c>
      <c r="W9" s="114">
        <v>3</v>
      </c>
      <c r="X9" s="114">
        <v>0</v>
      </c>
      <c r="Y9" s="114">
        <v>0</v>
      </c>
      <c r="Z9" s="119">
        <v>0</v>
      </c>
      <c r="AA9" s="43">
        <f t="shared" si="12"/>
        <v>15</v>
      </c>
      <c r="AB9" s="43">
        <f t="shared" si="13"/>
        <v>7</v>
      </c>
      <c r="AC9" s="6"/>
      <c r="AD9" s="6"/>
      <c r="AE9" s="6"/>
      <c r="AF9" s="6"/>
      <c r="AG9" s="6"/>
    </row>
    <row r="10" spans="1:33" ht="15.75">
      <c r="A10" s="115">
        <v>8</v>
      </c>
      <c r="B10" s="6">
        <f t="shared" si="0"/>
        <v>42500</v>
      </c>
      <c r="C10" s="107">
        <f t="shared" si="1"/>
        <v>3</v>
      </c>
      <c r="D10" s="90">
        <v>44</v>
      </c>
      <c r="E10" s="117">
        <v>10</v>
      </c>
      <c r="F10" s="43">
        <f t="shared" si="6"/>
        <v>0</v>
      </c>
      <c r="G10" s="117">
        <v>20</v>
      </c>
      <c r="H10" s="43">
        <f t="shared" si="7"/>
        <v>5</v>
      </c>
      <c r="I10" s="117">
        <v>7</v>
      </c>
      <c r="J10" s="107">
        <f t="shared" si="2"/>
        <v>-2</v>
      </c>
      <c r="K10" s="117">
        <v>10</v>
      </c>
      <c r="L10" s="107">
        <f t="shared" si="3"/>
        <v>0</v>
      </c>
      <c r="M10" s="117">
        <v>19</v>
      </c>
      <c r="N10" s="107">
        <f t="shared" si="4"/>
        <v>4</v>
      </c>
      <c r="O10" s="117">
        <v>11</v>
      </c>
      <c r="P10" s="108">
        <f t="shared" si="5"/>
        <v>0</v>
      </c>
      <c r="Q10" s="43">
        <f t="shared" si="8"/>
        <v>3</v>
      </c>
      <c r="R10" s="43">
        <f t="shared" si="9"/>
        <v>8</v>
      </c>
      <c r="S10" s="43">
        <f t="shared" si="10"/>
        <v>8</v>
      </c>
      <c r="T10" s="43">
        <f t="shared" si="11"/>
        <v>15</v>
      </c>
      <c r="U10" s="118">
        <v>5</v>
      </c>
      <c r="V10" s="114">
        <v>4</v>
      </c>
      <c r="W10" s="114">
        <v>3</v>
      </c>
      <c r="X10" s="114">
        <v>0</v>
      </c>
      <c r="Y10" s="114">
        <v>0</v>
      </c>
      <c r="Z10" s="119">
        <v>0</v>
      </c>
      <c r="AA10" s="43">
        <f t="shared" si="12"/>
        <v>15</v>
      </c>
      <c r="AB10" s="43">
        <f t="shared" si="13"/>
        <v>7</v>
      </c>
      <c r="AC10" s="6"/>
      <c r="AD10" s="6"/>
      <c r="AE10" s="6"/>
      <c r="AF10" s="6"/>
      <c r="AG10" s="6"/>
    </row>
    <row r="11" spans="1:33" ht="15.75">
      <c r="A11" s="115">
        <v>9</v>
      </c>
      <c r="B11" s="6">
        <f t="shared" si="0"/>
        <v>54400</v>
      </c>
      <c r="C11" s="107">
        <f t="shared" si="1"/>
        <v>4</v>
      </c>
      <c r="D11" s="90">
        <v>53</v>
      </c>
      <c r="E11" s="117">
        <v>10</v>
      </c>
      <c r="F11" s="43">
        <f t="shared" si="6"/>
        <v>0</v>
      </c>
      <c r="G11" s="117">
        <v>20</v>
      </c>
      <c r="H11" s="43">
        <f t="shared" si="7"/>
        <v>5</v>
      </c>
      <c r="I11" s="117">
        <v>7</v>
      </c>
      <c r="J11" s="107">
        <f t="shared" si="2"/>
        <v>-2</v>
      </c>
      <c r="K11" s="117">
        <v>10</v>
      </c>
      <c r="L11" s="107">
        <f t="shared" si="3"/>
        <v>0</v>
      </c>
      <c r="M11" s="117">
        <v>19</v>
      </c>
      <c r="N11" s="107">
        <f t="shared" si="4"/>
        <v>4</v>
      </c>
      <c r="O11" s="117">
        <v>11</v>
      </c>
      <c r="P11" s="108">
        <f t="shared" si="5"/>
        <v>0</v>
      </c>
      <c r="Q11" s="43">
        <f t="shared" si="8"/>
        <v>4</v>
      </c>
      <c r="R11" s="43">
        <f t="shared" si="9"/>
        <v>9</v>
      </c>
      <c r="S11" s="43">
        <f t="shared" si="10"/>
        <v>9</v>
      </c>
      <c r="T11" s="43">
        <f t="shared" si="11"/>
        <v>15</v>
      </c>
      <c r="U11" s="118">
        <v>6</v>
      </c>
      <c r="V11" s="114">
        <v>4</v>
      </c>
      <c r="W11" s="114">
        <v>3</v>
      </c>
      <c r="X11" s="114">
        <v>2</v>
      </c>
      <c r="Y11" s="114">
        <v>0</v>
      </c>
      <c r="Z11" s="119">
        <v>0</v>
      </c>
      <c r="AA11" s="43">
        <f t="shared" si="12"/>
        <v>16</v>
      </c>
      <c r="AB11" s="43">
        <f t="shared" si="13"/>
        <v>8</v>
      </c>
      <c r="AC11" s="6"/>
      <c r="AD11" s="6"/>
      <c r="AE11" s="6"/>
      <c r="AF11" s="6"/>
      <c r="AG11" s="6"/>
    </row>
    <row r="12" spans="1:33" ht="15.75">
      <c r="A12" s="114">
        <v>10</v>
      </c>
      <c r="B12" s="6">
        <f t="shared" si="0"/>
        <v>67900</v>
      </c>
      <c r="C12" s="107">
        <f t="shared" si="1"/>
        <v>4</v>
      </c>
      <c r="D12" s="90">
        <v>56</v>
      </c>
      <c r="E12" s="117">
        <v>10</v>
      </c>
      <c r="F12" s="43">
        <f t="shared" si="6"/>
        <v>0</v>
      </c>
      <c r="G12" s="117">
        <v>20</v>
      </c>
      <c r="H12" s="43">
        <f t="shared" si="7"/>
        <v>5</v>
      </c>
      <c r="I12" s="117">
        <v>7</v>
      </c>
      <c r="J12" s="107">
        <f t="shared" si="2"/>
        <v>-2</v>
      </c>
      <c r="K12" s="117">
        <v>10</v>
      </c>
      <c r="L12" s="107">
        <f t="shared" si="3"/>
        <v>0</v>
      </c>
      <c r="M12" s="117">
        <v>19</v>
      </c>
      <c r="N12" s="107">
        <f t="shared" si="4"/>
        <v>4</v>
      </c>
      <c r="O12" s="117">
        <v>11</v>
      </c>
      <c r="P12" s="108">
        <f t="shared" si="5"/>
        <v>0</v>
      </c>
      <c r="Q12" s="43">
        <f t="shared" si="8"/>
        <v>4</v>
      </c>
      <c r="R12" s="43">
        <f t="shared" si="9"/>
        <v>9</v>
      </c>
      <c r="S12" s="43">
        <f t="shared" si="10"/>
        <v>9</v>
      </c>
      <c r="T12" s="43">
        <f t="shared" si="11"/>
        <v>15</v>
      </c>
      <c r="U12" s="118">
        <v>6</v>
      </c>
      <c r="V12" s="114">
        <v>4</v>
      </c>
      <c r="W12" s="114">
        <v>3</v>
      </c>
      <c r="X12" s="114">
        <v>2</v>
      </c>
      <c r="Y12" s="114">
        <v>0</v>
      </c>
      <c r="Z12" s="119">
        <v>0</v>
      </c>
      <c r="AA12" s="43">
        <f t="shared" si="12"/>
        <v>16</v>
      </c>
      <c r="AB12" s="43">
        <f t="shared" si="13"/>
        <v>8</v>
      </c>
      <c r="AC12" s="6"/>
      <c r="AD12" s="6"/>
      <c r="AE12" s="6"/>
      <c r="AF12" s="6"/>
      <c r="AG12" s="6"/>
    </row>
    <row r="13" spans="1:33" ht="15.75">
      <c r="A13" s="114">
        <v>11</v>
      </c>
      <c r="B13" s="6">
        <f t="shared" si="0"/>
        <v>83000</v>
      </c>
      <c r="C13" s="107">
        <f t="shared" si="1"/>
        <v>4</v>
      </c>
      <c r="D13" s="90">
        <v>65</v>
      </c>
      <c r="E13" s="117">
        <v>10</v>
      </c>
      <c r="F13" s="43">
        <f t="shared" si="6"/>
        <v>0</v>
      </c>
      <c r="G13" s="117">
        <v>20</v>
      </c>
      <c r="H13" s="43">
        <f t="shared" si="7"/>
        <v>5</v>
      </c>
      <c r="I13" s="117">
        <v>7</v>
      </c>
      <c r="J13" s="107">
        <f t="shared" si="2"/>
        <v>-2</v>
      </c>
      <c r="K13" s="117">
        <v>10</v>
      </c>
      <c r="L13" s="107">
        <f t="shared" si="3"/>
        <v>0</v>
      </c>
      <c r="M13" s="117">
        <v>19</v>
      </c>
      <c r="N13" s="107">
        <f t="shared" si="4"/>
        <v>4</v>
      </c>
      <c r="O13" s="117">
        <v>11</v>
      </c>
      <c r="P13" s="108">
        <f t="shared" si="5"/>
        <v>0</v>
      </c>
      <c r="Q13" s="43">
        <f t="shared" si="8"/>
        <v>4</v>
      </c>
      <c r="R13" s="43">
        <f t="shared" si="9"/>
        <v>9</v>
      </c>
      <c r="S13" s="43">
        <f t="shared" si="10"/>
        <v>9</v>
      </c>
      <c r="T13" s="43">
        <f t="shared" si="11"/>
        <v>15</v>
      </c>
      <c r="U13" s="118">
        <v>7</v>
      </c>
      <c r="V13" s="114">
        <v>4</v>
      </c>
      <c r="W13" s="114">
        <v>3</v>
      </c>
      <c r="X13" s="114">
        <v>3</v>
      </c>
      <c r="Y13" s="114">
        <v>0</v>
      </c>
      <c r="Z13" s="119">
        <v>0</v>
      </c>
      <c r="AA13" s="43">
        <f t="shared" si="12"/>
        <v>16</v>
      </c>
      <c r="AB13" s="43">
        <f t="shared" si="13"/>
        <v>8</v>
      </c>
      <c r="AC13" s="6"/>
      <c r="AD13" s="6"/>
      <c r="AE13" s="6"/>
      <c r="AF13" s="6"/>
      <c r="AG13" s="6"/>
    </row>
    <row r="14" spans="1:33" ht="15.75">
      <c r="A14" s="115">
        <v>12</v>
      </c>
      <c r="B14" s="6">
        <f t="shared" si="0"/>
        <v>99600</v>
      </c>
      <c r="C14" s="107">
        <f t="shared" si="1"/>
        <v>4</v>
      </c>
      <c r="D14" s="90">
        <v>69</v>
      </c>
      <c r="E14" s="117">
        <v>10</v>
      </c>
      <c r="F14" s="43">
        <f t="shared" si="6"/>
        <v>0</v>
      </c>
      <c r="G14" s="117">
        <v>20</v>
      </c>
      <c r="H14" s="43">
        <f t="shared" si="7"/>
        <v>5</v>
      </c>
      <c r="I14" s="117">
        <v>7</v>
      </c>
      <c r="J14" s="107">
        <f t="shared" si="2"/>
        <v>-2</v>
      </c>
      <c r="K14" s="117">
        <v>12</v>
      </c>
      <c r="L14" s="107">
        <f t="shared" si="3"/>
        <v>1</v>
      </c>
      <c r="M14" s="117">
        <v>19</v>
      </c>
      <c r="N14" s="107">
        <f t="shared" si="4"/>
        <v>4</v>
      </c>
      <c r="O14" s="117">
        <v>11</v>
      </c>
      <c r="P14" s="108">
        <f t="shared" si="5"/>
        <v>0</v>
      </c>
      <c r="Q14" s="43">
        <f t="shared" si="8"/>
        <v>4</v>
      </c>
      <c r="R14" s="43">
        <f t="shared" si="9"/>
        <v>9</v>
      </c>
      <c r="S14" s="43">
        <f t="shared" si="10"/>
        <v>9</v>
      </c>
      <c r="T14" s="43">
        <f t="shared" si="11"/>
        <v>15</v>
      </c>
      <c r="U14" s="118">
        <v>7</v>
      </c>
      <c r="V14" s="114">
        <v>4</v>
      </c>
      <c r="W14" s="114">
        <v>3</v>
      </c>
      <c r="X14" s="114">
        <v>3</v>
      </c>
      <c r="Y14" s="114">
        <v>0</v>
      </c>
      <c r="Z14" s="119">
        <v>0</v>
      </c>
      <c r="AA14" s="43">
        <f t="shared" si="12"/>
        <v>16</v>
      </c>
      <c r="AB14" s="43">
        <f t="shared" si="13"/>
        <v>8</v>
      </c>
      <c r="AC14" s="6"/>
      <c r="AD14" s="6"/>
      <c r="AE14" s="6"/>
      <c r="AF14" s="6"/>
      <c r="AG14" s="6"/>
    </row>
    <row r="15" spans="1:33" ht="15.75">
      <c r="A15" s="114">
        <v>13</v>
      </c>
      <c r="B15" s="6">
        <f t="shared" si="0"/>
        <v>117800</v>
      </c>
      <c r="C15" s="107">
        <f t="shared" si="1"/>
        <v>5</v>
      </c>
      <c r="D15" s="90">
        <v>76</v>
      </c>
      <c r="E15" s="117">
        <v>10</v>
      </c>
      <c r="F15" s="43">
        <f t="shared" si="6"/>
        <v>0</v>
      </c>
      <c r="G15" s="117">
        <v>20</v>
      </c>
      <c r="H15" s="43">
        <f t="shared" si="7"/>
        <v>5</v>
      </c>
      <c r="I15" s="117">
        <v>7</v>
      </c>
      <c r="J15" s="107">
        <f t="shared" si="2"/>
        <v>-2</v>
      </c>
      <c r="K15" s="117">
        <v>12</v>
      </c>
      <c r="L15" s="107">
        <f t="shared" si="3"/>
        <v>1</v>
      </c>
      <c r="M15" s="117">
        <v>19</v>
      </c>
      <c r="N15" s="107">
        <f t="shared" si="4"/>
        <v>4</v>
      </c>
      <c r="O15" s="117">
        <v>11</v>
      </c>
      <c r="P15" s="108">
        <f t="shared" si="5"/>
        <v>0</v>
      </c>
      <c r="Q15" s="43">
        <f t="shared" si="8"/>
        <v>5</v>
      </c>
      <c r="R15" s="43">
        <f t="shared" si="9"/>
        <v>10</v>
      </c>
      <c r="S15" s="43">
        <f t="shared" si="10"/>
        <v>10</v>
      </c>
      <c r="T15" s="43">
        <f t="shared" si="11"/>
        <v>15</v>
      </c>
      <c r="U15" s="118">
        <v>8</v>
      </c>
      <c r="V15" s="114">
        <v>4</v>
      </c>
      <c r="W15" s="114">
        <v>3</v>
      </c>
      <c r="X15" s="114">
        <v>3</v>
      </c>
      <c r="Y15" s="114">
        <v>1</v>
      </c>
      <c r="Z15" s="119">
        <v>0</v>
      </c>
      <c r="AA15" s="43">
        <f t="shared" si="12"/>
        <v>17</v>
      </c>
      <c r="AB15" s="43">
        <f t="shared" si="13"/>
        <v>9</v>
      </c>
      <c r="AC15" s="6"/>
      <c r="AD15" s="6"/>
      <c r="AE15" s="6"/>
      <c r="AF15" s="6"/>
      <c r="AG15" s="6"/>
    </row>
    <row r="16" spans="1:33" ht="15.75">
      <c r="A16" s="114">
        <v>14</v>
      </c>
      <c r="B16" s="6">
        <f t="shared" si="0"/>
        <v>137700</v>
      </c>
      <c r="C16" s="107">
        <f t="shared" si="1"/>
        <v>5</v>
      </c>
      <c r="D16" s="90">
        <v>77</v>
      </c>
      <c r="E16" s="117">
        <v>10</v>
      </c>
      <c r="F16" s="43">
        <f t="shared" si="6"/>
        <v>0</v>
      </c>
      <c r="G16" s="117">
        <v>20</v>
      </c>
      <c r="H16" s="43">
        <f t="shared" si="7"/>
        <v>5</v>
      </c>
      <c r="I16" s="117">
        <v>7</v>
      </c>
      <c r="J16" s="107">
        <f t="shared" si="2"/>
        <v>-2</v>
      </c>
      <c r="K16" s="117">
        <v>12</v>
      </c>
      <c r="L16" s="107">
        <f t="shared" si="3"/>
        <v>1</v>
      </c>
      <c r="M16" s="117">
        <v>19</v>
      </c>
      <c r="N16" s="107">
        <f t="shared" si="4"/>
        <v>4</v>
      </c>
      <c r="O16" s="117">
        <v>11</v>
      </c>
      <c r="P16" s="108">
        <f t="shared" si="5"/>
        <v>0</v>
      </c>
      <c r="Q16" s="43">
        <f t="shared" si="8"/>
        <v>5</v>
      </c>
      <c r="R16" s="43">
        <f t="shared" si="9"/>
        <v>10</v>
      </c>
      <c r="S16" s="43">
        <f t="shared" si="10"/>
        <v>10</v>
      </c>
      <c r="T16" s="43">
        <f t="shared" si="11"/>
        <v>15</v>
      </c>
      <c r="U16" s="118">
        <v>8</v>
      </c>
      <c r="V16" s="114">
        <v>4</v>
      </c>
      <c r="W16" s="114">
        <v>3</v>
      </c>
      <c r="X16" s="114">
        <v>3</v>
      </c>
      <c r="Y16" s="114">
        <v>1</v>
      </c>
      <c r="Z16" s="119">
        <v>0</v>
      </c>
      <c r="AA16" s="43">
        <f t="shared" si="12"/>
        <v>17</v>
      </c>
      <c r="AB16" s="43">
        <f t="shared" si="13"/>
        <v>9</v>
      </c>
      <c r="AC16" s="6"/>
      <c r="AD16" s="6"/>
      <c r="AE16" s="6"/>
      <c r="AF16" s="6"/>
      <c r="AG16" s="6"/>
    </row>
    <row r="17" spans="1:33" ht="15.75">
      <c r="A17" s="114">
        <v>15</v>
      </c>
      <c r="B17" s="6">
        <f t="shared" si="0"/>
        <v>159200</v>
      </c>
      <c r="C17" s="107">
        <f t="shared" si="1"/>
        <v>5</v>
      </c>
      <c r="D17" s="90">
        <v>81</v>
      </c>
      <c r="E17" s="117">
        <v>10</v>
      </c>
      <c r="F17" s="43">
        <f t="shared" si="6"/>
        <v>0</v>
      </c>
      <c r="G17" s="117">
        <v>20</v>
      </c>
      <c r="H17" s="43">
        <f t="shared" si="7"/>
        <v>5</v>
      </c>
      <c r="I17" s="117">
        <v>7</v>
      </c>
      <c r="J17" s="107">
        <f t="shared" si="2"/>
        <v>-2</v>
      </c>
      <c r="K17" s="117">
        <v>12</v>
      </c>
      <c r="L17" s="107">
        <f t="shared" si="3"/>
        <v>1</v>
      </c>
      <c r="M17" s="117">
        <v>19</v>
      </c>
      <c r="N17" s="107">
        <f t="shared" si="4"/>
        <v>4</v>
      </c>
      <c r="O17" s="117">
        <v>11</v>
      </c>
      <c r="P17" s="108">
        <f t="shared" si="5"/>
        <v>0</v>
      </c>
      <c r="Q17" s="43">
        <f t="shared" si="8"/>
        <v>5</v>
      </c>
      <c r="R17" s="43">
        <f t="shared" si="9"/>
        <v>10</v>
      </c>
      <c r="S17" s="43">
        <f t="shared" si="10"/>
        <v>10</v>
      </c>
      <c r="T17" s="43">
        <f t="shared" si="11"/>
        <v>15</v>
      </c>
      <c r="U17" s="118">
        <v>9</v>
      </c>
      <c r="V17" s="114">
        <v>4</v>
      </c>
      <c r="W17" s="114">
        <v>3</v>
      </c>
      <c r="X17" s="114">
        <v>3</v>
      </c>
      <c r="Y17" s="114">
        <v>2</v>
      </c>
      <c r="Z17" s="119">
        <v>0</v>
      </c>
      <c r="AA17" s="43">
        <f t="shared" si="12"/>
        <v>17</v>
      </c>
      <c r="AB17" s="43">
        <f t="shared" si="13"/>
        <v>9</v>
      </c>
      <c r="AC17" s="6"/>
      <c r="AD17" s="6"/>
      <c r="AE17" s="6"/>
      <c r="AF17" s="6"/>
      <c r="AG17" s="6"/>
    </row>
    <row r="18" spans="1:33" ht="15.75">
      <c r="A18" s="115">
        <v>16</v>
      </c>
      <c r="B18" s="6">
        <f t="shared" si="0"/>
        <v>182300</v>
      </c>
      <c r="C18" s="107">
        <f t="shared" si="1"/>
        <v>5</v>
      </c>
      <c r="D18" s="90">
        <v>86</v>
      </c>
      <c r="E18" s="117">
        <v>10</v>
      </c>
      <c r="F18" s="43">
        <f t="shared" si="6"/>
        <v>0</v>
      </c>
      <c r="G18" s="117">
        <v>20</v>
      </c>
      <c r="H18" s="43">
        <f t="shared" si="7"/>
        <v>5</v>
      </c>
      <c r="I18" s="117">
        <v>7</v>
      </c>
      <c r="J18" s="107">
        <f t="shared" si="2"/>
        <v>-2</v>
      </c>
      <c r="K18" s="117">
        <v>13</v>
      </c>
      <c r="L18" s="107">
        <f t="shared" si="3"/>
        <v>1</v>
      </c>
      <c r="M18" s="117">
        <v>20</v>
      </c>
      <c r="N18" s="107">
        <f t="shared" si="4"/>
        <v>5</v>
      </c>
      <c r="O18" s="117">
        <v>11</v>
      </c>
      <c r="P18" s="108">
        <f t="shared" si="5"/>
        <v>0</v>
      </c>
      <c r="Q18" s="43">
        <f t="shared" si="8"/>
        <v>5</v>
      </c>
      <c r="R18" s="43">
        <f t="shared" si="9"/>
        <v>10</v>
      </c>
      <c r="S18" s="43">
        <f t="shared" si="10"/>
        <v>10</v>
      </c>
      <c r="T18" s="43">
        <f t="shared" si="11"/>
        <v>15</v>
      </c>
      <c r="U18" s="118">
        <v>9</v>
      </c>
      <c r="V18" s="114">
        <v>4</v>
      </c>
      <c r="W18" s="114">
        <v>3</v>
      </c>
      <c r="X18" s="114">
        <v>3</v>
      </c>
      <c r="Y18" s="114">
        <v>2</v>
      </c>
      <c r="Z18" s="119">
        <v>0</v>
      </c>
      <c r="AA18" s="43">
        <f t="shared" si="12"/>
        <v>18</v>
      </c>
      <c r="AB18" s="43">
        <f t="shared" si="13"/>
        <v>10</v>
      </c>
      <c r="AC18" s="6"/>
      <c r="AD18" s="6"/>
      <c r="AE18" s="6"/>
      <c r="AF18" s="6"/>
      <c r="AG18" s="6"/>
    </row>
    <row r="19" spans="1:33" ht="15.75">
      <c r="A19" s="114">
        <v>17</v>
      </c>
      <c r="B19" s="6">
        <f t="shared" si="0"/>
        <v>207000</v>
      </c>
      <c r="C19" s="107">
        <f t="shared" si="1"/>
        <v>6</v>
      </c>
      <c r="D19" s="90">
        <v>87</v>
      </c>
      <c r="E19" s="117">
        <v>10</v>
      </c>
      <c r="F19" s="43">
        <f t="shared" si="6"/>
        <v>0</v>
      </c>
      <c r="G19" s="117">
        <v>20</v>
      </c>
      <c r="H19" s="43">
        <f t="shared" si="7"/>
        <v>5</v>
      </c>
      <c r="I19" s="117">
        <v>7</v>
      </c>
      <c r="J19" s="107">
        <f t="shared" si="2"/>
        <v>-2</v>
      </c>
      <c r="K19" s="117">
        <v>13</v>
      </c>
      <c r="L19" s="107">
        <f t="shared" si="3"/>
        <v>1</v>
      </c>
      <c r="M19" s="117">
        <v>20</v>
      </c>
      <c r="N19" s="107">
        <f t="shared" si="4"/>
        <v>5</v>
      </c>
      <c r="O19" s="117">
        <v>11</v>
      </c>
      <c r="P19" s="108">
        <f t="shared" si="5"/>
        <v>0</v>
      </c>
      <c r="Q19" s="43">
        <f t="shared" si="8"/>
        <v>6</v>
      </c>
      <c r="R19" s="43">
        <f t="shared" si="9"/>
        <v>11</v>
      </c>
      <c r="S19" s="43">
        <f t="shared" si="10"/>
        <v>11</v>
      </c>
      <c r="T19" s="43">
        <f t="shared" si="11"/>
        <v>15</v>
      </c>
      <c r="U19" s="118">
        <v>10</v>
      </c>
      <c r="V19" s="114">
        <v>4</v>
      </c>
      <c r="W19" s="114">
        <v>3</v>
      </c>
      <c r="X19" s="114">
        <v>3</v>
      </c>
      <c r="Y19" s="114">
        <v>3</v>
      </c>
      <c r="Z19" s="119">
        <v>1</v>
      </c>
      <c r="AA19" s="43">
        <f t="shared" si="12"/>
        <v>19</v>
      </c>
      <c r="AB19" s="43">
        <f t="shared" si="13"/>
        <v>11</v>
      </c>
      <c r="AC19" s="6"/>
      <c r="AD19" s="6"/>
      <c r="AE19" s="6"/>
      <c r="AF19" s="6"/>
      <c r="AG19" s="6"/>
    </row>
    <row r="20" spans="1:33" ht="15.75">
      <c r="A20" s="114">
        <v>18</v>
      </c>
      <c r="B20" s="6">
        <f t="shared" si="0"/>
        <v>233400</v>
      </c>
      <c r="C20" s="107">
        <f t="shared" si="1"/>
        <v>6</v>
      </c>
      <c r="D20" s="90">
        <v>96</v>
      </c>
      <c r="E20" s="117">
        <v>10</v>
      </c>
      <c r="F20" s="43">
        <f t="shared" si="6"/>
        <v>0</v>
      </c>
      <c r="G20" s="117">
        <v>20</v>
      </c>
      <c r="H20" s="43">
        <f t="shared" si="7"/>
        <v>5</v>
      </c>
      <c r="I20" s="117">
        <v>7</v>
      </c>
      <c r="J20" s="107">
        <f t="shared" si="2"/>
        <v>-2</v>
      </c>
      <c r="K20" s="117">
        <v>13</v>
      </c>
      <c r="L20" s="107">
        <f t="shared" si="3"/>
        <v>1</v>
      </c>
      <c r="M20" s="117">
        <v>20</v>
      </c>
      <c r="N20" s="107">
        <f t="shared" si="4"/>
        <v>5</v>
      </c>
      <c r="O20" s="117">
        <v>11</v>
      </c>
      <c r="P20" s="108">
        <f t="shared" si="5"/>
        <v>0</v>
      </c>
      <c r="Q20" s="43">
        <f t="shared" si="8"/>
        <v>6</v>
      </c>
      <c r="R20" s="43">
        <f t="shared" si="9"/>
        <v>11</v>
      </c>
      <c r="S20" s="43">
        <f t="shared" si="10"/>
        <v>11</v>
      </c>
      <c r="T20" s="43">
        <f t="shared" si="11"/>
        <v>15</v>
      </c>
      <c r="U20" s="118">
        <v>10</v>
      </c>
      <c r="V20" s="114">
        <v>4</v>
      </c>
      <c r="W20" s="114">
        <v>3</v>
      </c>
      <c r="X20" s="114">
        <v>3</v>
      </c>
      <c r="Y20" s="114">
        <v>3</v>
      </c>
      <c r="Z20" s="119">
        <v>1</v>
      </c>
      <c r="AA20" s="43">
        <f t="shared" si="12"/>
        <v>19</v>
      </c>
      <c r="AB20" s="43">
        <f t="shared" si="13"/>
        <v>11</v>
      </c>
      <c r="AC20" s="6"/>
      <c r="AD20" s="6"/>
      <c r="AE20" s="6"/>
      <c r="AF20" s="6"/>
      <c r="AG20" s="6"/>
    </row>
    <row r="21" spans="1:33" ht="15.75">
      <c r="A21" s="115">
        <v>19</v>
      </c>
      <c r="B21" s="6">
        <f t="shared" si="0"/>
        <v>261500</v>
      </c>
      <c r="C21" s="107">
        <f t="shared" si="1"/>
        <v>6</v>
      </c>
      <c r="D21" s="90">
        <v>106</v>
      </c>
      <c r="E21" s="117">
        <v>10</v>
      </c>
      <c r="F21" s="43">
        <f t="shared" si="6"/>
        <v>0</v>
      </c>
      <c r="G21" s="117">
        <v>20</v>
      </c>
      <c r="H21" s="43">
        <f t="shared" si="7"/>
        <v>5</v>
      </c>
      <c r="I21" s="117">
        <v>7</v>
      </c>
      <c r="J21" s="107">
        <f t="shared" si="2"/>
        <v>-2</v>
      </c>
      <c r="K21" s="117">
        <v>14</v>
      </c>
      <c r="L21" s="107">
        <f t="shared" si="3"/>
        <v>2</v>
      </c>
      <c r="M21" s="117">
        <v>20</v>
      </c>
      <c r="N21" s="107">
        <f t="shared" si="4"/>
        <v>5</v>
      </c>
      <c r="O21" s="117">
        <v>12</v>
      </c>
      <c r="P21" s="108">
        <f t="shared" si="5"/>
        <v>1</v>
      </c>
      <c r="Q21" s="43">
        <f t="shared" si="8"/>
        <v>6</v>
      </c>
      <c r="R21" s="43">
        <f t="shared" si="9"/>
        <v>11</v>
      </c>
      <c r="S21" s="43">
        <f t="shared" si="10"/>
        <v>11</v>
      </c>
      <c r="T21" s="43">
        <f t="shared" si="11"/>
        <v>15</v>
      </c>
      <c r="U21" s="118">
        <v>11</v>
      </c>
      <c r="V21" s="114">
        <v>4</v>
      </c>
      <c r="W21" s="114">
        <v>3</v>
      </c>
      <c r="X21" s="114">
        <v>3</v>
      </c>
      <c r="Y21" s="114">
        <v>3</v>
      </c>
      <c r="Z21" s="119">
        <v>2</v>
      </c>
      <c r="AA21" s="43">
        <f t="shared" si="12"/>
        <v>19</v>
      </c>
      <c r="AB21" s="43">
        <f t="shared" si="13"/>
        <v>11</v>
      </c>
      <c r="AC21" s="6"/>
      <c r="AD21" s="6"/>
      <c r="AE21" s="6"/>
      <c r="AF21" s="6"/>
      <c r="AG21" s="6"/>
    </row>
    <row r="22" spans="1:33" ht="15.75">
      <c r="A22" s="114">
        <v>20</v>
      </c>
      <c r="B22" s="6">
        <f t="shared" si="0"/>
        <v>291200</v>
      </c>
      <c r="C22" s="107">
        <f t="shared" si="1"/>
        <v>6</v>
      </c>
      <c r="D22" s="90">
        <v>116</v>
      </c>
      <c r="E22" s="117">
        <v>10</v>
      </c>
      <c r="F22" s="43">
        <f t="shared" si="6"/>
        <v>0</v>
      </c>
      <c r="G22" s="117">
        <v>20</v>
      </c>
      <c r="H22" s="43">
        <f t="shared" si="7"/>
        <v>5</v>
      </c>
      <c r="I22" s="117">
        <v>7</v>
      </c>
      <c r="J22" s="107">
        <f t="shared" si="2"/>
        <v>-2</v>
      </c>
      <c r="K22" s="117">
        <v>14</v>
      </c>
      <c r="L22" s="107">
        <f t="shared" si="3"/>
        <v>2</v>
      </c>
      <c r="M22" s="117">
        <v>20</v>
      </c>
      <c r="N22" s="107">
        <f t="shared" si="4"/>
        <v>5</v>
      </c>
      <c r="O22" s="117">
        <v>12</v>
      </c>
      <c r="P22" s="108">
        <f t="shared" si="5"/>
        <v>1</v>
      </c>
      <c r="Q22" s="43">
        <f t="shared" si="8"/>
        <v>6</v>
      </c>
      <c r="R22" s="43">
        <f t="shared" si="9"/>
        <v>11</v>
      </c>
      <c r="S22" s="43">
        <f t="shared" si="10"/>
        <v>11</v>
      </c>
      <c r="T22" s="43">
        <f t="shared" si="11"/>
        <v>15</v>
      </c>
      <c r="U22" s="118">
        <v>11</v>
      </c>
      <c r="V22" s="114">
        <v>4</v>
      </c>
      <c r="W22" s="114">
        <v>3</v>
      </c>
      <c r="X22" s="114">
        <v>3</v>
      </c>
      <c r="Y22" s="114">
        <v>3</v>
      </c>
      <c r="Z22" s="119">
        <v>2</v>
      </c>
      <c r="AA22" s="43">
        <f t="shared" si="12"/>
        <v>19</v>
      </c>
      <c r="AB22" s="43">
        <f t="shared" si="13"/>
        <v>11</v>
      </c>
      <c r="AC22" s="6"/>
      <c r="AD22" s="6"/>
      <c r="AF22" s="6"/>
    </row>
    <row r="23" spans="1:33" ht="15.75">
      <c r="A23" s="114">
        <v>21</v>
      </c>
      <c r="B23" s="6">
        <f t="shared" si="0"/>
        <v>322700</v>
      </c>
      <c r="C23" s="107">
        <f t="shared" si="1"/>
        <v>7</v>
      </c>
      <c r="D23" s="102">
        <v>121</v>
      </c>
      <c r="E23" s="117">
        <v>10</v>
      </c>
      <c r="F23" s="43">
        <f t="shared" si="6"/>
        <v>0</v>
      </c>
      <c r="G23" s="117">
        <v>20</v>
      </c>
      <c r="H23" s="43">
        <f t="shared" si="7"/>
        <v>5</v>
      </c>
      <c r="I23" s="117">
        <v>7</v>
      </c>
      <c r="J23" s="107">
        <f t="shared" si="2"/>
        <v>-2</v>
      </c>
      <c r="K23" s="117">
        <v>14</v>
      </c>
      <c r="L23" s="107">
        <f t="shared" si="3"/>
        <v>2</v>
      </c>
      <c r="M23" s="117">
        <v>20</v>
      </c>
      <c r="N23" s="107">
        <f t="shared" si="4"/>
        <v>5</v>
      </c>
      <c r="O23" s="117">
        <v>12</v>
      </c>
      <c r="P23" s="108">
        <f t="shared" si="5"/>
        <v>1</v>
      </c>
      <c r="Q23" s="43">
        <f t="shared" ref="Q23:Q32" si="14">C23+F23</f>
        <v>7</v>
      </c>
      <c r="R23" s="43">
        <f t="shared" ref="R23:R32" si="15">C23+H23</f>
        <v>12</v>
      </c>
      <c r="S23" s="43">
        <f t="shared" ref="S23:S32" si="16">C23+H23</f>
        <v>12</v>
      </c>
      <c r="T23" s="43">
        <f t="shared" ref="T23:T32" si="17">10+H23</f>
        <v>15</v>
      </c>
      <c r="U23" s="118">
        <v>11</v>
      </c>
      <c r="V23" s="114">
        <v>4</v>
      </c>
      <c r="W23" s="114">
        <v>3</v>
      </c>
      <c r="X23" s="114">
        <v>3</v>
      </c>
      <c r="Y23" s="114">
        <v>3</v>
      </c>
      <c r="Z23" s="119">
        <v>2</v>
      </c>
      <c r="AA23" s="43">
        <f t="shared" ref="AA23:AA32" si="18">8+C23+N23</f>
        <v>20</v>
      </c>
      <c r="AB23" s="43">
        <f t="shared" ref="AB23:AB32" si="19">C23+N23</f>
        <v>12</v>
      </c>
      <c r="AC23" s="6"/>
    </row>
    <row r="24" spans="1:33" ht="15.75">
      <c r="A24" s="114">
        <v>22</v>
      </c>
      <c r="B24" s="6">
        <f t="shared" si="0"/>
        <v>355800</v>
      </c>
      <c r="C24" s="107">
        <f t="shared" si="1"/>
        <v>7</v>
      </c>
      <c r="D24" s="102">
        <v>128</v>
      </c>
      <c r="E24" s="117">
        <v>10</v>
      </c>
      <c r="F24" s="43">
        <f t="shared" si="6"/>
        <v>0</v>
      </c>
      <c r="G24" s="117">
        <v>20</v>
      </c>
      <c r="H24" s="43">
        <f t="shared" si="7"/>
        <v>5</v>
      </c>
      <c r="I24" s="117">
        <v>7</v>
      </c>
      <c r="J24" s="107">
        <f t="shared" si="2"/>
        <v>-2</v>
      </c>
      <c r="K24" s="117">
        <v>14</v>
      </c>
      <c r="L24" s="107">
        <f t="shared" si="3"/>
        <v>2</v>
      </c>
      <c r="M24" s="117">
        <v>20</v>
      </c>
      <c r="N24" s="107">
        <f t="shared" si="4"/>
        <v>5</v>
      </c>
      <c r="O24" s="117">
        <v>12</v>
      </c>
      <c r="P24" s="108">
        <f t="shared" si="5"/>
        <v>1</v>
      </c>
      <c r="Q24" s="43">
        <f t="shared" si="14"/>
        <v>7</v>
      </c>
      <c r="R24" s="43">
        <f t="shared" si="15"/>
        <v>12</v>
      </c>
      <c r="S24" s="43">
        <f t="shared" si="16"/>
        <v>12</v>
      </c>
      <c r="T24" s="43">
        <f t="shared" si="17"/>
        <v>15</v>
      </c>
      <c r="U24" s="118">
        <v>11</v>
      </c>
      <c r="V24" s="114">
        <v>4</v>
      </c>
      <c r="W24" s="114">
        <v>3</v>
      </c>
      <c r="X24" s="114">
        <v>3</v>
      </c>
      <c r="Y24" s="114">
        <v>3</v>
      </c>
      <c r="Z24" s="119">
        <v>2</v>
      </c>
      <c r="AA24" s="43">
        <f t="shared" si="18"/>
        <v>20</v>
      </c>
      <c r="AB24" s="43">
        <f t="shared" si="19"/>
        <v>12</v>
      </c>
      <c r="AC24" s="6"/>
    </row>
    <row r="25" spans="1:33" ht="15.75">
      <c r="A25" s="114">
        <v>23</v>
      </c>
      <c r="B25" s="6">
        <f t="shared" si="0"/>
        <v>390600</v>
      </c>
      <c r="C25" s="107">
        <f t="shared" si="1"/>
        <v>7</v>
      </c>
      <c r="D25" s="102">
        <v>133</v>
      </c>
      <c r="E25" s="117">
        <v>10</v>
      </c>
      <c r="F25" s="43">
        <f t="shared" si="6"/>
        <v>0</v>
      </c>
      <c r="G25" s="117">
        <v>20</v>
      </c>
      <c r="H25" s="43">
        <f t="shared" si="7"/>
        <v>5</v>
      </c>
      <c r="I25" s="117">
        <v>7</v>
      </c>
      <c r="J25" s="107">
        <f t="shared" si="2"/>
        <v>-2</v>
      </c>
      <c r="K25" s="117">
        <v>14</v>
      </c>
      <c r="L25" s="107">
        <f t="shared" si="3"/>
        <v>2</v>
      </c>
      <c r="M25" s="117">
        <v>20</v>
      </c>
      <c r="N25" s="107">
        <f t="shared" si="4"/>
        <v>5</v>
      </c>
      <c r="O25" s="117">
        <v>12</v>
      </c>
      <c r="P25" s="108">
        <f t="shared" si="5"/>
        <v>1</v>
      </c>
      <c r="Q25" s="43">
        <f t="shared" si="14"/>
        <v>7</v>
      </c>
      <c r="R25" s="43">
        <f t="shared" si="15"/>
        <v>12</v>
      </c>
      <c r="S25" s="43">
        <f t="shared" si="16"/>
        <v>12</v>
      </c>
      <c r="T25" s="43">
        <f t="shared" si="17"/>
        <v>15</v>
      </c>
      <c r="U25" s="118">
        <v>11</v>
      </c>
      <c r="V25" s="114">
        <v>4</v>
      </c>
      <c r="W25" s="114">
        <v>3</v>
      </c>
      <c r="X25" s="114">
        <v>3</v>
      </c>
      <c r="Y25" s="114">
        <v>3</v>
      </c>
      <c r="Z25" s="119">
        <v>2</v>
      </c>
      <c r="AA25" s="43">
        <f t="shared" si="18"/>
        <v>20</v>
      </c>
      <c r="AB25" s="43">
        <f t="shared" si="19"/>
        <v>12</v>
      </c>
      <c r="AC25" s="6"/>
    </row>
    <row r="26" spans="1:33" ht="15.75">
      <c r="A26" s="114">
        <v>24</v>
      </c>
      <c r="B26" s="6">
        <f t="shared" si="0"/>
        <v>427100</v>
      </c>
      <c r="C26" s="107">
        <f t="shared" si="1"/>
        <v>7</v>
      </c>
      <c r="D26" s="102">
        <v>138</v>
      </c>
      <c r="E26" s="117">
        <v>10</v>
      </c>
      <c r="F26" s="43">
        <f t="shared" si="6"/>
        <v>0</v>
      </c>
      <c r="G26" s="117">
        <v>20</v>
      </c>
      <c r="H26" s="43">
        <f t="shared" si="7"/>
        <v>5</v>
      </c>
      <c r="I26" s="117">
        <v>7</v>
      </c>
      <c r="J26" s="107">
        <f t="shared" si="2"/>
        <v>-2</v>
      </c>
      <c r="K26" s="117">
        <v>14</v>
      </c>
      <c r="L26" s="107">
        <f t="shared" si="3"/>
        <v>2</v>
      </c>
      <c r="M26" s="117">
        <v>20</v>
      </c>
      <c r="N26" s="107">
        <f t="shared" si="4"/>
        <v>5</v>
      </c>
      <c r="O26" s="117">
        <v>12</v>
      </c>
      <c r="P26" s="108">
        <f t="shared" si="5"/>
        <v>1</v>
      </c>
      <c r="Q26" s="43">
        <f t="shared" si="14"/>
        <v>7</v>
      </c>
      <c r="R26" s="43">
        <f t="shared" si="15"/>
        <v>12</v>
      </c>
      <c r="S26" s="43">
        <f t="shared" si="16"/>
        <v>12</v>
      </c>
      <c r="T26" s="43">
        <f t="shared" si="17"/>
        <v>15</v>
      </c>
      <c r="U26" s="118">
        <v>11</v>
      </c>
      <c r="V26" s="114">
        <v>4</v>
      </c>
      <c r="W26" s="114">
        <v>3</v>
      </c>
      <c r="X26" s="114">
        <v>3</v>
      </c>
      <c r="Y26" s="114">
        <v>3</v>
      </c>
      <c r="Z26" s="119">
        <v>2</v>
      </c>
      <c r="AA26" s="43">
        <f t="shared" si="18"/>
        <v>20</v>
      </c>
      <c r="AB26" s="43">
        <f t="shared" si="19"/>
        <v>12</v>
      </c>
      <c r="AC26" s="6"/>
    </row>
    <row r="27" spans="1:33" ht="15.75">
      <c r="A27" s="114">
        <v>25</v>
      </c>
      <c r="B27" s="6">
        <f t="shared" si="0"/>
        <v>465400</v>
      </c>
      <c r="C27" s="107">
        <f t="shared" si="1"/>
        <v>8</v>
      </c>
      <c r="D27" s="102">
        <v>141</v>
      </c>
      <c r="E27" s="117">
        <v>10</v>
      </c>
      <c r="F27" s="43">
        <f t="shared" si="6"/>
        <v>0</v>
      </c>
      <c r="G27" s="117">
        <v>20</v>
      </c>
      <c r="H27" s="43">
        <f t="shared" si="7"/>
        <v>5</v>
      </c>
      <c r="I27" s="117">
        <v>7</v>
      </c>
      <c r="J27" s="107">
        <f t="shared" si="2"/>
        <v>-2</v>
      </c>
      <c r="K27" s="117">
        <v>14</v>
      </c>
      <c r="L27" s="107">
        <f t="shared" si="3"/>
        <v>2</v>
      </c>
      <c r="M27" s="117">
        <v>20</v>
      </c>
      <c r="N27" s="107">
        <f t="shared" si="4"/>
        <v>5</v>
      </c>
      <c r="O27" s="117">
        <v>12</v>
      </c>
      <c r="P27" s="108">
        <f t="shared" si="5"/>
        <v>1</v>
      </c>
      <c r="Q27" s="43">
        <f t="shared" si="14"/>
        <v>8</v>
      </c>
      <c r="R27" s="43">
        <f t="shared" si="15"/>
        <v>13</v>
      </c>
      <c r="S27" s="43">
        <f t="shared" si="16"/>
        <v>13</v>
      </c>
      <c r="T27" s="43">
        <f t="shared" si="17"/>
        <v>15</v>
      </c>
      <c r="U27" s="118">
        <v>11</v>
      </c>
      <c r="V27" s="114">
        <v>4</v>
      </c>
      <c r="W27" s="114">
        <v>3</v>
      </c>
      <c r="X27" s="114">
        <v>3</v>
      </c>
      <c r="Y27" s="114">
        <v>3</v>
      </c>
      <c r="Z27" s="119">
        <v>2</v>
      </c>
      <c r="AA27" s="43">
        <f t="shared" si="18"/>
        <v>21</v>
      </c>
      <c r="AB27" s="43">
        <f t="shared" si="19"/>
        <v>13</v>
      </c>
      <c r="AC27" s="6"/>
    </row>
    <row r="28" spans="1:33" ht="15.75">
      <c r="A28" s="114">
        <v>26</v>
      </c>
      <c r="B28" s="6">
        <f t="shared" si="0"/>
        <v>505300</v>
      </c>
      <c r="C28" s="107">
        <f t="shared" si="1"/>
        <v>8</v>
      </c>
      <c r="D28" s="102">
        <v>147</v>
      </c>
      <c r="E28" s="117">
        <v>10</v>
      </c>
      <c r="F28" s="43">
        <f t="shared" si="6"/>
        <v>0</v>
      </c>
      <c r="G28" s="117">
        <v>20</v>
      </c>
      <c r="H28" s="43">
        <f t="shared" si="7"/>
        <v>5</v>
      </c>
      <c r="I28" s="117">
        <v>7</v>
      </c>
      <c r="J28" s="107">
        <f t="shared" si="2"/>
        <v>-2</v>
      </c>
      <c r="K28" s="117">
        <v>14</v>
      </c>
      <c r="L28" s="107">
        <f t="shared" si="3"/>
        <v>2</v>
      </c>
      <c r="M28" s="117">
        <v>20</v>
      </c>
      <c r="N28" s="107">
        <f t="shared" si="4"/>
        <v>5</v>
      </c>
      <c r="O28" s="117">
        <v>12</v>
      </c>
      <c r="P28" s="108">
        <f t="shared" si="5"/>
        <v>1</v>
      </c>
      <c r="Q28" s="43">
        <f t="shared" si="14"/>
        <v>8</v>
      </c>
      <c r="R28" s="43">
        <f t="shared" si="15"/>
        <v>13</v>
      </c>
      <c r="S28" s="43">
        <f t="shared" si="16"/>
        <v>13</v>
      </c>
      <c r="T28" s="43">
        <f t="shared" si="17"/>
        <v>15</v>
      </c>
      <c r="U28" s="118">
        <v>11</v>
      </c>
      <c r="V28" s="114">
        <v>4</v>
      </c>
      <c r="W28" s="114">
        <v>3</v>
      </c>
      <c r="X28" s="114">
        <v>3</v>
      </c>
      <c r="Y28" s="114">
        <v>3</v>
      </c>
      <c r="Z28" s="119">
        <v>2</v>
      </c>
      <c r="AA28" s="43">
        <f t="shared" si="18"/>
        <v>21</v>
      </c>
      <c r="AB28" s="43">
        <f t="shared" si="19"/>
        <v>13</v>
      </c>
      <c r="AC28" s="6"/>
    </row>
    <row r="29" spans="1:33" ht="15.75">
      <c r="A29" s="114">
        <v>27</v>
      </c>
      <c r="B29" s="6">
        <f t="shared" si="0"/>
        <v>547000</v>
      </c>
      <c r="C29" s="107">
        <f t="shared" si="1"/>
        <v>8</v>
      </c>
      <c r="D29" s="102">
        <v>153</v>
      </c>
      <c r="E29" s="117">
        <v>10</v>
      </c>
      <c r="F29" s="43">
        <f t="shared" si="6"/>
        <v>0</v>
      </c>
      <c r="G29" s="117">
        <v>20</v>
      </c>
      <c r="H29" s="43">
        <f t="shared" si="7"/>
        <v>5</v>
      </c>
      <c r="I29" s="117">
        <v>7</v>
      </c>
      <c r="J29" s="107">
        <f t="shared" si="2"/>
        <v>-2</v>
      </c>
      <c r="K29" s="117">
        <v>14</v>
      </c>
      <c r="L29" s="107">
        <f t="shared" si="3"/>
        <v>2</v>
      </c>
      <c r="M29" s="117">
        <v>20</v>
      </c>
      <c r="N29" s="107">
        <f t="shared" si="4"/>
        <v>5</v>
      </c>
      <c r="O29" s="117">
        <v>12</v>
      </c>
      <c r="P29" s="108">
        <f t="shared" si="5"/>
        <v>1</v>
      </c>
      <c r="Q29" s="43">
        <f t="shared" si="14"/>
        <v>8</v>
      </c>
      <c r="R29" s="43">
        <f t="shared" si="15"/>
        <v>13</v>
      </c>
      <c r="S29" s="43">
        <f t="shared" si="16"/>
        <v>13</v>
      </c>
      <c r="T29" s="43">
        <f t="shared" si="17"/>
        <v>15</v>
      </c>
      <c r="U29" s="118">
        <v>11</v>
      </c>
      <c r="V29" s="114">
        <v>4</v>
      </c>
      <c r="W29" s="114">
        <v>3</v>
      </c>
      <c r="X29" s="114">
        <v>3</v>
      </c>
      <c r="Y29" s="114">
        <v>3</v>
      </c>
      <c r="Z29" s="119">
        <v>2</v>
      </c>
      <c r="AA29" s="43">
        <f t="shared" si="18"/>
        <v>21</v>
      </c>
      <c r="AB29" s="43">
        <f t="shared" si="19"/>
        <v>13</v>
      </c>
      <c r="AC29" s="6"/>
    </row>
    <row r="30" spans="1:33" ht="15.75">
      <c r="A30" s="114">
        <v>28</v>
      </c>
      <c r="B30" s="6">
        <f t="shared" si="0"/>
        <v>590400</v>
      </c>
      <c r="C30" s="107">
        <f t="shared" si="1"/>
        <v>8</v>
      </c>
      <c r="D30" s="102">
        <v>160</v>
      </c>
      <c r="E30" s="117">
        <v>10</v>
      </c>
      <c r="F30" s="43">
        <f t="shared" si="6"/>
        <v>0</v>
      </c>
      <c r="G30" s="117">
        <v>20</v>
      </c>
      <c r="H30" s="43">
        <f t="shared" si="7"/>
        <v>5</v>
      </c>
      <c r="I30" s="117">
        <v>7</v>
      </c>
      <c r="J30" s="107">
        <f t="shared" si="2"/>
        <v>-2</v>
      </c>
      <c r="K30" s="117">
        <v>14</v>
      </c>
      <c r="L30" s="107">
        <f t="shared" si="3"/>
        <v>2</v>
      </c>
      <c r="M30" s="117">
        <v>20</v>
      </c>
      <c r="N30" s="107">
        <f t="shared" si="4"/>
        <v>5</v>
      </c>
      <c r="O30" s="117">
        <v>12</v>
      </c>
      <c r="P30" s="108">
        <f t="shared" si="5"/>
        <v>1</v>
      </c>
      <c r="Q30" s="43">
        <f t="shared" si="14"/>
        <v>8</v>
      </c>
      <c r="R30" s="43">
        <f t="shared" si="15"/>
        <v>13</v>
      </c>
      <c r="S30" s="43">
        <f t="shared" si="16"/>
        <v>13</v>
      </c>
      <c r="T30" s="43">
        <f t="shared" si="17"/>
        <v>15</v>
      </c>
      <c r="U30" s="118">
        <v>11</v>
      </c>
      <c r="V30" s="114">
        <v>4</v>
      </c>
      <c r="W30" s="114">
        <v>3</v>
      </c>
      <c r="X30" s="114">
        <v>3</v>
      </c>
      <c r="Y30" s="114">
        <v>3</v>
      </c>
      <c r="Z30" s="119">
        <v>2</v>
      </c>
      <c r="AA30" s="43">
        <f t="shared" si="18"/>
        <v>21</v>
      </c>
      <c r="AB30" s="43">
        <f t="shared" si="19"/>
        <v>13</v>
      </c>
      <c r="AC30" s="6"/>
    </row>
    <row r="31" spans="1:33" ht="15.75">
      <c r="A31" s="114">
        <v>29</v>
      </c>
      <c r="B31" s="6">
        <f t="shared" si="0"/>
        <v>635600</v>
      </c>
      <c r="C31" s="107">
        <f t="shared" si="1"/>
        <v>9</v>
      </c>
      <c r="D31" s="102">
        <v>162</v>
      </c>
      <c r="E31" s="117">
        <v>10</v>
      </c>
      <c r="F31" s="43">
        <f t="shared" si="6"/>
        <v>0</v>
      </c>
      <c r="G31" s="117">
        <v>20</v>
      </c>
      <c r="H31" s="43">
        <f t="shared" si="7"/>
        <v>5</v>
      </c>
      <c r="I31" s="117">
        <v>7</v>
      </c>
      <c r="J31" s="107">
        <f t="shared" si="2"/>
        <v>-2</v>
      </c>
      <c r="K31" s="117">
        <v>14</v>
      </c>
      <c r="L31" s="107">
        <f t="shared" si="3"/>
        <v>2</v>
      </c>
      <c r="M31" s="117">
        <v>20</v>
      </c>
      <c r="N31" s="107">
        <f t="shared" si="4"/>
        <v>5</v>
      </c>
      <c r="O31" s="117">
        <v>12</v>
      </c>
      <c r="P31" s="108">
        <f t="shared" si="5"/>
        <v>1</v>
      </c>
      <c r="Q31" s="43">
        <f t="shared" si="14"/>
        <v>9</v>
      </c>
      <c r="R31" s="43">
        <f t="shared" si="15"/>
        <v>14</v>
      </c>
      <c r="S31" s="43">
        <f t="shared" si="16"/>
        <v>14</v>
      </c>
      <c r="T31" s="43">
        <f t="shared" si="17"/>
        <v>15</v>
      </c>
      <c r="U31" s="118">
        <v>11</v>
      </c>
      <c r="V31" s="114">
        <v>4</v>
      </c>
      <c r="W31" s="114">
        <v>3</v>
      </c>
      <c r="X31" s="114">
        <v>3</v>
      </c>
      <c r="Y31" s="114">
        <v>3</v>
      </c>
      <c r="Z31" s="119">
        <v>2</v>
      </c>
      <c r="AA31" s="43">
        <f t="shared" si="18"/>
        <v>22</v>
      </c>
      <c r="AB31" s="43">
        <f t="shared" si="19"/>
        <v>14</v>
      </c>
      <c r="AC31" s="6"/>
    </row>
    <row r="32" spans="1:33" ht="15.75">
      <c r="A32" s="114">
        <v>30</v>
      </c>
      <c r="B32" s="6">
        <f t="shared" si="0"/>
        <v>682500</v>
      </c>
      <c r="C32" s="107">
        <f t="shared" si="1"/>
        <v>9</v>
      </c>
      <c r="D32" s="102">
        <v>168</v>
      </c>
      <c r="E32" s="117">
        <v>10</v>
      </c>
      <c r="F32" s="43">
        <f t="shared" si="6"/>
        <v>0</v>
      </c>
      <c r="G32" s="117">
        <v>20</v>
      </c>
      <c r="H32" s="43">
        <f t="shared" si="7"/>
        <v>5</v>
      </c>
      <c r="I32" s="117">
        <v>7</v>
      </c>
      <c r="J32" s="107">
        <f t="shared" si="2"/>
        <v>-2</v>
      </c>
      <c r="K32" s="117">
        <v>14</v>
      </c>
      <c r="L32" s="107">
        <f t="shared" si="3"/>
        <v>2</v>
      </c>
      <c r="M32" s="117">
        <v>20</v>
      </c>
      <c r="N32" s="107">
        <f t="shared" si="4"/>
        <v>5</v>
      </c>
      <c r="O32" s="117">
        <v>12</v>
      </c>
      <c r="P32" s="108">
        <f t="shared" si="5"/>
        <v>1</v>
      </c>
      <c r="Q32" s="43">
        <f t="shared" si="14"/>
        <v>9</v>
      </c>
      <c r="R32" s="43">
        <f t="shared" si="15"/>
        <v>14</v>
      </c>
      <c r="S32" s="43">
        <f t="shared" si="16"/>
        <v>14</v>
      </c>
      <c r="T32" s="43">
        <f t="shared" si="17"/>
        <v>15</v>
      </c>
      <c r="U32" s="118">
        <v>11</v>
      </c>
      <c r="V32" s="114">
        <v>4</v>
      </c>
      <c r="W32" s="114">
        <v>3</v>
      </c>
      <c r="X32" s="114">
        <v>3</v>
      </c>
      <c r="Y32" s="114">
        <v>3</v>
      </c>
      <c r="Z32" s="119">
        <v>2</v>
      </c>
      <c r="AA32" s="43">
        <f t="shared" si="18"/>
        <v>22</v>
      </c>
      <c r="AB32" s="43">
        <f t="shared" si="19"/>
        <v>14</v>
      </c>
      <c r="AC32" s="6"/>
    </row>
    <row r="33" spans="1:2" ht="15.75">
      <c r="A33" s="43"/>
      <c r="B33" s="43"/>
    </row>
    <row r="34" spans="1:2" ht="15.75">
      <c r="A34" s="43"/>
      <c r="B34" s="43"/>
    </row>
    <row r="35" spans="1:2" ht="15.75">
      <c r="A35" s="43"/>
      <c r="B35" s="43"/>
    </row>
    <row r="36" spans="1:2" ht="15.75">
      <c r="A36" s="43"/>
      <c r="B36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1" topLeftCell="A2" activePane="bottomLeft" state="frozenSplit"/>
      <selection pane="bottomLeft" activeCell="E9" sqref="E9"/>
    </sheetView>
  </sheetViews>
  <sheetFormatPr defaultRowHeight="15"/>
  <cols>
    <col min="1" max="1" width="10.42578125" bestFit="1" customWidth="1"/>
    <col min="2" max="2" width="31.7109375" bestFit="1" customWidth="1"/>
    <col min="3" max="3" width="8.140625" bestFit="1" customWidth="1"/>
  </cols>
  <sheetData>
    <row r="1" spans="1:3">
      <c r="A1" s="6" t="s">
        <v>195</v>
      </c>
      <c r="B1" s="6" t="s">
        <v>196</v>
      </c>
      <c r="C1" s="6" t="s">
        <v>194</v>
      </c>
    </row>
    <row r="2" spans="1:3">
      <c r="A2" s="99">
        <v>43943</v>
      </c>
      <c r="B2" s="6" t="s">
        <v>197</v>
      </c>
      <c r="C2">
        <v>160000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1" topLeftCell="A2" activePane="bottomLeft" state="frozenSplit"/>
      <selection pane="bottomLeft" activeCell="D7" sqref="D7"/>
    </sheetView>
  </sheetViews>
  <sheetFormatPr defaultColWidth="9.140625" defaultRowHeight="15.75"/>
  <cols>
    <col min="1" max="1" width="10.85546875" style="91" bestFit="1" customWidth="1"/>
    <col min="2" max="2" width="11.7109375" style="104" bestFit="1" customWidth="1"/>
    <col min="3" max="3" width="7" style="92" bestFit="1" customWidth="1"/>
    <col min="4" max="4" width="11.140625" style="91" bestFit="1" customWidth="1"/>
    <col min="5" max="5" width="37.28515625" style="91" bestFit="1" customWidth="1"/>
    <col min="6" max="6" width="20.140625" style="93" bestFit="1" customWidth="1"/>
    <col min="7" max="7" width="40.7109375" style="93" customWidth="1"/>
    <col min="8" max="16384" width="9.140625" style="91"/>
  </cols>
  <sheetData>
    <row r="1" spans="1:7">
      <c r="A1" s="96" t="s">
        <v>28</v>
      </c>
      <c r="B1" s="103" t="s">
        <v>30</v>
      </c>
      <c r="C1" s="97" t="s">
        <v>31</v>
      </c>
      <c r="D1" s="96" t="s">
        <v>29</v>
      </c>
      <c r="E1" s="96" t="s">
        <v>72</v>
      </c>
      <c r="F1" s="98" t="s">
        <v>73</v>
      </c>
      <c r="G1" s="98" t="s">
        <v>74</v>
      </c>
    </row>
    <row r="2" spans="1:7">
      <c r="A2" s="91" t="s">
        <v>81</v>
      </c>
      <c r="B2" s="104">
        <v>0.2</v>
      </c>
      <c r="C2" s="92">
        <v>50</v>
      </c>
      <c r="D2" s="91" t="s">
        <v>59</v>
      </c>
    </row>
    <row r="3" spans="1:7">
      <c r="A3" s="91" t="s">
        <v>84</v>
      </c>
      <c r="B3" s="104">
        <v>4</v>
      </c>
      <c r="C3" s="92">
        <v>1</v>
      </c>
      <c r="D3" s="94" t="s">
        <v>193</v>
      </c>
      <c r="E3" s="91" t="s">
        <v>187</v>
      </c>
      <c r="G3" s="93" t="s">
        <v>190</v>
      </c>
    </row>
    <row r="4" spans="1:7">
      <c r="A4" s="91" t="s">
        <v>84</v>
      </c>
      <c r="B4" s="104">
        <v>10</v>
      </c>
      <c r="C4" s="92">
        <v>1</v>
      </c>
      <c r="D4" s="94" t="s">
        <v>188</v>
      </c>
      <c r="E4" s="91" t="s">
        <v>187</v>
      </c>
      <c r="G4" s="93" t="s">
        <v>86</v>
      </c>
    </row>
    <row r="5" spans="1:7">
      <c r="A5" s="91" t="s">
        <v>84</v>
      </c>
      <c r="B5" s="104">
        <v>4</v>
      </c>
      <c r="C5" s="92">
        <v>1</v>
      </c>
      <c r="D5" s="94" t="s">
        <v>191</v>
      </c>
      <c r="E5" s="91" t="s">
        <v>187</v>
      </c>
      <c r="G5" s="93" t="s">
        <v>190</v>
      </c>
    </row>
    <row r="6" spans="1:7">
      <c r="A6" s="91" t="s">
        <v>84</v>
      </c>
      <c r="B6" s="104">
        <v>4</v>
      </c>
      <c r="C6" s="92">
        <v>1</v>
      </c>
      <c r="D6" s="94" t="s">
        <v>192</v>
      </c>
      <c r="E6" s="91" t="s">
        <v>187</v>
      </c>
      <c r="G6" s="93" t="s">
        <v>190</v>
      </c>
    </row>
    <row r="7" spans="1:7">
      <c r="A7" s="91" t="s">
        <v>84</v>
      </c>
      <c r="B7" s="104">
        <v>4</v>
      </c>
      <c r="C7" s="92">
        <v>1</v>
      </c>
      <c r="D7" s="94" t="s">
        <v>189</v>
      </c>
      <c r="E7" s="91" t="s">
        <v>187</v>
      </c>
      <c r="G7" s="93" t="s">
        <v>190</v>
      </c>
    </row>
    <row r="8" spans="1:7">
      <c r="A8" s="91" t="s">
        <v>85</v>
      </c>
      <c r="B8" s="104">
        <v>1</v>
      </c>
      <c r="C8" s="92">
        <v>50</v>
      </c>
      <c r="D8" s="91" t="s">
        <v>79</v>
      </c>
      <c r="E8" s="91" t="s">
        <v>80</v>
      </c>
    </row>
    <row r="9" spans="1:7">
      <c r="A9" s="91" t="s">
        <v>85</v>
      </c>
      <c r="B9" s="104">
        <v>100</v>
      </c>
      <c r="C9" s="92">
        <v>0</v>
      </c>
      <c r="D9" s="91" t="s">
        <v>79</v>
      </c>
      <c r="E9" s="91" t="s">
        <v>78</v>
      </c>
    </row>
    <row r="10" spans="1:7">
      <c r="A10" s="91" t="s">
        <v>85</v>
      </c>
      <c r="B10" s="104">
        <v>0.01</v>
      </c>
      <c r="C10" s="92">
        <v>15</v>
      </c>
      <c r="D10" s="91" t="s">
        <v>79</v>
      </c>
      <c r="E10" s="91" t="s">
        <v>77</v>
      </c>
    </row>
    <row r="11" spans="1:7">
      <c r="A11" s="91" t="s">
        <v>83</v>
      </c>
      <c r="B11" s="104">
        <v>150</v>
      </c>
      <c r="C11" s="92">
        <v>1</v>
      </c>
      <c r="D11" s="95" t="s">
        <v>71</v>
      </c>
      <c r="E11" s="91" t="s">
        <v>219</v>
      </c>
    </row>
    <row r="12" spans="1:7">
      <c r="A12" s="91" t="s">
        <v>83</v>
      </c>
      <c r="B12" s="104">
        <v>2</v>
      </c>
      <c r="C12" s="92">
        <v>1</v>
      </c>
      <c r="D12" s="91" t="s">
        <v>90</v>
      </c>
    </row>
    <row r="13" spans="1:7" ht="15" customHeight="1">
      <c r="A13" s="91" t="s">
        <v>82</v>
      </c>
      <c r="B13" s="104">
        <v>80</v>
      </c>
      <c r="C13" s="92">
        <v>1</v>
      </c>
      <c r="D13" s="95" t="s">
        <v>76</v>
      </c>
      <c r="E13" s="91" t="s">
        <v>75</v>
      </c>
      <c r="G13" s="93" t="s">
        <v>88</v>
      </c>
    </row>
    <row r="14" spans="1:7">
      <c r="A14" s="91" t="s">
        <v>82</v>
      </c>
      <c r="B14" s="104">
        <v>25</v>
      </c>
      <c r="C14" s="92">
        <v>1</v>
      </c>
      <c r="D14" s="95" t="s">
        <v>60</v>
      </c>
      <c r="E14" s="91" t="s">
        <v>89</v>
      </c>
      <c r="G14" s="93" t="s">
        <v>87</v>
      </c>
    </row>
  </sheetData>
  <sortState ref="A2:G129">
    <sortCondition ref="A2:A129"/>
    <sortCondition ref="D2:D129"/>
    <sortCondition ref="E2:E129"/>
  </sortState>
  <conditionalFormatting sqref="A5:G5 A8:G9 A11:G11 A15:G1048457">
    <cfRule type="expression" dxfId="7" priority="1">
      <formula>$A5&lt;&gt;$A6</formula>
    </cfRule>
  </conditionalFormatting>
  <conditionalFormatting sqref="A1048472:G1048576">
    <cfRule type="expression" dxfId="6" priority="3">
      <formula>#REF!&lt;&gt;#REF!</formula>
    </cfRule>
  </conditionalFormatting>
  <conditionalFormatting sqref="A3:G4">
    <cfRule type="expression" dxfId="5" priority="4">
      <formula>$A3&lt;&gt;$A5</formula>
    </cfRule>
  </conditionalFormatting>
  <conditionalFormatting sqref="A1:G2 A6:G7 A10:G10 A12:G14">
    <cfRule type="expression" dxfId="4" priority="33">
      <formula>$A1&lt;&gt;#REF!</formula>
    </cfRule>
  </conditionalFormatting>
  <conditionalFormatting sqref="A1048469:G1048471">
    <cfRule type="expression" dxfId="3" priority="45">
      <formula>#REF!&lt;&gt;#REF!</formula>
    </cfRule>
  </conditionalFormatting>
  <conditionalFormatting sqref="A1048469:G1048576">
    <cfRule type="expression" dxfId="2" priority="47">
      <formula>$A1048469&lt;&gt;#REF!</formula>
    </cfRule>
  </conditionalFormatting>
  <conditionalFormatting sqref="A1048458:G1048468">
    <cfRule type="expression" dxfId="1" priority="48">
      <formula>#REF!&lt;&gt;$A1</formula>
    </cfRule>
  </conditionalFormatting>
  <conditionalFormatting sqref="A1048458:G1048468">
    <cfRule type="expression" dxfId="0" priority="79">
      <formula>$A1048458&lt;&gt;$A1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General</vt:lpstr>
      <vt:lpstr>Upgrades</vt:lpstr>
      <vt:lpstr>Stats1</vt:lpstr>
      <vt:lpstr>Exp</vt:lpstr>
      <vt:lpstr>Inv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D&amp;D Thesa Leafwalker</dc:title>
  <dc:creator>Tim Cook</dc:creator>
  <cp:lastModifiedBy>Tim Cook</cp:lastModifiedBy>
  <dcterms:created xsi:type="dcterms:W3CDTF">2019-07-13T16:47:40Z</dcterms:created>
  <dcterms:modified xsi:type="dcterms:W3CDTF">2021-02-24T14:27:16Z</dcterms:modified>
</cp:coreProperties>
</file>