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ropbox\2020 FIRE\Workshop materials\"/>
    </mc:Choice>
  </mc:AlternateContent>
  <xr:revisionPtr revIDLastSave="0" documentId="13_ncr:1_{DB23AF90-C7C0-47CE-BE74-7562CACD623B}" xr6:coauthVersionLast="44" xr6:coauthVersionMax="44" xr10:uidLastSave="{00000000-0000-0000-0000-000000000000}"/>
  <bookViews>
    <workbookView xWindow="-120" yWindow="-120" windowWidth="29040" windowHeight="15840" xr2:uid="{929065DF-CBC4-447C-A076-19FD7A5AC62E}"/>
  </bookViews>
  <sheets>
    <sheet name="Ny" sheetId="2" r:id="rId1"/>
    <sheet name="Gamm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" i="2" l="1"/>
  <c r="D22" i="2" l="1"/>
  <c r="L10" i="2" l="1"/>
  <c r="J10" i="2"/>
  <c r="F9" i="2"/>
  <c r="F18" i="2" s="1"/>
  <c r="E18" i="2"/>
  <c r="E22" i="2" s="1"/>
  <c r="E13" i="2"/>
  <c r="F13" i="2"/>
  <c r="G13" i="2"/>
  <c r="G18" i="2" s="1"/>
  <c r="G24" i="2" s="1"/>
  <c r="H13" i="2"/>
  <c r="H18" i="2" s="1"/>
  <c r="I13" i="2"/>
  <c r="I18" i="2" s="1"/>
  <c r="J13" i="2"/>
  <c r="J18" i="2" s="1"/>
  <c r="J19" i="2" s="1"/>
  <c r="K13" i="2"/>
  <c r="K18" i="2" s="1"/>
  <c r="L13" i="2"/>
  <c r="L18" i="2" s="1"/>
  <c r="M13" i="2"/>
  <c r="M18" i="2" s="1"/>
  <c r="M19" i="2" s="1"/>
  <c r="N13" i="2"/>
  <c r="N18" i="2" s="1"/>
  <c r="N19" i="2" s="1"/>
  <c r="O13" i="2"/>
  <c r="O18" i="2" s="1"/>
  <c r="P13" i="2"/>
  <c r="P18" i="2" s="1"/>
  <c r="D13" i="2"/>
  <c r="D18" i="2" s="1"/>
  <c r="C13" i="2"/>
  <c r="C18" i="2" s="1"/>
  <c r="K87" i="1"/>
  <c r="K86" i="1"/>
  <c r="K85" i="1"/>
  <c r="K79" i="1"/>
  <c r="K83" i="1"/>
  <c r="K82" i="1"/>
  <c r="K81" i="1"/>
  <c r="K77" i="1"/>
  <c r="C96" i="1"/>
  <c r="D94" i="1"/>
  <c r="C94" i="1" s="1"/>
  <c r="G75" i="1"/>
  <c r="G77" i="1" s="1"/>
  <c r="G87" i="1" s="1"/>
  <c r="G83" i="1"/>
  <c r="G82" i="1"/>
  <c r="G81" i="1"/>
  <c r="C83" i="1"/>
  <c r="C82" i="1"/>
  <c r="C81" i="1"/>
  <c r="C77" i="1"/>
  <c r="C87" i="1" s="1"/>
  <c r="S57" i="1"/>
  <c r="O57" i="1"/>
  <c r="K57" i="1"/>
  <c r="S63" i="1"/>
  <c r="S67" i="1" s="1"/>
  <c r="S62" i="1"/>
  <c r="S66" i="1" s="1"/>
  <c r="S61" i="1"/>
  <c r="S65" i="1" s="1"/>
  <c r="O63" i="1"/>
  <c r="O62" i="1"/>
  <c r="O61" i="1"/>
  <c r="K63" i="1"/>
  <c r="K62" i="1"/>
  <c r="K61" i="1"/>
  <c r="C23" i="2" l="1"/>
  <c r="C24" i="2"/>
  <c r="C22" i="2"/>
  <c r="C19" i="2"/>
  <c r="O22" i="2"/>
  <c r="O23" i="2"/>
  <c r="O19" i="2"/>
  <c r="O24" i="2"/>
  <c r="D23" i="2"/>
  <c r="D26" i="2"/>
  <c r="D19" i="2"/>
  <c r="D24" i="2"/>
  <c r="P19" i="2"/>
  <c r="P24" i="2"/>
  <c r="E24" i="2"/>
  <c r="E26" i="2" s="1"/>
  <c r="E19" i="2"/>
  <c r="E23" i="2"/>
  <c r="N23" i="2"/>
  <c r="N24" i="2"/>
  <c r="M24" i="2"/>
  <c r="M23" i="2"/>
  <c r="M22" i="2"/>
  <c r="L19" i="2"/>
  <c r="L24" i="2"/>
  <c r="L23" i="2"/>
  <c r="L22" i="2"/>
  <c r="K19" i="2"/>
  <c r="K22" i="2"/>
  <c r="K23" i="2"/>
  <c r="K24" i="2"/>
  <c r="J22" i="2"/>
  <c r="J26" i="2" s="1"/>
  <c r="J24" i="2"/>
  <c r="J23" i="2"/>
  <c r="I19" i="2"/>
  <c r="I22" i="2"/>
  <c r="I24" i="2"/>
  <c r="I23" i="2"/>
  <c r="H23" i="2"/>
  <c r="H19" i="2"/>
  <c r="H24" i="2"/>
  <c r="G23" i="2"/>
  <c r="G19" i="2"/>
  <c r="G22" i="2"/>
  <c r="F22" i="2"/>
  <c r="F23" i="2"/>
  <c r="F24" i="2"/>
  <c r="P22" i="2"/>
  <c r="P26" i="2" s="1"/>
  <c r="H22" i="2"/>
  <c r="F19" i="2"/>
  <c r="P23" i="2"/>
  <c r="N22" i="2"/>
  <c r="G85" i="1"/>
  <c r="G89" i="1" s="1"/>
  <c r="G86" i="1"/>
  <c r="C86" i="1"/>
  <c r="C85" i="1"/>
  <c r="C89" i="1" s="1"/>
  <c r="O66" i="1"/>
  <c r="O65" i="1"/>
  <c r="O69" i="1" s="1"/>
  <c r="O67" i="1"/>
  <c r="K66" i="1"/>
  <c r="S69" i="1"/>
  <c r="K67" i="1"/>
  <c r="K65" i="1"/>
  <c r="K69" i="1" s="1"/>
  <c r="G54" i="1"/>
  <c r="G63" i="1"/>
  <c r="G62" i="1"/>
  <c r="G61" i="1"/>
  <c r="G57" i="1"/>
  <c r="C57" i="1"/>
  <c r="C63" i="1"/>
  <c r="C62" i="1"/>
  <c r="C61" i="1"/>
  <c r="C35" i="1"/>
  <c r="C36" i="1" s="1"/>
  <c r="C43" i="1"/>
  <c r="C42" i="1"/>
  <c r="C41" i="1"/>
  <c r="G35" i="1"/>
  <c r="G36" i="1" s="1"/>
  <c r="G43" i="1"/>
  <c r="G42" i="1"/>
  <c r="G41" i="1"/>
  <c r="O26" i="2" l="1"/>
  <c r="K26" i="2"/>
  <c r="F26" i="2"/>
  <c r="C26" i="2"/>
  <c r="N26" i="2"/>
  <c r="M26" i="2"/>
  <c r="L26" i="2"/>
  <c r="I26" i="2"/>
  <c r="H26" i="2"/>
  <c r="G26" i="2"/>
  <c r="K89" i="1"/>
  <c r="G66" i="1"/>
  <c r="G65" i="1"/>
  <c r="C65" i="1"/>
  <c r="C66" i="1"/>
  <c r="C67" i="1"/>
  <c r="C46" i="1"/>
  <c r="C45" i="1"/>
  <c r="C49" i="1" s="1"/>
  <c r="C47" i="1"/>
  <c r="G46" i="1"/>
  <c r="G47" i="1"/>
  <c r="G45" i="1"/>
  <c r="G69" i="1" l="1"/>
  <c r="C69" i="1"/>
  <c r="G49" i="1"/>
  <c r="K25" i="1" l="1"/>
  <c r="O25" i="1"/>
  <c r="K21" i="1"/>
  <c r="K23" i="1"/>
  <c r="O23" i="1"/>
  <c r="K11" i="1"/>
  <c r="S22" i="1"/>
  <c r="S19" i="1"/>
  <c r="S23" i="1" s="1"/>
  <c r="S18" i="1"/>
  <c r="S17" i="1"/>
  <c r="S15" i="1"/>
  <c r="S13" i="1"/>
  <c r="S11" i="1"/>
  <c r="O19" i="1"/>
  <c r="O18" i="1"/>
  <c r="O17" i="1"/>
  <c r="O15" i="1"/>
  <c r="O13" i="1"/>
  <c r="O11" i="1"/>
  <c r="K19" i="1"/>
  <c r="K18" i="1"/>
  <c r="K22" i="1" s="1"/>
  <c r="K17" i="1"/>
  <c r="K15" i="1"/>
  <c r="K13" i="1"/>
  <c r="G19" i="1"/>
  <c r="G18" i="1"/>
  <c r="G17" i="1"/>
  <c r="C19" i="1"/>
  <c r="C18" i="1"/>
  <c r="C17" i="1"/>
  <c r="G15" i="1"/>
  <c r="G13" i="1"/>
  <c r="G11" i="1"/>
  <c r="G21" i="1" s="1"/>
  <c r="C15" i="1"/>
  <c r="C13" i="1"/>
  <c r="C11" i="1"/>
  <c r="S21" i="1" l="1"/>
  <c r="S25" i="1" s="1"/>
  <c r="O21" i="1"/>
  <c r="O22" i="1"/>
  <c r="G22" i="1"/>
  <c r="G25" i="1" s="1"/>
  <c r="G23" i="1"/>
  <c r="C23" i="1"/>
  <c r="C22" i="1"/>
  <c r="C25" i="1" s="1"/>
  <c r="C21" i="1"/>
</calcChain>
</file>

<file path=xl/sharedStrings.xml><?xml version="1.0" encoding="utf-8"?>
<sst xmlns="http://schemas.openxmlformats.org/spreadsheetml/2006/main" count="408" uniqueCount="86">
  <si>
    <t>Teknologi</t>
  </si>
  <si>
    <t>Service</t>
  </si>
  <si>
    <t>euro to dkk</t>
  </si>
  <si>
    <t>M€/MW</t>
  </si>
  <si>
    <t>$ to dkk</t>
  </si>
  <si>
    <t xml:space="preserve"> $/kW/year</t>
  </si>
  <si>
    <t xml:space="preserve"> dkk/MW/year</t>
  </si>
  <si>
    <t>mFRR</t>
  </si>
  <si>
    <t>kr/MW/year</t>
  </si>
  <si>
    <t>aFRR</t>
  </si>
  <si>
    <t xml:space="preserve">FCR </t>
  </si>
  <si>
    <t>LCOS mFRR</t>
  </si>
  <si>
    <t>LCOS aFRR</t>
  </si>
  <si>
    <t>LCOS FCR</t>
  </si>
  <si>
    <t>Værdi</t>
  </si>
  <si>
    <t>Største</t>
  </si>
  <si>
    <t xml:space="preserve">Service priser </t>
  </si>
  <si>
    <t>mFRR (tertier)</t>
  </si>
  <si>
    <t>aFRR (secundær)</t>
  </si>
  <si>
    <t>FCR (primær)</t>
  </si>
  <si>
    <t>Referencer</t>
  </si>
  <si>
    <t>[1]</t>
  </si>
  <si>
    <t>(værdier for år 2025) https://www.sciencedirect.com/science/article/pii/S254243511830583X</t>
  </si>
  <si>
    <t>VRF batteri [1]</t>
  </si>
  <si>
    <t>Li-Ion batteri [1]</t>
  </si>
  <si>
    <t>Fly-wheel [1]</t>
  </si>
  <si>
    <t>CAES [1]</t>
  </si>
  <si>
    <t>Hydrogen [1]</t>
  </si>
  <si>
    <t>Vindmøller [2]</t>
  </si>
  <si>
    <t>LCOE</t>
  </si>
  <si>
    <t>kr/MWh</t>
  </si>
  <si>
    <t>kr/MW/yr</t>
  </si>
  <si>
    <t>[2]</t>
  </si>
  <si>
    <t>https://ens.dk/en/our-responsibilities/global-cooperation/levelized-cost-energy-calculator</t>
  </si>
  <si>
    <t>timer</t>
  </si>
  <si>
    <t>Aktive timer</t>
  </si>
  <si>
    <t>Solceller [2]</t>
  </si>
  <si>
    <t>CAPEX</t>
  </si>
  <si>
    <t>Lifetime</t>
  </si>
  <si>
    <t>years</t>
  </si>
  <si>
    <t>kr/MW/år</t>
  </si>
  <si>
    <t>OPEX (fixed)</t>
  </si>
  <si>
    <t>€/MW</t>
  </si>
  <si>
    <t>[3]</t>
  </si>
  <si>
    <t>Energistyrelsen teknologi katalog for generende enheder -   https://ens.dk/sites/ens.dk/files/Statistik/technology_data_catalogue_for_el_and_dh_-_0007_1.pdf</t>
  </si>
  <si>
    <t>Elkedel [3]</t>
  </si>
  <si>
    <t>Varmepumpe [3]</t>
  </si>
  <si>
    <t xml:space="preserve">Alakline Electrolyser </t>
  </si>
  <si>
    <t>PEMEC electrolyser</t>
  </si>
  <si>
    <t>Solid oxide electrolyser</t>
  </si>
  <si>
    <t>CAPEX [3]</t>
  </si>
  <si>
    <t>OPEX (fixed)[3]</t>
  </si>
  <si>
    <t>Li-Ion [3]</t>
  </si>
  <si>
    <t>VRF [3]</t>
  </si>
  <si>
    <t xml:space="preserve">Opperative timer </t>
  </si>
  <si>
    <t>Levetid</t>
  </si>
  <si>
    <t>FCR</t>
  </si>
  <si>
    <t>Vindmøller (Onshore)</t>
  </si>
  <si>
    <t>år</t>
  </si>
  <si>
    <t>0/1</t>
  </si>
  <si>
    <t>-</t>
  </si>
  <si>
    <t>Rente</t>
  </si>
  <si>
    <t>Euro til dkk</t>
  </si>
  <si>
    <t>Solceller</t>
  </si>
  <si>
    <t>annuity factor</t>
  </si>
  <si>
    <t>Time korrigeret</t>
  </si>
  <si>
    <t xml:space="preserve">Fortjeneste mFRR </t>
  </si>
  <si>
    <t xml:space="preserve">Fortjeneste aFRR </t>
  </si>
  <si>
    <t xml:space="preserve">Fortjeneste FCR </t>
  </si>
  <si>
    <t>Elkedel</t>
  </si>
  <si>
    <t>Varmepumpe</t>
  </si>
  <si>
    <t>Alkaline electrolyser</t>
  </si>
  <si>
    <t>PEMC Electrolyser</t>
  </si>
  <si>
    <t>Methanol from power</t>
  </si>
  <si>
    <t>Li-Ion Batteri</t>
  </si>
  <si>
    <t>VRF batteri</t>
  </si>
  <si>
    <t>CAES</t>
  </si>
  <si>
    <t>Flywheel</t>
  </si>
  <si>
    <t>V2G</t>
  </si>
  <si>
    <t>aFRR (sekundær)</t>
  </si>
  <si>
    <t xml:space="preserve">Data parathed </t>
  </si>
  <si>
    <t>Årlige omkostninger</t>
  </si>
  <si>
    <t>Hydrogen lager [1]</t>
  </si>
  <si>
    <t>Referencer:</t>
  </si>
  <si>
    <t>https://ease-storage.eu/wp-content/uploads/2016/03/EASE_TD_Hydrogen.pdf</t>
  </si>
  <si>
    <t>Alle værdier er,hvis ikke andet er specificeret, taget fra energisytrelsen teknologikataloger. Værdier for år 2030 er brugt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</si>
</sst>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kr.&quot;_-;\-* #,##0.00\ &quot;kr.&quot;_-;_-* &quot;-&quot;??\ &quot;kr.&quot;_-;_-@_-"/>
    <numFmt numFmtId="43" formatCode="_-* #,##0.00_-;\-* #,##0.00_-;_-* &quot;-&quot;??_-;_-@_-"/>
    <numFmt numFmtId="164" formatCode="_-* #,##0_-;\-* #,##0_-;_-* &quot;-&quot;??_-;_-@_-"/>
    <numFmt numFmtId="165" formatCode="_-* #,##0.00\ _k_r_._-;\-* #,##0.00\ _k_r_._-;_-* &quot;-&quot;??\ _k_r_._-;_-@_-"/>
    <numFmt numFmtId="166" formatCode="_-* #,##0\ _k_r_._-;\-* #,##0\ _k_r_._-;_-* &quot;-&quot;??\ _k_r_._-;_-@_-"/>
    <numFmt numFmtId="167" formatCode="0.000"/>
    <numFmt numFmtId="168" formatCode="_-* #,##0.00\ _k_r_._-;\-* #,##0.00\ _k_r_._-;_-* &quot;-&quot;\ _k_r_.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2" borderId="1" xfId="0" applyFill="1" applyBorder="1"/>
    <xf numFmtId="44" fontId="0" fillId="0" borderId="0" xfId="2" applyFont="1"/>
    <xf numFmtId="164" fontId="0" fillId="2" borderId="0" xfId="1" applyNumberFormat="1" applyFont="1" applyFill="1"/>
    <xf numFmtId="0" fontId="0" fillId="0" borderId="0" xfId="0" applyBorder="1"/>
    <xf numFmtId="166" fontId="0" fillId="2" borderId="0" xfId="0" applyNumberFormat="1" applyFill="1"/>
    <xf numFmtId="166" fontId="0" fillId="2" borderId="0" xfId="2" applyNumberFormat="1" applyFont="1" applyFill="1" applyBorder="1"/>
    <xf numFmtId="166" fontId="0" fillId="2" borderId="0" xfId="2" applyNumberFormat="1" applyFont="1" applyFill="1" applyBorder="1" applyAlignment="1"/>
    <xf numFmtId="0" fontId="0" fillId="2" borderId="0" xfId="0" applyFill="1" applyBorder="1"/>
    <xf numFmtId="164" fontId="0" fillId="2" borderId="0" xfId="1" applyNumberFormat="1" applyFont="1" applyFill="1" applyBorder="1"/>
    <xf numFmtId="166" fontId="0" fillId="2" borderId="1" xfId="2" applyNumberFormat="1" applyFont="1" applyFill="1" applyBorder="1" applyAlignment="1"/>
    <xf numFmtId="166" fontId="0" fillId="0" borderId="1" xfId="0" applyNumberFormat="1" applyBorder="1"/>
    <xf numFmtId="164" fontId="0" fillId="2" borderId="1" xfId="1" applyNumberFormat="1" applyFont="1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3" fontId="2" fillId="0" borderId="0" xfId="0" applyNumberFormat="1" applyFont="1" applyBorder="1" applyAlignment="1">
      <alignment horizontal="right" vertical="center" wrapText="1"/>
    </xf>
    <xf numFmtId="0" fontId="0" fillId="2" borderId="6" xfId="0" applyFill="1" applyBorder="1"/>
    <xf numFmtId="0" fontId="0" fillId="0" borderId="10" xfId="0" applyBorder="1"/>
    <xf numFmtId="43" fontId="0" fillId="2" borderId="0" xfId="1" applyNumberFormat="1" applyFont="1" applyFill="1"/>
    <xf numFmtId="0" fontId="3" fillId="0" borderId="0" xfId="0" applyFont="1"/>
    <xf numFmtId="165" fontId="0" fillId="2" borderId="0" xfId="0" applyNumberFormat="1" applyFill="1"/>
    <xf numFmtId="0" fontId="0" fillId="3" borderId="0" xfId="0" applyFill="1"/>
    <xf numFmtId="0" fontId="0" fillId="4" borderId="0" xfId="0" applyFill="1"/>
    <xf numFmtId="164" fontId="0" fillId="4" borderId="0" xfId="1" applyNumberFormat="1" applyFont="1" applyFill="1"/>
    <xf numFmtId="0" fontId="0" fillId="0" borderId="1" xfId="0" applyBorder="1"/>
    <xf numFmtId="0" fontId="0" fillId="0" borderId="0" xfId="0" applyFill="1"/>
    <xf numFmtId="167" fontId="0" fillId="2" borderId="0" xfId="0" applyNumberFormat="1" applyFill="1"/>
    <xf numFmtId="168" fontId="0" fillId="4" borderId="0" xfId="2" applyNumberFormat="1" applyFont="1" applyFill="1"/>
    <xf numFmtId="166" fontId="0" fillId="2" borderId="0" xfId="2" applyNumberFormat="1" applyFont="1" applyFill="1"/>
    <xf numFmtId="166" fontId="0" fillId="2" borderId="1" xfId="0" applyNumberFormat="1" applyFill="1" applyBorder="1"/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2" borderId="1" xfId="2" applyNumberFormat="1" applyFont="1" applyFill="1" applyBorder="1" applyAlignment="1">
      <alignment horizontal="center"/>
    </xf>
    <xf numFmtId="165" fontId="0" fillId="2" borderId="1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Ny!$C$8</c:f>
              <c:strCache>
                <c:ptCount val="1"/>
                <c:pt idx="0">
                  <c:v>Vindmøller (Onshore)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Ny!$C$28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Ny!$C$26</c:f>
              <c:numCache>
                <c:formatCode>_-* #,##0\ _k_r_._-;\-* #,##0\ _k_r_._-;_-* "-"??\ _k_r_._-;_-@_-</c:formatCode>
                <c:ptCount val="1"/>
                <c:pt idx="0">
                  <c:v>926265.50057375687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C7-4878-8068-3D56144FF807}"/>
            </c:ext>
          </c:extLst>
        </c:ser>
        <c:ser>
          <c:idx val="1"/>
          <c:order val="1"/>
          <c:tx>
            <c:strRef>
              <c:f>Ny!$D$8</c:f>
              <c:strCache>
                <c:ptCount val="1"/>
                <c:pt idx="0">
                  <c:v>Solceller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Ny!$D$28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Ny!$D$26</c:f>
              <c:numCache>
                <c:formatCode>_-* #,##0\ _k_r_._-;\-* #,##0\ _k_r_._-;_-* "-"??\ _k_r_._-;_-@_-</c:formatCode>
                <c:ptCount val="1"/>
                <c:pt idx="0">
                  <c:v>718220.94454051717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C7-4878-8068-3D56144FF807}"/>
            </c:ext>
          </c:extLst>
        </c:ser>
        <c:ser>
          <c:idx val="2"/>
          <c:order val="2"/>
          <c:tx>
            <c:strRef>
              <c:f>Ny!$E$8</c:f>
              <c:strCache>
                <c:ptCount val="1"/>
                <c:pt idx="0">
                  <c:v>Elkedel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Ny!$E$28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Ny!$E$26</c:f>
              <c:numCache>
                <c:formatCode>_-* #,##0\ _k_r_._-;\-* #,##0\ _k_r_._-;_-* "-"??\ _k_r_._-;_-@_-</c:formatCode>
                <c:ptCount val="1"/>
                <c:pt idx="0">
                  <c:v>1951046.4553898524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C7-4878-8068-3D56144FF807}"/>
            </c:ext>
          </c:extLst>
        </c:ser>
        <c:ser>
          <c:idx val="3"/>
          <c:order val="3"/>
          <c:tx>
            <c:strRef>
              <c:f>Ny!$F$8</c:f>
              <c:strCache>
                <c:ptCount val="1"/>
                <c:pt idx="0">
                  <c:v>Varmepumpe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Ny!$F$28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Ny!$F$26</c:f>
              <c:numCache>
                <c:formatCode>_-* #,##0\ _k_r_._-;\-* #,##0\ _k_r_._-;_-* "-"??\ _k_r_._-;_-@_-</c:formatCode>
                <c:ptCount val="1"/>
                <c:pt idx="0">
                  <c:v>25260.336429458854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C7-4878-8068-3D56144FF807}"/>
            </c:ext>
          </c:extLst>
        </c:ser>
        <c:ser>
          <c:idx val="4"/>
          <c:order val="4"/>
          <c:tx>
            <c:strRef>
              <c:f>Ny!$G$8</c:f>
              <c:strCache>
                <c:ptCount val="1"/>
                <c:pt idx="0">
                  <c:v>Alkaline electrolyser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Ny!$G$28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Ny!$G$26</c:f>
              <c:numCache>
                <c:formatCode>_-* #,##0\ _k_r_._-;\-* #,##0\ _k_r_._-;_-* "-"??\ _k_r_._-;_-@_-</c:formatCode>
                <c:ptCount val="1"/>
                <c:pt idx="0">
                  <c:v>1514420.6535058748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C7-4878-8068-3D56144FF807}"/>
            </c:ext>
          </c:extLst>
        </c:ser>
        <c:ser>
          <c:idx val="5"/>
          <c:order val="5"/>
          <c:tx>
            <c:strRef>
              <c:f>Ny!$H$8</c:f>
              <c:strCache>
                <c:ptCount val="1"/>
                <c:pt idx="0">
                  <c:v>PEMC Electrolyser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Ny!$H$28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Ny!$H$26</c:f>
              <c:numCache>
                <c:formatCode>_-* #,##0\ _k_r_._-;\-* #,##0\ _k_r_._-;_-* "-"??\ _k_r_._-;_-@_-</c:formatCode>
                <c:ptCount val="1"/>
                <c:pt idx="0">
                  <c:v>1471666.1674609545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C7-4878-8068-3D56144FF807}"/>
            </c:ext>
          </c:extLst>
        </c:ser>
        <c:ser>
          <c:idx val="6"/>
          <c:order val="6"/>
          <c:tx>
            <c:strRef>
              <c:f>Ny!$I$8</c:f>
              <c:strCache>
                <c:ptCount val="1"/>
                <c:pt idx="0">
                  <c:v>Solid oxide electrolyser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Ny!$I$28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Ny!$I$26</c:f>
              <c:numCache>
                <c:formatCode>_-* #,##0\ _k_r_._-;\-* #,##0\ _k_r_._-;_-* "-"??\ _k_r_._-;_-@_-</c:formatCode>
                <c:ptCount val="1"/>
                <c:pt idx="0">
                  <c:v>1561666.1674609545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C7-4878-8068-3D56144FF807}"/>
            </c:ext>
          </c:extLst>
        </c:ser>
        <c:ser>
          <c:idx val="7"/>
          <c:order val="7"/>
          <c:tx>
            <c:strRef>
              <c:f>Ny!$J$8</c:f>
              <c:strCache>
                <c:ptCount val="1"/>
                <c:pt idx="0">
                  <c:v>Methanol from power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Ny!$J$28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Ny!$J$26</c:f>
              <c:numCache>
                <c:formatCode>_-* #,##0\ _k_r_._-;\-* #,##0\ _k_r_._-;_-* "-"??\ _k_r_._-;_-@_-</c:formatCode>
                <c:ptCount val="1"/>
                <c:pt idx="0">
                  <c:v>-1706890.0599042117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0C7-4878-8068-3D56144FF807}"/>
            </c:ext>
          </c:extLst>
        </c:ser>
        <c:ser>
          <c:idx val="8"/>
          <c:order val="8"/>
          <c:tx>
            <c:strRef>
              <c:f>Ny!$K$8</c:f>
              <c:strCache>
                <c:ptCount val="1"/>
                <c:pt idx="0">
                  <c:v>Li-Ion Batteri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Ny!$K$28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Ny!$K$26</c:f>
              <c:numCache>
                <c:formatCode>_-* #,##0\ _k_r_._-;\-* #,##0\ _k_r_._-;_-* "-"??\ _k_r_._-;_-@_-</c:formatCode>
                <c:ptCount val="1"/>
                <c:pt idx="0">
                  <c:v>1701442.5875414701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0C7-4878-8068-3D56144FF807}"/>
            </c:ext>
          </c:extLst>
        </c:ser>
        <c:ser>
          <c:idx val="9"/>
          <c:order val="9"/>
          <c:tx>
            <c:strRef>
              <c:f>Ny!$L$8</c:f>
              <c:strCache>
                <c:ptCount val="1"/>
                <c:pt idx="0">
                  <c:v>VRF batteri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Ny!$L$28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Ny!$L$26</c:f>
              <c:numCache>
                <c:formatCode>_-* #,##0\ _k_r_._-;\-* #,##0\ _k_r_._-;_-* "-"??\ _k_r_._-;_-@_-</c:formatCode>
                <c:ptCount val="1"/>
                <c:pt idx="0">
                  <c:v>1752192.9053873494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C7-4878-8068-3D56144FF807}"/>
            </c:ext>
          </c:extLst>
        </c:ser>
        <c:ser>
          <c:idx val="10"/>
          <c:order val="10"/>
          <c:tx>
            <c:strRef>
              <c:f>Ny!$M$8</c:f>
              <c:strCache>
                <c:ptCount val="1"/>
                <c:pt idx="0">
                  <c:v>CAES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Ny!$M$28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Ny!$M$26</c:f>
              <c:numCache>
                <c:formatCode>_-* #,##0\ _k_r_._-;\-* #,##0\ _k_r_._-;_-* "-"??\ _k_r_._-;_-@_-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0C7-4878-8068-3D56144FF807}"/>
            </c:ext>
          </c:extLst>
        </c:ser>
        <c:ser>
          <c:idx val="11"/>
          <c:order val="11"/>
          <c:tx>
            <c:strRef>
              <c:f>Ny!$N$8</c:f>
              <c:strCache>
                <c:ptCount val="1"/>
                <c:pt idx="0">
                  <c:v>Flywheel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Ny!$N$28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Ny!$N$26</c:f>
              <c:numCache>
                <c:formatCode>_-* #,##0\ _k_r_._-;\-* #,##0\ _k_r_._-;_-* "-"??\ _k_r_._-;_-@_-</c:formatCode>
                <c:ptCount val="1"/>
                <c:pt idx="0">
                  <c:v>1833796.875926676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0C7-4878-8068-3D56144FF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164272"/>
        <c:axId val="534273488"/>
      </c:scatterChart>
      <c:valAx>
        <c:axId val="514164272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4273488"/>
        <c:crosses val="autoZero"/>
        <c:crossBetween val="midCat"/>
        <c:majorUnit val="2"/>
        <c:minorUnit val="1"/>
      </c:valAx>
      <c:valAx>
        <c:axId val="53427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k_r_._-;\-* #,##0\ _k_r_._-;_-* &quot;-&quot;??\ _k_r_.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1416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34</xdr:row>
      <xdr:rowOff>100012</xdr:rowOff>
    </xdr:from>
    <xdr:to>
      <xdr:col>5</xdr:col>
      <xdr:colOff>390524</xdr:colOff>
      <xdr:row>59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7C8767-C066-4A84-9AD8-796FE9C1E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5125-606A-4056-A0D7-962F5A511AAA}">
  <dimension ref="A1:R32"/>
  <sheetViews>
    <sheetView tabSelected="1" workbookViewId="0">
      <selection activeCell="C26" sqref="C26"/>
    </sheetView>
  </sheetViews>
  <sheetFormatPr defaultRowHeight="15" x14ac:dyDescent="0.25"/>
  <cols>
    <col min="1" max="1" width="19.28515625" bestFit="1" customWidth="1"/>
    <col min="3" max="3" width="20.7109375" bestFit="1" customWidth="1"/>
    <col min="4" max="4" width="14.42578125" bestFit="1" customWidth="1"/>
    <col min="5" max="20" width="20.7109375" customWidth="1"/>
  </cols>
  <sheetData>
    <row r="1" spans="1:18" x14ac:dyDescent="0.25">
      <c r="F1" s="37" t="s">
        <v>16</v>
      </c>
      <c r="G1" s="38"/>
      <c r="H1" s="24"/>
    </row>
    <row r="2" spans="1:18" x14ac:dyDescent="0.25">
      <c r="C2" t="s">
        <v>61</v>
      </c>
      <c r="D2">
        <v>0.04</v>
      </c>
      <c r="F2" s="14" t="s">
        <v>17</v>
      </c>
      <c r="G2" s="8">
        <v>135680</v>
      </c>
      <c r="H2" s="23" t="s">
        <v>8</v>
      </c>
    </row>
    <row r="3" spans="1:18" x14ac:dyDescent="0.25">
      <c r="C3" t="s">
        <v>62</v>
      </c>
      <c r="D3">
        <v>7.5</v>
      </c>
      <c r="F3" s="14" t="s">
        <v>79</v>
      </c>
      <c r="G3" s="7">
        <v>36000</v>
      </c>
      <c r="H3" s="23" t="s">
        <v>8</v>
      </c>
    </row>
    <row r="4" spans="1:18" x14ac:dyDescent="0.25">
      <c r="F4" s="15" t="s">
        <v>19</v>
      </c>
      <c r="G4" s="11">
        <v>1984720</v>
      </c>
      <c r="H4" s="18" t="s">
        <v>8</v>
      </c>
    </row>
    <row r="7" spans="1:18" x14ac:dyDescent="0.25">
      <c r="A7" s="32"/>
      <c r="B7" s="32"/>
    </row>
    <row r="8" spans="1:18" s="28" customFormat="1" x14ac:dyDescent="0.25">
      <c r="C8" s="28" t="s">
        <v>57</v>
      </c>
      <c r="D8" s="28" t="s">
        <v>63</v>
      </c>
      <c r="E8" s="28" t="s">
        <v>69</v>
      </c>
      <c r="F8" s="28" t="s">
        <v>70</v>
      </c>
      <c r="G8" s="28" t="s">
        <v>71</v>
      </c>
      <c r="H8" s="28" t="s">
        <v>72</v>
      </c>
      <c r="I8" s="28" t="s">
        <v>49</v>
      </c>
      <c r="J8" s="28" t="s">
        <v>73</v>
      </c>
      <c r="K8" s="28" t="s">
        <v>74</v>
      </c>
      <c r="L8" s="28" t="s">
        <v>75</v>
      </c>
      <c r="M8" s="28" t="s">
        <v>76</v>
      </c>
      <c r="N8" s="28" t="s">
        <v>77</v>
      </c>
      <c r="O8" s="28" t="s">
        <v>82</v>
      </c>
      <c r="P8" s="28" t="s">
        <v>78</v>
      </c>
    </row>
    <row r="9" spans="1:18" x14ac:dyDescent="0.25">
      <c r="A9" s="28" t="s">
        <v>37</v>
      </c>
      <c r="B9" s="1" t="s">
        <v>3</v>
      </c>
      <c r="C9" s="34">
        <v>1.04</v>
      </c>
      <c r="D9" s="34">
        <v>0.3</v>
      </c>
      <c r="E9" s="34">
        <v>0.06</v>
      </c>
      <c r="F9" s="34">
        <f>0.66/3</f>
        <v>0.22</v>
      </c>
      <c r="G9" s="34">
        <v>0.55000000000000004</v>
      </c>
      <c r="H9" s="34">
        <v>0.6</v>
      </c>
      <c r="I9" s="34">
        <v>0.6</v>
      </c>
      <c r="J9" s="34">
        <v>3.01</v>
      </c>
      <c r="K9" s="34">
        <v>0.622</v>
      </c>
      <c r="L9" s="34">
        <v>0.35</v>
      </c>
      <c r="M9" s="34">
        <v>1</v>
      </c>
      <c r="N9" s="34">
        <v>0.33500000000000002</v>
      </c>
      <c r="O9" s="29">
        <v>2</v>
      </c>
      <c r="P9" s="29"/>
      <c r="Q9" s="29"/>
      <c r="R9" s="29"/>
    </row>
    <row r="10" spans="1:18" x14ac:dyDescent="0.25">
      <c r="A10" s="28" t="s">
        <v>41</v>
      </c>
      <c r="B10" s="1" t="s">
        <v>42</v>
      </c>
      <c r="C10" s="34">
        <v>12600</v>
      </c>
      <c r="D10" s="34">
        <v>5800</v>
      </c>
      <c r="E10" s="34">
        <v>1020</v>
      </c>
      <c r="F10" s="34">
        <v>2000</v>
      </c>
      <c r="G10" s="34">
        <v>27500</v>
      </c>
      <c r="H10" s="34">
        <v>30000</v>
      </c>
      <c r="I10" s="34">
        <v>18000</v>
      </c>
      <c r="J10" s="34">
        <f>0.053*10^6</f>
        <v>53000</v>
      </c>
      <c r="K10" s="34">
        <v>1800</v>
      </c>
      <c r="L10" s="34">
        <f>L9*0.015*1000000</f>
        <v>5249.9999999999991</v>
      </c>
      <c r="M10" s="34">
        <v>2460</v>
      </c>
      <c r="N10" s="34">
        <v>750</v>
      </c>
      <c r="O10" s="29">
        <f>O9*0.05*10^6</f>
        <v>100000</v>
      </c>
      <c r="P10" s="29"/>
      <c r="Q10" s="29"/>
      <c r="R10" s="29"/>
    </row>
    <row r="11" spans="1:18" x14ac:dyDescent="0.25">
      <c r="A11" s="28" t="s">
        <v>55</v>
      </c>
      <c r="B11" s="1" t="s">
        <v>58</v>
      </c>
      <c r="C11" s="29">
        <v>30</v>
      </c>
      <c r="D11" s="29">
        <v>25</v>
      </c>
      <c r="E11" s="30">
        <v>30</v>
      </c>
      <c r="F11" s="30">
        <v>30</v>
      </c>
      <c r="G11" s="30">
        <v>25</v>
      </c>
      <c r="H11" s="30">
        <v>25</v>
      </c>
      <c r="I11" s="30">
        <v>25</v>
      </c>
      <c r="J11" s="29">
        <v>25</v>
      </c>
      <c r="K11" s="30">
        <v>30</v>
      </c>
      <c r="L11" s="30">
        <v>20</v>
      </c>
      <c r="M11" s="29">
        <v>30</v>
      </c>
      <c r="N11" s="29">
        <v>30</v>
      </c>
      <c r="O11" s="29">
        <v>25</v>
      </c>
      <c r="P11" s="29"/>
      <c r="Q11" s="29"/>
      <c r="R11" s="29"/>
    </row>
    <row r="12" spans="1:18" x14ac:dyDescent="0.25">
      <c r="A12" s="28" t="s">
        <v>54</v>
      </c>
      <c r="B12" s="1" t="s">
        <v>34</v>
      </c>
      <c r="C12" s="29">
        <v>6500</v>
      </c>
      <c r="D12" s="29">
        <v>4000</v>
      </c>
      <c r="E12" s="29">
        <v>8765</v>
      </c>
      <c r="F12" s="29">
        <v>8765</v>
      </c>
      <c r="G12" s="29">
        <v>8765</v>
      </c>
      <c r="H12" s="29">
        <v>8765</v>
      </c>
      <c r="I12" s="29">
        <v>8765</v>
      </c>
      <c r="J12" s="29">
        <v>8765</v>
      </c>
      <c r="K12" s="29">
        <v>8765</v>
      </c>
      <c r="L12" s="29">
        <v>8765</v>
      </c>
      <c r="M12" s="29">
        <v>8765</v>
      </c>
      <c r="N12" s="29">
        <v>8765</v>
      </c>
      <c r="O12" s="29">
        <v>8765</v>
      </c>
      <c r="P12" s="29">
        <v>8765</v>
      </c>
      <c r="Q12" s="29"/>
      <c r="R12" s="29"/>
    </row>
    <row r="13" spans="1:18" x14ac:dyDescent="0.25">
      <c r="A13" s="28" t="s">
        <v>64</v>
      </c>
      <c r="B13" s="1" t="s">
        <v>60</v>
      </c>
      <c r="C13" s="33">
        <f>$D$2/(1-(1+$D$2)^-C11)</f>
        <v>5.78300991336613E-2</v>
      </c>
      <c r="D13" s="33">
        <f>$D$2/(1-(1+$D$2)^-D11)</f>
        <v>6.401196278645456E-2</v>
      </c>
      <c r="E13" s="33">
        <f t="shared" ref="E13:P13" si="0">$D$2/(1-(1+$D$2)^-E11)</f>
        <v>5.78300991336613E-2</v>
      </c>
      <c r="F13" s="33">
        <f t="shared" si="0"/>
        <v>5.78300991336613E-2</v>
      </c>
      <c r="G13" s="33">
        <f t="shared" si="0"/>
        <v>6.401196278645456E-2</v>
      </c>
      <c r="H13" s="33">
        <f t="shared" si="0"/>
        <v>6.401196278645456E-2</v>
      </c>
      <c r="I13" s="33">
        <f t="shared" si="0"/>
        <v>6.401196278645456E-2</v>
      </c>
      <c r="J13" s="33">
        <f t="shared" si="0"/>
        <v>6.401196278645456E-2</v>
      </c>
      <c r="K13" s="33">
        <f t="shared" si="0"/>
        <v>5.78300991336613E-2</v>
      </c>
      <c r="L13" s="33">
        <f t="shared" si="0"/>
        <v>7.3581750328628834E-2</v>
      </c>
      <c r="M13" s="33">
        <f t="shared" si="0"/>
        <v>5.78300991336613E-2</v>
      </c>
      <c r="N13" s="33">
        <f t="shared" si="0"/>
        <v>5.78300991336613E-2</v>
      </c>
      <c r="O13" s="33">
        <f t="shared" si="0"/>
        <v>6.401196278645456E-2</v>
      </c>
      <c r="P13" s="33" t="e">
        <f t="shared" si="0"/>
        <v>#DIV/0!</v>
      </c>
      <c r="Q13" s="1"/>
      <c r="R13" s="1"/>
    </row>
    <row r="14" spans="1:18" x14ac:dyDescent="0.25">
      <c r="A14" s="28" t="s">
        <v>7</v>
      </c>
      <c r="B14" s="1" t="s">
        <v>59</v>
      </c>
      <c r="C14" s="29">
        <v>1</v>
      </c>
      <c r="D14" s="29">
        <v>1</v>
      </c>
      <c r="E14" s="29">
        <v>1</v>
      </c>
      <c r="F14" s="29">
        <v>1</v>
      </c>
      <c r="G14" s="29">
        <v>1</v>
      </c>
      <c r="H14" s="29">
        <v>1</v>
      </c>
      <c r="I14" s="29">
        <v>1</v>
      </c>
      <c r="J14" s="29">
        <v>1</v>
      </c>
      <c r="K14" s="29">
        <v>1</v>
      </c>
      <c r="L14" s="29">
        <v>1</v>
      </c>
      <c r="M14" s="29">
        <v>1</v>
      </c>
      <c r="N14" s="29">
        <v>0</v>
      </c>
      <c r="O14" s="29">
        <v>1</v>
      </c>
      <c r="P14" s="29"/>
      <c r="Q14" s="29"/>
      <c r="R14" s="29"/>
    </row>
    <row r="15" spans="1:18" x14ac:dyDescent="0.25">
      <c r="A15" s="28" t="s">
        <v>9</v>
      </c>
      <c r="B15" s="1" t="s">
        <v>59</v>
      </c>
      <c r="C15" s="29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  <c r="L15" s="29">
        <v>1</v>
      </c>
      <c r="M15" s="29">
        <v>1</v>
      </c>
      <c r="N15" s="29">
        <v>0</v>
      </c>
      <c r="O15" s="29">
        <v>1</v>
      </c>
      <c r="P15" s="29"/>
      <c r="Q15" s="29"/>
      <c r="R15" s="29"/>
    </row>
    <row r="16" spans="1:18" x14ac:dyDescent="0.25">
      <c r="A16" s="28" t="s">
        <v>56</v>
      </c>
      <c r="B16" s="1" t="s">
        <v>59</v>
      </c>
      <c r="C16" s="29">
        <v>1</v>
      </c>
      <c r="D16" s="29">
        <v>1</v>
      </c>
      <c r="E16" s="29">
        <v>1</v>
      </c>
      <c r="F16" s="29">
        <v>0</v>
      </c>
      <c r="G16" s="29">
        <v>1</v>
      </c>
      <c r="H16" s="29">
        <v>1</v>
      </c>
      <c r="I16" s="29">
        <v>1</v>
      </c>
      <c r="J16" s="29">
        <v>0</v>
      </c>
      <c r="K16" s="29">
        <v>1</v>
      </c>
      <c r="L16" s="29">
        <v>1</v>
      </c>
      <c r="M16" s="29">
        <v>0</v>
      </c>
      <c r="N16" s="29">
        <v>1</v>
      </c>
      <c r="O16" s="29">
        <v>1</v>
      </c>
      <c r="P16" s="29"/>
      <c r="Q16" s="29"/>
      <c r="R16" s="29"/>
    </row>
    <row r="17" spans="1:18" x14ac:dyDescent="0.25">
      <c r="A17" s="2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28" t="s">
        <v>81</v>
      </c>
      <c r="B18" s="1" t="s">
        <v>40</v>
      </c>
      <c r="C18" s="35">
        <f>C9*10^6*$D$3*C13+C10*$D$3</f>
        <v>545574.77324255812</v>
      </c>
      <c r="D18" s="35">
        <f>D9*10^6*$D$3*D13+D10*$D$3</f>
        <v>187526.91626952277</v>
      </c>
      <c r="E18" s="35">
        <f t="shared" ref="E18:P18" si="1">E9*10^6*$D$3*E13+E10*$D$3</f>
        <v>33673.544610147583</v>
      </c>
      <c r="F18" s="35">
        <f t="shared" si="1"/>
        <v>110419.66357054115</v>
      </c>
      <c r="G18" s="35">
        <f t="shared" si="1"/>
        <v>470299.34649412509</v>
      </c>
      <c r="H18" s="35">
        <f t="shared" si="1"/>
        <v>513053.83253904554</v>
      </c>
      <c r="I18" s="35">
        <f t="shared" si="1"/>
        <v>423053.83253904554</v>
      </c>
      <c r="J18" s="35">
        <f t="shared" si="1"/>
        <v>1842570.0599042117</v>
      </c>
      <c r="K18" s="35">
        <f t="shared" si="1"/>
        <v>283277.41245852999</v>
      </c>
      <c r="L18" s="35">
        <f t="shared" si="1"/>
        <v>232527.09461265069</v>
      </c>
      <c r="M18" s="35">
        <f t="shared" si="1"/>
        <v>452175.74350245978</v>
      </c>
      <c r="N18" s="35">
        <f t="shared" si="1"/>
        <v>150923.12407332403</v>
      </c>
      <c r="O18" s="35">
        <f t="shared" si="1"/>
        <v>1710179.4417968183</v>
      </c>
      <c r="P18" s="35" t="e">
        <f t="shared" si="1"/>
        <v>#DIV/0!</v>
      </c>
      <c r="Q18" s="35"/>
      <c r="R18" s="35"/>
    </row>
    <row r="19" spans="1:18" s="31" customFormat="1" x14ac:dyDescent="0.25">
      <c r="A19" s="28" t="s">
        <v>65</v>
      </c>
      <c r="B19" s="1" t="s">
        <v>40</v>
      </c>
      <c r="C19" s="36">
        <f>C18*(8765/C12)</f>
        <v>735686.59807246481</v>
      </c>
      <c r="D19" s="36">
        <f>D18*(8765/D12)</f>
        <v>410918.35527559178</v>
      </c>
      <c r="E19" s="36">
        <f t="shared" ref="E19:P19" si="2">E18*(8765/E12)</f>
        <v>33673.544610147583</v>
      </c>
      <c r="F19" s="36">
        <f t="shared" si="2"/>
        <v>110419.66357054115</v>
      </c>
      <c r="G19" s="36">
        <f t="shared" si="2"/>
        <v>470299.34649412509</v>
      </c>
      <c r="H19" s="36">
        <f t="shared" si="2"/>
        <v>513053.83253904554</v>
      </c>
      <c r="I19" s="36">
        <f t="shared" si="2"/>
        <v>423053.83253904554</v>
      </c>
      <c r="J19" s="36">
        <f t="shared" si="2"/>
        <v>1842570.0599042117</v>
      </c>
      <c r="K19" s="36">
        <f t="shared" si="2"/>
        <v>283277.41245852999</v>
      </c>
      <c r="L19" s="36">
        <f t="shared" si="2"/>
        <v>232527.09461265069</v>
      </c>
      <c r="M19" s="36">
        <f t="shared" si="2"/>
        <v>452175.74350245978</v>
      </c>
      <c r="N19" s="36">
        <f t="shared" si="2"/>
        <v>150923.12407332403</v>
      </c>
      <c r="O19" s="36">
        <f t="shared" si="2"/>
        <v>1710179.4417968183</v>
      </c>
      <c r="P19" s="36" t="e">
        <f t="shared" si="2"/>
        <v>#DIV/0!</v>
      </c>
      <c r="Q19" s="36"/>
      <c r="R19" s="36"/>
    </row>
    <row r="20" spans="1:18" x14ac:dyDescent="0.25">
      <c r="A20" s="28"/>
      <c r="B20" s="1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5">
      <c r="A21" s="28"/>
      <c r="B21" s="1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25">
      <c r="A22" s="28" t="s">
        <v>66</v>
      </c>
      <c r="B22" s="1" t="s">
        <v>40</v>
      </c>
      <c r="C22" s="6">
        <f>C14*($G$2*(C12/8765)-C18)</f>
        <v>-444956.4047314343</v>
      </c>
      <c r="D22" s="6">
        <f>D14*($G$2*(D12/8765)-D18)</f>
        <v>-125607.92026267736</v>
      </c>
      <c r="E22" s="6">
        <f t="shared" ref="E22:P22" si="3">E14*($G$2*(E12/8765)-E18)</f>
        <v>102006.45538985242</v>
      </c>
      <c r="F22" s="6">
        <f t="shared" si="3"/>
        <v>25260.336429458854</v>
      </c>
      <c r="G22" s="6">
        <f t="shared" si="3"/>
        <v>-334619.34649412509</v>
      </c>
      <c r="H22" s="6">
        <f t="shared" si="3"/>
        <v>-377373.83253904554</v>
      </c>
      <c r="I22" s="6">
        <f t="shared" si="3"/>
        <v>-287373.83253904554</v>
      </c>
      <c r="J22" s="6">
        <f t="shared" si="3"/>
        <v>-1706890.0599042117</v>
      </c>
      <c r="K22" s="6">
        <f t="shared" si="3"/>
        <v>-147597.41245852999</v>
      </c>
      <c r="L22" s="6">
        <f t="shared" si="3"/>
        <v>-96847.09461265069</v>
      </c>
      <c r="M22" s="6">
        <f t="shared" si="3"/>
        <v>-316495.74350245978</v>
      </c>
      <c r="N22" s="6">
        <f t="shared" si="3"/>
        <v>0</v>
      </c>
      <c r="O22" s="6">
        <f t="shared" si="3"/>
        <v>-1574499.4417968183</v>
      </c>
      <c r="P22" s="6" t="e">
        <f t="shared" si="3"/>
        <v>#DIV/0!</v>
      </c>
      <c r="Q22" s="6"/>
      <c r="R22" s="6"/>
    </row>
    <row r="23" spans="1:18" x14ac:dyDescent="0.25">
      <c r="A23" s="28" t="s">
        <v>67</v>
      </c>
      <c r="B23" s="1" t="s">
        <v>40</v>
      </c>
      <c r="C23" s="6">
        <f>C15*($G$3*(C12/8765)-C18)</f>
        <v>-518877.6825409038</v>
      </c>
      <c r="D23" s="6">
        <f>D15*($G$3*(D12/8765)-D18)</f>
        <v>-171097.93737619705</v>
      </c>
      <c r="E23" s="6">
        <f t="shared" ref="E23:P23" si="4">E15*($G$3*(E12/8765)-E18)</f>
        <v>2326.4553898524173</v>
      </c>
      <c r="F23" s="6">
        <f t="shared" si="4"/>
        <v>-74419.663570541146</v>
      </c>
      <c r="G23" s="6">
        <f t="shared" si="4"/>
        <v>-434299.34649412509</v>
      </c>
      <c r="H23" s="6">
        <f t="shared" si="4"/>
        <v>-477053.83253904554</v>
      </c>
      <c r="I23" s="6">
        <f t="shared" si="4"/>
        <v>-387053.83253904554</v>
      </c>
      <c r="J23" s="6">
        <f t="shared" si="4"/>
        <v>-1806570.0599042117</v>
      </c>
      <c r="K23" s="6">
        <f t="shared" si="4"/>
        <v>-247277.41245852999</v>
      </c>
      <c r="L23" s="6">
        <f t="shared" si="4"/>
        <v>-196527.09461265069</v>
      </c>
      <c r="M23" s="6">
        <f t="shared" si="4"/>
        <v>-416175.74350245978</v>
      </c>
      <c r="N23" s="6">
        <f t="shared" si="4"/>
        <v>0</v>
      </c>
      <c r="O23" s="6">
        <f t="shared" si="4"/>
        <v>-1674179.4417968183</v>
      </c>
      <c r="P23" s="6" t="e">
        <f t="shared" si="4"/>
        <v>#DIV/0!</v>
      </c>
      <c r="Q23" s="6"/>
      <c r="R23" s="6"/>
    </row>
    <row r="24" spans="1:18" x14ac:dyDescent="0.25">
      <c r="A24" s="28" t="s">
        <v>68</v>
      </c>
      <c r="B24" s="1" t="s">
        <v>40</v>
      </c>
      <c r="C24" s="6">
        <f>C16*($G$4*(C12/8765)-C18)</f>
        <v>926265.50057375687</v>
      </c>
      <c r="D24" s="6">
        <f>D16*($G$4*(D12/8765)-D18)</f>
        <v>718220.94454051717</v>
      </c>
      <c r="E24" s="6">
        <f t="shared" ref="E24:P24" si="5">E16*($G$4*(E12/8765)-E18)</f>
        <v>1951046.4553898524</v>
      </c>
      <c r="F24" s="6">
        <f t="shared" si="5"/>
        <v>0</v>
      </c>
      <c r="G24" s="6">
        <f t="shared" si="5"/>
        <v>1514420.6535058748</v>
      </c>
      <c r="H24" s="6">
        <f t="shared" si="5"/>
        <v>1471666.1674609545</v>
      </c>
      <c r="I24" s="6">
        <f t="shared" si="5"/>
        <v>1561666.1674609545</v>
      </c>
      <c r="J24" s="6">
        <f t="shared" si="5"/>
        <v>0</v>
      </c>
      <c r="K24" s="6">
        <f t="shared" si="5"/>
        <v>1701442.5875414701</v>
      </c>
      <c r="L24" s="6">
        <f t="shared" si="5"/>
        <v>1752192.9053873494</v>
      </c>
      <c r="M24" s="6">
        <f t="shared" si="5"/>
        <v>0</v>
      </c>
      <c r="N24" s="6">
        <f t="shared" si="5"/>
        <v>1833796.875926676</v>
      </c>
      <c r="O24" s="6">
        <f t="shared" si="5"/>
        <v>274540.55820318172</v>
      </c>
      <c r="P24" s="6" t="e">
        <f t="shared" si="5"/>
        <v>#DIV/0!</v>
      </c>
      <c r="Q24" s="6"/>
      <c r="R24" s="6"/>
    </row>
    <row r="25" spans="1:18" x14ac:dyDescent="0.25">
      <c r="A25" s="28"/>
      <c r="B25" s="1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25">
      <c r="A26" s="28" t="s">
        <v>14</v>
      </c>
      <c r="B26" s="1"/>
      <c r="C26" s="6">
        <f>MAX(C22:C24)</f>
        <v>926265.50057375687</v>
      </c>
      <c r="D26" s="6">
        <f t="shared" ref="D26:P26" si="6">MAX(D22:D24)</f>
        <v>718220.94454051717</v>
      </c>
      <c r="E26" s="6">
        <f t="shared" si="6"/>
        <v>1951046.4553898524</v>
      </c>
      <c r="F26" s="6">
        <f t="shared" si="6"/>
        <v>25260.336429458854</v>
      </c>
      <c r="G26" s="6">
        <f t="shared" si="6"/>
        <v>1514420.6535058748</v>
      </c>
      <c r="H26" s="6">
        <f t="shared" si="6"/>
        <v>1471666.1674609545</v>
      </c>
      <c r="I26" s="6">
        <f t="shared" si="6"/>
        <v>1561666.1674609545</v>
      </c>
      <c r="J26" s="6">
        <f>MAX(J22:J23)</f>
        <v>-1706890.0599042117</v>
      </c>
      <c r="K26" s="6">
        <f t="shared" si="6"/>
        <v>1701442.5875414701</v>
      </c>
      <c r="L26" s="6">
        <f t="shared" si="6"/>
        <v>1752192.9053873494</v>
      </c>
      <c r="M26" s="6">
        <f t="shared" si="6"/>
        <v>0</v>
      </c>
      <c r="N26" s="6">
        <f t="shared" si="6"/>
        <v>1833796.875926676</v>
      </c>
      <c r="O26" s="6">
        <f t="shared" si="6"/>
        <v>274540.55820318172</v>
      </c>
      <c r="P26" s="6" t="e">
        <f t="shared" si="6"/>
        <v>#DIV/0!</v>
      </c>
      <c r="Q26" s="6"/>
      <c r="R26" s="6"/>
    </row>
    <row r="28" spans="1:18" x14ac:dyDescent="0.25">
      <c r="A28" s="28" t="s">
        <v>80</v>
      </c>
      <c r="C28">
        <v>4</v>
      </c>
      <c r="D28">
        <v>2</v>
      </c>
      <c r="E28">
        <v>4</v>
      </c>
      <c r="F28">
        <v>3</v>
      </c>
      <c r="G28">
        <v>3</v>
      </c>
      <c r="H28">
        <v>2</v>
      </c>
      <c r="I28">
        <v>1</v>
      </c>
      <c r="J28">
        <v>1</v>
      </c>
      <c r="K28">
        <v>3</v>
      </c>
      <c r="L28">
        <v>3</v>
      </c>
      <c r="M28">
        <v>2</v>
      </c>
      <c r="N28">
        <v>3</v>
      </c>
    </row>
    <row r="30" spans="1:18" x14ac:dyDescent="0.25">
      <c r="A30" t="s">
        <v>83</v>
      </c>
    </row>
    <row r="31" spans="1:18" x14ac:dyDescent="0.25">
      <c r="B31" t="s">
        <v>85</v>
      </c>
    </row>
    <row r="32" spans="1:18" x14ac:dyDescent="0.25">
      <c r="A32" t="s">
        <v>21</v>
      </c>
      <c r="B32" t="s">
        <v>84</v>
      </c>
    </row>
  </sheetData>
  <mergeCells count="1">
    <mergeCell ref="F1:G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ABCD-B417-4BBB-87AB-B4593FF54B74}">
  <dimension ref="B1:T96"/>
  <sheetViews>
    <sheetView topLeftCell="A7" workbookViewId="0">
      <selection activeCell="I39" sqref="I39"/>
    </sheetView>
  </sheetViews>
  <sheetFormatPr defaultRowHeight="15" x14ac:dyDescent="0.25"/>
  <cols>
    <col min="2" max="2" width="16" bestFit="1" customWidth="1"/>
    <col min="3" max="3" width="18.140625" bestFit="1" customWidth="1"/>
    <col min="4" max="4" width="15.7109375" customWidth="1"/>
    <col min="5" max="5" width="12.42578125" customWidth="1"/>
    <col min="6" max="6" width="16.42578125" customWidth="1"/>
    <col min="7" max="7" width="13.42578125" bestFit="1" customWidth="1"/>
    <col min="8" max="8" width="23.5703125" customWidth="1"/>
    <col min="10" max="10" width="14.7109375" bestFit="1" customWidth="1"/>
    <col min="11" max="11" width="13.42578125" bestFit="1" customWidth="1"/>
    <col min="12" max="12" width="16.5703125" customWidth="1"/>
    <col min="14" max="14" width="14.140625" customWidth="1"/>
    <col min="15" max="15" width="15.28515625" customWidth="1"/>
    <col min="16" max="16" width="13.7109375" customWidth="1"/>
    <col min="19" max="19" width="13.42578125" bestFit="1" customWidth="1"/>
    <col min="20" max="20" width="13.85546875" bestFit="1" customWidth="1"/>
  </cols>
  <sheetData>
    <row r="1" spans="2:20" x14ac:dyDescent="0.25">
      <c r="H1" s="16" t="s">
        <v>2</v>
      </c>
      <c r="I1" s="17">
        <v>7.5</v>
      </c>
    </row>
    <row r="2" spans="2:20" x14ac:dyDescent="0.25">
      <c r="B2" s="37" t="s">
        <v>16</v>
      </c>
      <c r="C2" s="38"/>
      <c r="D2" s="24"/>
      <c r="H2" s="15" t="s">
        <v>4</v>
      </c>
      <c r="I2" s="18">
        <v>6.8</v>
      </c>
    </row>
    <row r="3" spans="2:20" x14ac:dyDescent="0.25">
      <c r="B3" s="14" t="s">
        <v>17</v>
      </c>
      <c r="C3" s="8">
        <v>135680</v>
      </c>
      <c r="D3" s="23" t="s">
        <v>8</v>
      </c>
      <c r="F3" s="3"/>
      <c r="K3" s="5"/>
      <c r="L3" s="5"/>
      <c r="M3" s="5"/>
      <c r="N3" s="5"/>
      <c r="O3" s="5"/>
      <c r="P3" s="5"/>
      <c r="Q3" s="5"/>
    </row>
    <row r="4" spans="2:20" ht="21" customHeight="1" x14ac:dyDescent="0.25">
      <c r="B4" s="14" t="s">
        <v>18</v>
      </c>
      <c r="C4" s="7">
        <v>36000</v>
      </c>
      <c r="D4" s="23" t="s">
        <v>8</v>
      </c>
      <c r="K4" s="5"/>
      <c r="L4" s="20"/>
      <c r="M4" s="19"/>
      <c r="N4" s="19"/>
      <c r="O4" s="19"/>
      <c r="P4" s="19"/>
      <c r="Q4" s="5"/>
    </row>
    <row r="5" spans="2:20" x14ac:dyDescent="0.25">
      <c r="B5" s="15" t="s">
        <v>19</v>
      </c>
      <c r="C5" s="11">
        <v>1984720</v>
      </c>
      <c r="D5" s="18" t="s">
        <v>8</v>
      </c>
      <c r="E5" s="5"/>
      <c r="F5" s="5"/>
      <c r="K5" s="5"/>
      <c r="L5" s="20"/>
      <c r="M5" s="19"/>
      <c r="N5" s="19"/>
      <c r="O5" s="19"/>
      <c r="P5" s="19"/>
      <c r="Q5" s="5"/>
    </row>
    <row r="6" spans="2:20" x14ac:dyDescent="0.25">
      <c r="E6" s="5"/>
      <c r="F6" s="5"/>
      <c r="K6" s="5"/>
      <c r="L6" s="20"/>
      <c r="M6" s="21"/>
      <c r="N6" s="21"/>
      <c r="O6" s="21"/>
      <c r="P6" s="22"/>
      <c r="Q6" s="5"/>
    </row>
    <row r="7" spans="2:20" x14ac:dyDescent="0.25">
      <c r="E7" s="5"/>
      <c r="K7" s="5"/>
      <c r="L7" s="20"/>
      <c r="M7" s="21"/>
      <c r="N7" s="21"/>
      <c r="O7" s="21"/>
      <c r="P7" s="22"/>
      <c r="Q7" s="5"/>
    </row>
    <row r="8" spans="2:20" x14ac:dyDescent="0.25">
      <c r="B8" s="42" t="s">
        <v>23</v>
      </c>
      <c r="C8" s="42"/>
      <c r="D8" s="42"/>
      <c r="E8" s="5"/>
      <c r="F8" s="42" t="s">
        <v>24</v>
      </c>
      <c r="G8" s="42"/>
      <c r="H8" s="42"/>
      <c r="J8" s="42" t="s">
        <v>25</v>
      </c>
      <c r="K8" s="42"/>
      <c r="L8" s="42"/>
      <c r="M8" s="21"/>
      <c r="N8" s="42" t="s">
        <v>26</v>
      </c>
      <c r="O8" s="42"/>
      <c r="P8" s="42"/>
      <c r="Q8" s="5"/>
      <c r="R8" s="42" t="s">
        <v>27</v>
      </c>
      <c r="S8" s="42"/>
      <c r="T8" s="42"/>
    </row>
    <row r="9" spans="2:20" ht="18" customHeight="1" x14ac:dyDescent="0.25">
      <c r="B9" s="39" t="s">
        <v>0</v>
      </c>
      <c r="C9" s="39"/>
      <c r="D9" s="39"/>
      <c r="E9" s="5"/>
      <c r="F9" s="39" t="s">
        <v>0</v>
      </c>
      <c r="G9" s="39"/>
      <c r="H9" s="39"/>
      <c r="J9" s="39" t="s">
        <v>0</v>
      </c>
      <c r="K9" s="39"/>
      <c r="L9" s="39"/>
      <c r="M9" s="21"/>
      <c r="N9" s="39" t="s">
        <v>0</v>
      </c>
      <c r="O9" s="39"/>
      <c r="P9" s="39"/>
      <c r="Q9" s="5"/>
      <c r="R9" s="39" t="s">
        <v>0</v>
      </c>
      <c r="S9" s="39"/>
      <c r="T9" s="39"/>
    </row>
    <row r="10" spans="2:20" x14ac:dyDescent="0.25">
      <c r="B10" s="6" t="s">
        <v>11</v>
      </c>
      <c r="C10" s="4">
        <v>200</v>
      </c>
      <c r="D10" s="1" t="s">
        <v>5</v>
      </c>
      <c r="E10" s="5"/>
      <c r="F10" s="6" t="s">
        <v>11</v>
      </c>
      <c r="G10" s="4">
        <v>180</v>
      </c>
      <c r="H10" s="1" t="s">
        <v>5</v>
      </c>
      <c r="J10" s="6" t="s">
        <v>11</v>
      </c>
      <c r="K10" s="4">
        <v>0</v>
      </c>
      <c r="L10" s="1" t="s">
        <v>5</v>
      </c>
      <c r="M10" s="21"/>
      <c r="N10" s="6" t="s">
        <v>11</v>
      </c>
      <c r="O10" s="4">
        <v>100</v>
      </c>
      <c r="P10" s="1" t="s">
        <v>5</v>
      </c>
      <c r="Q10" s="5"/>
      <c r="R10" s="6" t="s">
        <v>11</v>
      </c>
      <c r="S10" s="4">
        <v>450</v>
      </c>
      <c r="T10" s="1" t="s">
        <v>5</v>
      </c>
    </row>
    <row r="11" spans="2:20" x14ac:dyDescent="0.25">
      <c r="B11" s="1"/>
      <c r="C11" s="4">
        <f>C10*$I$2*1000</f>
        <v>1360000</v>
      </c>
      <c r="D11" s="1" t="s">
        <v>6</v>
      </c>
      <c r="E11" s="5"/>
      <c r="F11" s="1"/>
      <c r="G11" s="4">
        <f>G10*$I$2*1000</f>
        <v>1224000</v>
      </c>
      <c r="H11" s="1" t="s">
        <v>6</v>
      </c>
      <c r="J11" s="1"/>
      <c r="K11" s="4">
        <f>K10*$I$2*1000</f>
        <v>0</v>
      </c>
      <c r="L11" s="1" t="s">
        <v>6</v>
      </c>
      <c r="M11" s="21"/>
      <c r="N11" s="1"/>
      <c r="O11" s="4">
        <f>O10*$I$2*1000</f>
        <v>680000</v>
      </c>
      <c r="P11" s="1" t="s">
        <v>6</v>
      </c>
      <c r="Q11" s="5"/>
      <c r="R11" s="1"/>
      <c r="S11" s="4">
        <f>S10*$I$2*1000</f>
        <v>3060000</v>
      </c>
      <c r="T11" s="1" t="s">
        <v>6</v>
      </c>
    </row>
    <row r="12" spans="2:20" x14ac:dyDescent="0.25">
      <c r="B12" s="6" t="s">
        <v>12</v>
      </c>
      <c r="C12" s="10">
        <v>160</v>
      </c>
      <c r="D12" s="1" t="s">
        <v>5</v>
      </c>
      <c r="E12" s="5"/>
      <c r="F12" s="6" t="s">
        <v>12</v>
      </c>
      <c r="G12" s="10">
        <v>120</v>
      </c>
      <c r="H12" s="1" t="s">
        <v>5</v>
      </c>
      <c r="J12" s="6" t="s">
        <v>12</v>
      </c>
      <c r="K12" s="10">
        <v>500</v>
      </c>
      <c r="L12" s="1" t="s">
        <v>5</v>
      </c>
      <c r="M12" s="21"/>
      <c r="N12" s="6" t="s">
        <v>12</v>
      </c>
      <c r="O12" s="10">
        <v>220</v>
      </c>
      <c r="P12" s="1" t="s">
        <v>5</v>
      </c>
      <c r="Q12" s="5"/>
      <c r="R12" s="6" t="s">
        <v>12</v>
      </c>
      <c r="S12" s="10">
        <v>510</v>
      </c>
      <c r="T12" s="1" t="s">
        <v>5</v>
      </c>
    </row>
    <row r="13" spans="2:20" ht="18.75" customHeight="1" x14ac:dyDescent="0.25">
      <c r="B13" s="1"/>
      <c r="C13" s="4">
        <f>C12*$I$2*1000</f>
        <v>1088000</v>
      </c>
      <c r="D13" s="1" t="s">
        <v>6</v>
      </c>
      <c r="E13" s="5"/>
      <c r="F13" s="1"/>
      <c r="G13" s="4">
        <f>G12*$I$2*1000</f>
        <v>816000</v>
      </c>
      <c r="H13" s="1" t="s">
        <v>6</v>
      </c>
      <c r="J13" s="1"/>
      <c r="K13" s="4">
        <f>K12*$I$2*1000</f>
        <v>3400000</v>
      </c>
      <c r="L13" s="1" t="s">
        <v>6</v>
      </c>
      <c r="M13" s="21"/>
      <c r="N13" s="1"/>
      <c r="O13" s="4">
        <f>O12*$I$2*1000</f>
        <v>1496000</v>
      </c>
      <c r="P13" s="1" t="s">
        <v>6</v>
      </c>
      <c r="Q13" s="5"/>
      <c r="R13" s="1"/>
      <c r="S13" s="4">
        <f>S12*$I$2*1000</f>
        <v>3468000</v>
      </c>
      <c r="T13" s="1" t="s">
        <v>6</v>
      </c>
    </row>
    <row r="14" spans="2:20" x14ac:dyDescent="0.25">
      <c r="B14" s="7" t="s">
        <v>13</v>
      </c>
      <c r="C14" s="4">
        <v>600</v>
      </c>
      <c r="D14" s="1" t="s">
        <v>5</v>
      </c>
      <c r="F14" s="7" t="s">
        <v>13</v>
      </c>
      <c r="G14" s="4">
        <v>250</v>
      </c>
      <c r="H14" s="1" t="s">
        <v>5</v>
      </c>
      <c r="J14" s="7" t="s">
        <v>13</v>
      </c>
      <c r="K14" s="4">
        <v>400</v>
      </c>
      <c r="L14" s="1" t="s">
        <v>5</v>
      </c>
      <c r="M14" s="5"/>
      <c r="N14" s="7" t="s">
        <v>13</v>
      </c>
      <c r="O14" s="4">
        <v>0</v>
      </c>
      <c r="P14" s="1" t="s">
        <v>5</v>
      </c>
      <c r="Q14" s="5"/>
      <c r="R14" s="7" t="s">
        <v>13</v>
      </c>
      <c r="S14" s="4">
        <v>2100</v>
      </c>
      <c r="T14" s="1" t="s">
        <v>5</v>
      </c>
    </row>
    <row r="15" spans="2:20" x14ac:dyDescent="0.25">
      <c r="B15" s="2"/>
      <c r="C15" s="13">
        <f>C14*$I$2*1000</f>
        <v>4080000</v>
      </c>
      <c r="D15" s="2" t="s">
        <v>6</v>
      </c>
      <c r="F15" s="2"/>
      <c r="G15" s="13">
        <f>G14*$I$2*1000</f>
        <v>1700000</v>
      </c>
      <c r="H15" s="2" t="s">
        <v>6</v>
      </c>
      <c r="J15" s="2"/>
      <c r="K15" s="13">
        <f>K14*$I$2*1000</f>
        <v>2720000</v>
      </c>
      <c r="L15" s="2" t="s">
        <v>6</v>
      </c>
      <c r="M15" s="5"/>
      <c r="N15" s="2"/>
      <c r="O15" s="13">
        <f>O14*$I$2*1000</f>
        <v>0</v>
      </c>
      <c r="P15" s="2" t="s">
        <v>6</v>
      </c>
      <c r="Q15" s="5"/>
      <c r="R15" s="2"/>
      <c r="S15" s="13">
        <f>S14*$I$2*1000</f>
        <v>14280000</v>
      </c>
      <c r="T15" s="2" t="s">
        <v>6</v>
      </c>
    </row>
    <row r="16" spans="2:20" x14ac:dyDescent="0.25">
      <c r="B16" s="40" t="s">
        <v>1</v>
      </c>
      <c r="C16" s="40"/>
      <c r="D16" s="40"/>
      <c r="F16" s="40" t="s">
        <v>1</v>
      </c>
      <c r="G16" s="40"/>
      <c r="H16" s="40"/>
      <c r="J16" s="40" t="s">
        <v>1</v>
      </c>
      <c r="K16" s="40"/>
      <c r="L16" s="40"/>
      <c r="M16" s="5"/>
      <c r="N16" s="40" t="s">
        <v>1</v>
      </c>
      <c r="O16" s="40"/>
      <c r="P16" s="40"/>
      <c r="Q16" s="5"/>
      <c r="R16" s="40" t="s">
        <v>1</v>
      </c>
      <c r="S16" s="40"/>
      <c r="T16" s="40"/>
    </row>
    <row r="17" spans="2:20" x14ac:dyDescent="0.25">
      <c r="B17" s="8" t="s">
        <v>7</v>
      </c>
      <c r="C17" s="8">
        <f>$C$3</f>
        <v>135680</v>
      </c>
      <c r="D17" s="9" t="s">
        <v>8</v>
      </c>
      <c r="F17" s="8" t="s">
        <v>7</v>
      </c>
      <c r="G17" s="8">
        <f>$C$3</f>
        <v>135680</v>
      </c>
      <c r="H17" s="9" t="s">
        <v>8</v>
      </c>
      <c r="J17" s="8" t="s">
        <v>7</v>
      </c>
      <c r="K17" s="8">
        <f>$C$3</f>
        <v>135680</v>
      </c>
      <c r="L17" s="9" t="s">
        <v>8</v>
      </c>
      <c r="N17" s="8" t="s">
        <v>7</v>
      </c>
      <c r="O17" s="8">
        <f>$C$3</f>
        <v>135680</v>
      </c>
      <c r="P17" s="9" t="s">
        <v>8</v>
      </c>
      <c r="R17" s="8" t="s">
        <v>7</v>
      </c>
      <c r="S17" s="8">
        <f>$C$3</f>
        <v>135680</v>
      </c>
      <c r="T17" s="9" t="s">
        <v>8</v>
      </c>
    </row>
    <row r="18" spans="2:20" x14ac:dyDescent="0.25">
      <c r="B18" s="7" t="s">
        <v>9</v>
      </c>
      <c r="C18" s="7">
        <f>$C$4</f>
        <v>36000</v>
      </c>
      <c r="D18" s="9" t="s">
        <v>8</v>
      </c>
      <c r="F18" s="7" t="s">
        <v>9</v>
      </c>
      <c r="G18" s="7">
        <f>$C$4</f>
        <v>36000</v>
      </c>
      <c r="H18" s="9" t="s">
        <v>8</v>
      </c>
      <c r="J18" s="7" t="s">
        <v>9</v>
      </c>
      <c r="K18" s="7">
        <f>$C$4</f>
        <v>36000</v>
      </c>
      <c r="L18" s="9" t="s">
        <v>8</v>
      </c>
      <c r="N18" s="7" t="s">
        <v>9</v>
      </c>
      <c r="O18" s="7">
        <f>$C$4</f>
        <v>36000</v>
      </c>
      <c r="P18" s="9" t="s">
        <v>8</v>
      </c>
      <c r="R18" s="7" t="s">
        <v>9</v>
      </c>
      <c r="S18" s="7">
        <f>$C$4</f>
        <v>36000</v>
      </c>
      <c r="T18" s="9" t="s">
        <v>8</v>
      </c>
    </row>
    <row r="19" spans="2:20" x14ac:dyDescent="0.25">
      <c r="B19" s="11" t="s">
        <v>10</v>
      </c>
      <c r="C19" s="11">
        <f>$C$5</f>
        <v>1984720</v>
      </c>
      <c r="D19" s="2" t="s">
        <v>8</v>
      </c>
      <c r="F19" s="11" t="s">
        <v>10</v>
      </c>
      <c r="G19" s="11">
        <f>$C$5</f>
        <v>1984720</v>
      </c>
      <c r="H19" s="2" t="s">
        <v>8</v>
      </c>
      <c r="J19" s="11" t="s">
        <v>10</v>
      </c>
      <c r="K19" s="11">
        <f>$C$5</f>
        <v>1984720</v>
      </c>
      <c r="L19" s="2" t="s">
        <v>8</v>
      </c>
      <c r="N19" s="11" t="s">
        <v>10</v>
      </c>
      <c r="O19" s="11">
        <f>$C$5</f>
        <v>1984720</v>
      </c>
      <c r="P19" s="2" t="s">
        <v>8</v>
      </c>
      <c r="R19" s="11" t="s">
        <v>10</v>
      </c>
      <c r="S19" s="11">
        <f>$C$5</f>
        <v>1984720</v>
      </c>
      <c r="T19" s="2" t="s">
        <v>8</v>
      </c>
    </row>
    <row r="20" spans="2:20" x14ac:dyDescent="0.25">
      <c r="B20" s="41" t="s">
        <v>14</v>
      </c>
      <c r="C20" s="41"/>
      <c r="D20" s="41"/>
      <c r="F20" s="41" t="s">
        <v>14</v>
      </c>
      <c r="G20" s="41"/>
      <c r="H20" s="41"/>
      <c r="J20" s="41" t="s">
        <v>14</v>
      </c>
      <c r="K20" s="41"/>
      <c r="L20" s="41"/>
      <c r="N20" s="41" t="s">
        <v>14</v>
      </c>
      <c r="O20" s="41"/>
      <c r="P20" s="41"/>
      <c r="R20" s="41" t="s">
        <v>14</v>
      </c>
      <c r="S20" s="41"/>
      <c r="T20" s="41"/>
    </row>
    <row r="21" spans="2:20" x14ac:dyDescent="0.25">
      <c r="B21" s="8" t="s">
        <v>7</v>
      </c>
      <c r="C21" s="4">
        <f>C17-C11</f>
        <v>-1224320</v>
      </c>
      <c r="D21" s="1"/>
      <c r="F21" s="8" t="s">
        <v>7</v>
      </c>
      <c r="G21" s="4">
        <f>G17-G11</f>
        <v>-1088320</v>
      </c>
      <c r="H21" s="1"/>
      <c r="J21" s="8" t="s">
        <v>7</v>
      </c>
      <c r="K21" s="4">
        <f>IF(K10&gt;0,K17-K11,0)</f>
        <v>0</v>
      </c>
      <c r="L21" s="1"/>
      <c r="N21" s="8" t="s">
        <v>7</v>
      </c>
      <c r="O21" s="4">
        <f>O17-O11</f>
        <v>-544320</v>
      </c>
      <c r="P21" s="1"/>
      <c r="R21" s="8" t="s">
        <v>7</v>
      </c>
      <c r="S21" s="4">
        <f>S17-S11</f>
        <v>-2924320</v>
      </c>
      <c r="T21" s="1"/>
    </row>
    <row r="22" spans="2:20" x14ac:dyDescent="0.25">
      <c r="B22" s="8" t="s">
        <v>9</v>
      </c>
      <c r="C22" s="4">
        <f>C18-C13</f>
        <v>-1052000</v>
      </c>
      <c r="D22" s="1"/>
      <c r="F22" s="8" t="s">
        <v>9</v>
      </c>
      <c r="G22" s="4">
        <f>G18-G13</f>
        <v>-780000</v>
      </c>
      <c r="H22" s="1"/>
      <c r="J22" s="8" t="s">
        <v>9</v>
      </c>
      <c r="K22" s="4">
        <f>K18-K13</f>
        <v>-3364000</v>
      </c>
      <c r="L22" s="1"/>
      <c r="N22" s="8" t="s">
        <v>9</v>
      </c>
      <c r="O22" s="4">
        <f>O18-O13</f>
        <v>-1460000</v>
      </c>
      <c r="P22" s="1"/>
      <c r="R22" s="8" t="s">
        <v>9</v>
      </c>
      <c r="S22" s="4">
        <f>S18-S13</f>
        <v>-3432000</v>
      </c>
      <c r="T22" s="1"/>
    </row>
    <row r="23" spans="2:20" x14ac:dyDescent="0.25">
      <c r="B23" s="8" t="s">
        <v>10</v>
      </c>
      <c r="C23" s="4">
        <f>C19-C15</f>
        <v>-2095280</v>
      </c>
      <c r="D23" s="1"/>
      <c r="F23" s="8" t="s">
        <v>10</v>
      </c>
      <c r="G23" s="4">
        <f>G19-G15</f>
        <v>284720</v>
      </c>
      <c r="H23" s="1"/>
      <c r="J23" s="8" t="s">
        <v>10</v>
      </c>
      <c r="K23" s="4">
        <f>IF(K14&gt;0,K19-K15,0)</f>
        <v>-735280</v>
      </c>
      <c r="L23" s="1"/>
      <c r="N23" s="8" t="s">
        <v>10</v>
      </c>
      <c r="O23" s="4">
        <f>IF(O14&gt;0,O19-O15,0)</f>
        <v>0</v>
      </c>
      <c r="P23" s="1"/>
      <c r="R23" s="8" t="s">
        <v>10</v>
      </c>
      <c r="S23" s="4">
        <f>S19-S15</f>
        <v>-12295280</v>
      </c>
      <c r="T23" s="1"/>
    </row>
    <row r="24" spans="2:20" x14ac:dyDescent="0.25">
      <c r="B24" s="1"/>
      <c r="C24" s="1"/>
      <c r="D24" s="1"/>
      <c r="F24" s="1"/>
      <c r="G24" s="1"/>
      <c r="H24" s="1"/>
      <c r="J24" s="1"/>
      <c r="K24" s="1"/>
      <c r="L24" s="1"/>
      <c r="N24" s="1"/>
      <c r="O24" s="1"/>
      <c r="P24" s="1"/>
      <c r="R24" s="1"/>
      <c r="S24" s="1"/>
      <c r="T24" s="1"/>
    </row>
    <row r="25" spans="2:20" x14ac:dyDescent="0.25">
      <c r="B25" s="11" t="s">
        <v>15</v>
      </c>
      <c r="C25" s="12">
        <f>MAX(C21:C23)</f>
        <v>-1052000</v>
      </c>
      <c r="D25" s="2" t="s">
        <v>8</v>
      </c>
      <c r="F25" s="11" t="s">
        <v>15</v>
      </c>
      <c r="G25" s="12">
        <f>MAX(G21:G23)</f>
        <v>284720</v>
      </c>
      <c r="H25" s="2" t="s">
        <v>8</v>
      </c>
      <c r="J25" s="11" t="s">
        <v>15</v>
      </c>
      <c r="K25" s="12">
        <f>MAX(K22:K23)</f>
        <v>-735280</v>
      </c>
      <c r="L25" s="2" t="s">
        <v>8</v>
      </c>
      <c r="N25" s="11" t="s">
        <v>15</v>
      </c>
      <c r="O25" s="12">
        <f>MAX(O21:O22)</f>
        <v>-544320</v>
      </c>
      <c r="P25" s="2" t="s">
        <v>8</v>
      </c>
      <c r="R25" s="11" t="s">
        <v>15</v>
      </c>
      <c r="S25" s="12">
        <f>MAX(S21:S23)</f>
        <v>-2924320</v>
      </c>
      <c r="T25" s="2" t="s">
        <v>8</v>
      </c>
    </row>
    <row r="28" spans="2:20" x14ac:dyDescent="0.25">
      <c r="B28" t="s">
        <v>20</v>
      </c>
    </row>
    <row r="29" spans="2:20" x14ac:dyDescent="0.25">
      <c r="B29" t="s">
        <v>21</v>
      </c>
      <c r="C29" t="s">
        <v>22</v>
      </c>
    </row>
    <row r="30" spans="2:20" x14ac:dyDescent="0.25">
      <c r="B30" t="s">
        <v>32</v>
      </c>
      <c r="C30" t="s">
        <v>33</v>
      </c>
    </row>
    <row r="31" spans="2:20" x14ac:dyDescent="0.25">
      <c r="B31" t="s">
        <v>43</v>
      </c>
      <c r="C31" s="26" t="s">
        <v>44</v>
      </c>
    </row>
    <row r="32" spans="2:20" x14ac:dyDescent="0.25">
      <c r="B32" s="42" t="s">
        <v>28</v>
      </c>
      <c r="C32" s="42"/>
      <c r="D32" s="42"/>
      <c r="F32" s="42" t="s">
        <v>36</v>
      </c>
      <c r="G32" s="42"/>
      <c r="H32" s="42"/>
    </row>
    <row r="33" spans="2:8" x14ac:dyDescent="0.25">
      <c r="B33" s="39" t="s">
        <v>0</v>
      </c>
      <c r="C33" s="39"/>
      <c r="D33" s="39"/>
      <c r="F33" s="39" t="s">
        <v>0</v>
      </c>
      <c r="G33" s="39"/>
      <c r="H33" s="39"/>
    </row>
    <row r="34" spans="2:8" x14ac:dyDescent="0.25">
      <c r="B34" s="6" t="s">
        <v>29</v>
      </c>
      <c r="C34" s="4">
        <v>173</v>
      </c>
      <c r="D34" s="1" t="s">
        <v>30</v>
      </c>
      <c r="F34" s="6" t="s">
        <v>29</v>
      </c>
      <c r="G34" s="4">
        <v>149</v>
      </c>
      <c r="H34" s="1" t="s">
        <v>30</v>
      </c>
    </row>
    <row r="35" spans="2:8" x14ac:dyDescent="0.25">
      <c r="B35" s="1" t="s">
        <v>35</v>
      </c>
      <c r="C35" s="4">
        <f>8765*0.75</f>
        <v>6573.75</v>
      </c>
      <c r="D35" s="1" t="s">
        <v>34</v>
      </c>
      <c r="F35" s="1" t="s">
        <v>35</v>
      </c>
      <c r="G35" s="4">
        <f>8765/2</f>
        <v>4382.5</v>
      </c>
      <c r="H35" s="1" t="s">
        <v>34</v>
      </c>
    </row>
    <row r="36" spans="2:8" x14ac:dyDescent="0.25">
      <c r="B36" s="6"/>
      <c r="C36" s="4">
        <f>C34*8765*(8765/C35)</f>
        <v>2021793.3333333333</v>
      </c>
      <c r="D36" s="1" t="s">
        <v>31</v>
      </c>
      <c r="F36" s="6"/>
      <c r="G36" s="4">
        <f>G34*8765*(8765/G35)</f>
        <v>2611970</v>
      </c>
      <c r="H36" s="1" t="s">
        <v>31</v>
      </c>
    </row>
    <row r="37" spans="2:8" x14ac:dyDescent="0.25">
      <c r="B37" s="1"/>
      <c r="C37" s="4"/>
      <c r="D37" s="1"/>
      <c r="F37" s="1"/>
      <c r="G37" s="4"/>
      <c r="H37" s="1"/>
    </row>
    <row r="38" spans="2:8" x14ac:dyDescent="0.25">
      <c r="B38" s="7"/>
      <c r="C38" s="4"/>
      <c r="D38" s="1"/>
      <c r="F38" s="7"/>
      <c r="G38" s="4"/>
      <c r="H38" s="1"/>
    </row>
    <row r="39" spans="2:8" x14ac:dyDescent="0.25">
      <c r="B39" s="2"/>
      <c r="C39" s="13"/>
      <c r="D39" s="2"/>
      <c r="F39" s="2"/>
      <c r="G39" s="13"/>
      <c r="H39" s="2"/>
    </row>
    <row r="40" spans="2:8" x14ac:dyDescent="0.25">
      <c r="B40" s="40" t="s">
        <v>1</v>
      </c>
      <c r="C40" s="40"/>
      <c r="D40" s="40"/>
      <c r="F40" s="40" t="s">
        <v>1</v>
      </c>
      <c r="G40" s="40"/>
      <c r="H40" s="40"/>
    </row>
    <row r="41" spans="2:8" x14ac:dyDescent="0.25">
      <c r="B41" s="8" t="s">
        <v>7</v>
      </c>
      <c r="C41" s="8">
        <f>$C$3</f>
        <v>135680</v>
      </c>
      <c r="D41" s="9" t="s">
        <v>8</v>
      </c>
      <c r="F41" s="8" t="s">
        <v>7</v>
      </c>
      <c r="G41" s="8">
        <f>$C$3</f>
        <v>135680</v>
      </c>
      <c r="H41" s="9" t="s">
        <v>8</v>
      </c>
    </row>
    <row r="42" spans="2:8" x14ac:dyDescent="0.25">
      <c r="B42" s="7" t="s">
        <v>9</v>
      </c>
      <c r="C42" s="7">
        <f>$C$4</f>
        <v>36000</v>
      </c>
      <c r="D42" s="9" t="s">
        <v>8</v>
      </c>
      <c r="F42" s="7" t="s">
        <v>9</v>
      </c>
      <c r="G42" s="7">
        <f>$C$4</f>
        <v>36000</v>
      </c>
      <c r="H42" s="9" t="s">
        <v>8</v>
      </c>
    </row>
    <row r="43" spans="2:8" x14ac:dyDescent="0.25">
      <c r="B43" s="11" t="s">
        <v>10</v>
      </c>
      <c r="C43" s="11">
        <f>$C$5</f>
        <v>1984720</v>
      </c>
      <c r="D43" s="2" t="s">
        <v>8</v>
      </c>
      <c r="F43" s="11" t="s">
        <v>10</v>
      </c>
      <c r="G43" s="11">
        <f>$C$5</f>
        <v>1984720</v>
      </c>
      <c r="H43" s="2" t="s">
        <v>8</v>
      </c>
    </row>
    <row r="44" spans="2:8" x14ac:dyDescent="0.25">
      <c r="B44" s="41" t="s">
        <v>14</v>
      </c>
      <c r="C44" s="41"/>
      <c r="D44" s="41"/>
      <c r="F44" s="41" t="s">
        <v>14</v>
      </c>
      <c r="G44" s="41"/>
      <c r="H44" s="41"/>
    </row>
    <row r="45" spans="2:8" x14ac:dyDescent="0.25">
      <c r="B45" s="8" t="s">
        <v>7</v>
      </c>
      <c r="C45" s="4">
        <f>C41-C36</f>
        <v>-1886113.3333333333</v>
      </c>
      <c r="D45" s="1"/>
      <c r="F45" s="8" t="s">
        <v>7</v>
      </c>
      <c r="G45" s="4">
        <f>G41-G36</f>
        <v>-2476290</v>
      </c>
      <c r="H45" s="1"/>
    </row>
    <row r="46" spans="2:8" x14ac:dyDescent="0.25">
      <c r="B46" s="8" t="s">
        <v>9</v>
      </c>
      <c r="C46" s="4">
        <f>C42-C36</f>
        <v>-1985793.3333333333</v>
      </c>
      <c r="D46" s="1"/>
      <c r="F46" s="8" t="s">
        <v>9</v>
      </c>
      <c r="G46" s="4">
        <f>G42-G36</f>
        <v>-2575970</v>
      </c>
      <c r="H46" s="1"/>
    </row>
    <row r="47" spans="2:8" x14ac:dyDescent="0.25">
      <c r="B47" s="8" t="s">
        <v>10</v>
      </c>
      <c r="C47" s="4">
        <f>C43-C36</f>
        <v>-37073.333333333256</v>
      </c>
      <c r="D47" s="1"/>
      <c r="F47" s="8" t="s">
        <v>10</v>
      </c>
      <c r="G47" s="4">
        <f>G43-G36</f>
        <v>-627250</v>
      </c>
      <c r="H47" s="1"/>
    </row>
    <row r="48" spans="2:8" x14ac:dyDescent="0.25">
      <c r="B48" s="1"/>
      <c r="C48" s="1"/>
      <c r="D48" s="1"/>
      <c r="F48" s="1"/>
      <c r="G48" s="1"/>
      <c r="H48" s="1"/>
    </row>
    <row r="49" spans="2:20" x14ac:dyDescent="0.25">
      <c r="B49" s="11" t="s">
        <v>15</v>
      </c>
      <c r="C49" s="12">
        <f>MAX(C45:C47)</f>
        <v>-37073.333333333256</v>
      </c>
      <c r="D49" s="2" t="s">
        <v>8</v>
      </c>
      <c r="F49" s="11" t="s">
        <v>15</v>
      </c>
      <c r="G49" s="12">
        <f>MAX(G45:G47)</f>
        <v>-627250</v>
      </c>
      <c r="H49" s="2" t="s">
        <v>8</v>
      </c>
    </row>
    <row r="52" spans="2:20" x14ac:dyDescent="0.25">
      <c r="B52" s="42" t="s">
        <v>45</v>
      </c>
      <c r="C52" s="42"/>
      <c r="D52" s="42"/>
      <c r="F52" s="42" t="s">
        <v>46</v>
      </c>
      <c r="G52" s="42"/>
      <c r="H52" s="42"/>
      <c r="J52" s="42" t="s">
        <v>47</v>
      </c>
      <c r="K52" s="42"/>
      <c r="L52" s="42"/>
      <c r="N52" s="42" t="s">
        <v>48</v>
      </c>
      <c r="O52" s="42"/>
      <c r="P52" s="42"/>
      <c r="R52" s="42" t="s">
        <v>49</v>
      </c>
      <c r="S52" s="42"/>
      <c r="T52" s="42"/>
    </row>
    <row r="53" spans="2:20" x14ac:dyDescent="0.25">
      <c r="B53" s="39" t="s">
        <v>0</v>
      </c>
      <c r="C53" s="39"/>
      <c r="D53" s="39"/>
      <c r="F53" s="39" t="s">
        <v>0</v>
      </c>
      <c r="G53" s="39"/>
      <c r="H53" s="39"/>
      <c r="J53" s="39" t="s">
        <v>0</v>
      </c>
      <c r="K53" s="39"/>
      <c r="L53" s="39"/>
      <c r="N53" s="39" t="s">
        <v>0</v>
      </c>
      <c r="O53" s="39"/>
      <c r="P53" s="39"/>
      <c r="R53" s="39" t="s">
        <v>0</v>
      </c>
      <c r="S53" s="39"/>
      <c r="T53" s="39"/>
    </row>
    <row r="54" spans="2:20" x14ac:dyDescent="0.25">
      <c r="B54" s="6" t="s">
        <v>37</v>
      </c>
      <c r="C54" s="25">
        <v>0.06</v>
      </c>
      <c r="D54" s="1" t="s">
        <v>3</v>
      </c>
      <c r="F54" s="6" t="s">
        <v>37</v>
      </c>
      <c r="G54" s="25">
        <f>0.66/3</f>
        <v>0.22</v>
      </c>
      <c r="H54" s="1" t="s">
        <v>3</v>
      </c>
      <c r="J54" s="6" t="s">
        <v>50</v>
      </c>
      <c r="K54" s="25">
        <v>0.55000000000000004</v>
      </c>
      <c r="L54" s="1" t="s">
        <v>3</v>
      </c>
      <c r="N54" s="6" t="s">
        <v>37</v>
      </c>
      <c r="O54" s="25">
        <v>0.6</v>
      </c>
      <c r="P54" s="1" t="s">
        <v>3</v>
      </c>
      <c r="R54" s="6" t="s">
        <v>37</v>
      </c>
      <c r="S54" s="25">
        <v>0.6</v>
      </c>
      <c r="T54" s="1" t="s">
        <v>3</v>
      </c>
    </row>
    <row r="55" spans="2:20" x14ac:dyDescent="0.25">
      <c r="B55" s="1" t="s">
        <v>41</v>
      </c>
      <c r="C55" s="1">
        <v>1020</v>
      </c>
      <c r="D55" s="1" t="s">
        <v>42</v>
      </c>
      <c r="F55" s="1" t="s">
        <v>41</v>
      </c>
      <c r="G55" s="1">
        <v>2000</v>
      </c>
      <c r="H55" s="1" t="s">
        <v>42</v>
      </c>
      <c r="J55" s="1" t="s">
        <v>51</v>
      </c>
      <c r="K55" s="1">
        <v>27500</v>
      </c>
      <c r="L55" s="1" t="s">
        <v>42</v>
      </c>
      <c r="N55" s="1" t="s">
        <v>41</v>
      </c>
      <c r="O55" s="1">
        <v>30000</v>
      </c>
      <c r="P55" s="1" t="s">
        <v>42</v>
      </c>
      <c r="R55" s="1" t="s">
        <v>41</v>
      </c>
      <c r="S55" s="1">
        <v>18000</v>
      </c>
      <c r="T55" s="1" t="s">
        <v>42</v>
      </c>
    </row>
    <row r="56" spans="2:20" x14ac:dyDescent="0.25">
      <c r="B56" s="1" t="s">
        <v>38</v>
      </c>
      <c r="C56" s="4">
        <v>30</v>
      </c>
      <c r="D56" s="1" t="s">
        <v>39</v>
      </c>
      <c r="F56" s="1" t="s">
        <v>38</v>
      </c>
      <c r="G56" s="4">
        <v>30</v>
      </c>
      <c r="H56" s="1" t="s">
        <v>39</v>
      </c>
      <c r="J56" s="1" t="s">
        <v>38</v>
      </c>
      <c r="K56" s="4">
        <v>25</v>
      </c>
      <c r="L56" s="1" t="s">
        <v>39</v>
      </c>
      <c r="N56" s="1" t="s">
        <v>38</v>
      </c>
      <c r="O56" s="4">
        <v>25</v>
      </c>
      <c r="P56" s="1" t="s">
        <v>39</v>
      </c>
      <c r="R56" s="1" t="s">
        <v>38</v>
      </c>
      <c r="S56" s="4">
        <v>25</v>
      </c>
      <c r="T56" s="1" t="s">
        <v>39</v>
      </c>
    </row>
    <row r="57" spans="2:20" x14ac:dyDescent="0.25">
      <c r="B57" s="6"/>
      <c r="C57" s="4">
        <f>C54*1000000*$I$1/C56 + C55*$I$1</f>
        <v>22650</v>
      </c>
      <c r="D57" s="1" t="s">
        <v>40</v>
      </c>
      <c r="F57" s="6"/>
      <c r="G57" s="4">
        <f>G54*1000000*$I$1/G56 + G55*$I$1</f>
        <v>70000</v>
      </c>
      <c r="H57" s="1" t="s">
        <v>40</v>
      </c>
      <c r="J57" s="6"/>
      <c r="K57" s="4">
        <f>K54*1000000*$I$1/K56 + K55*$I$1</f>
        <v>371250</v>
      </c>
      <c r="L57" s="1" t="s">
        <v>40</v>
      </c>
      <c r="N57" s="6"/>
      <c r="O57" s="4">
        <f>O54*1000000*$I$1/O56 + O55*$I$1</f>
        <v>405000</v>
      </c>
      <c r="P57" s="1" t="s">
        <v>40</v>
      </c>
      <c r="R57" s="6"/>
      <c r="S57" s="4">
        <f>S54*1000000*$I$1/S56 + S55*$I$1</f>
        <v>315000</v>
      </c>
      <c r="T57" s="1" t="s">
        <v>40</v>
      </c>
    </row>
    <row r="58" spans="2:20" x14ac:dyDescent="0.25">
      <c r="B58" s="7"/>
      <c r="C58" s="4"/>
      <c r="D58" s="1"/>
      <c r="F58" s="7"/>
      <c r="G58" s="4"/>
      <c r="H58" s="1"/>
      <c r="J58" s="7"/>
      <c r="K58" s="4"/>
      <c r="L58" s="1"/>
      <c r="N58" s="7"/>
      <c r="O58" s="4"/>
      <c r="P58" s="1"/>
      <c r="R58" s="7"/>
      <c r="S58" s="4"/>
      <c r="T58" s="1"/>
    </row>
    <row r="59" spans="2:20" x14ac:dyDescent="0.25">
      <c r="B59" s="2"/>
      <c r="C59" s="13"/>
      <c r="D59" s="2"/>
      <c r="F59" s="2"/>
      <c r="G59" s="13"/>
      <c r="H59" s="2"/>
      <c r="J59" s="2"/>
      <c r="K59" s="13"/>
      <c r="L59" s="2"/>
      <c r="N59" s="2"/>
      <c r="O59" s="13"/>
      <c r="P59" s="2"/>
      <c r="R59" s="2"/>
      <c r="S59" s="13"/>
      <c r="T59" s="2"/>
    </row>
    <row r="60" spans="2:20" x14ac:dyDescent="0.25">
      <c r="B60" s="40" t="s">
        <v>1</v>
      </c>
      <c r="C60" s="40"/>
      <c r="D60" s="40"/>
      <c r="F60" s="40" t="s">
        <v>1</v>
      </c>
      <c r="G60" s="40"/>
      <c r="H60" s="40"/>
      <c r="J60" s="40" t="s">
        <v>1</v>
      </c>
      <c r="K60" s="40"/>
      <c r="L60" s="40"/>
      <c r="N60" s="40" t="s">
        <v>1</v>
      </c>
      <c r="O60" s="40"/>
      <c r="P60" s="40"/>
      <c r="R60" s="40" t="s">
        <v>1</v>
      </c>
      <c r="S60" s="40"/>
      <c r="T60" s="40"/>
    </row>
    <row r="61" spans="2:20" x14ac:dyDescent="0.25">
      <c r="B61" s="8" t="s">
        <v>7</v>
      </c>
      <c r="C61" s="8">
        <f>$C$3</f>
        <v>135680</v>
      </c>
      <c r="D61" s="9" t="s">
        <v>8</v>
      </c>
      <c r="F61" s="8" t="s">
        <v>7</v>
      </c>
      <c r="G61" s="8">
        <f>$C$3</f>
        <v>135680</v>
      </c>
      <c r="H61" s="9" t="s">
        <v>8</v>
      </c>
      <c r="J61" s="8" t="s">
        <v>7</v>
      </c>
      <c r="K61" s="8">
        <f>$C$3</f>
        <v>135680</v>
      </c>
      <c r="L61" s="9" t="s">
        <v>8</v>
      </c>
      <c r="N61" s="8" t="s">
        <v>7</v>
      </c>
      <c r="O61" s="8">
        <f>$C$3</f>
        <v>135680</v>
      </c>
      <c r="P61" s="9" t="s">
        <v>8</v>
      </c>
      <c r="R61" s="8" t="s">
        <v>7</v>
      </c>
      <c r="S61" s="8">
        <f>$C$3</f>
        <v>135680</v>
      </c>
      <c r="T61" s="9" t="s">
        <v>8</v>
      </c>
    </row>
    <row r="62" spans="2:20" x14ac:dyDescent="0.25">
      <c r="B62" s="7" t="s">
        <v>9</v>
      </c>
      <c r="C62" s="7">
        <f>$C$4</f>
        <v>36000</v>
      </c>
      <c r="D62" s="9" t="s">
        <v>8</v>
      </c>
      <c r="F62" s="7" t="s">
        <v>9</v>
      </c>
      <c r="G62" s="7">
        <f>$C$4</f>
        <v>36000</v>
      </c>
      <c r="H62" s="9" t="s">
        <v>8</v>
      </c>
      <c r="J62" s="7" t="s">
        <v>9</v>
      </c>
      <c r="K62" s="7">
        <f>$C$4</f>
        <v>36000</v>
      </c>
      <c r="L62" s="9" t="s">
        <v>8</v>
      </c>
      <c r="N62" s="7" t="s">
        <v>9</v>
      </c>
      <c r="O62" s="7">
        <f>$C$4</f>
        <v>36000</v>
      </c>
      <c r="P62" s="9" t="s">
        <v>8</v>
      </c>
      <c r="R62" s="7" t="s">
        <v>9</v>
      </c>
      <c r="S62" s="7">
        <f>$C$4</f>
        <v>36000</v>
      </c>
      <c r="T62" s="9" t="s">
        <v>8</v>
      </c>
    </row>
    <row r="63" spans="2:20" x14ac:dyDescent="0.25">
      <c r="B63" s="11" t="s">
        <v>10</v>
      </c>
      <c r="C63" s="11">
        <f>$C$5</f>
        <v>1984720</v>
      </c>
      <c r="D63" s="2" t="s">
        <v>8</v>
      </c>
      <c r="F63" s="11" t="s">
        <v>10</v>
      </c>
      <c r="G63" s="11">
        <f>$C$5</f>
        <v>1984720</v>
      </c>
      <c r="H63" s="2" t="s">
        <v>8</v>
      </c>
      <c r="J63" s="11" t="s">
        <v>10</v>
      </c>
      <c r="K63" s="11">
        <f>$C$5</f>
        <v>1984720</v>
      </c>
      <c r="L63" s="2" t="s">
        <v>8</v>
      </c>
      <c r="N63" s="11" t="s">
        <v>10</v>
      </c>
      <c r="O63" s="11">
        <f>$C$5</f>
        <v>1984720</v>
      </c>
      <c r="P63" s="2" t="s">
        <v>8</v>
      </c>
      <c r="R63" s="11" t="s">
        <v>10</v>
      </c>
      <c r="S63" s="11">
        <f>$C$5</f>
        <v>1984720</v>
      </c>
      <c r="T63" s="2" t="s">
        <v>8</v>
      </c>
    </row>
    <row r="64" spans="2:20" x14ac:dyDescent="0.25">
      <c r="B64" s="41" t="s">
        <v>14</v>
      </c>
      <c r="C64" s="41"/>
      <c r="D64" s="41"/>
      <c r="F64" s="41" t="s">
        <v>14</v>
      </c>
      <c r="G64" s="41"/>
      <c r="H64" s="41"/>
      <c r="J64" s="41" t="s">
        <v>14</v>
      </c>
      <c r="K64" s="41"/>
      <c r="L64" s="41"/>
      <c r="N64" s="41" t="s">
        <v>14</v>
      </c>
      <c r="O64" s="41"/>
      <c r="P64" s="41"/>
      <c r="R64" s="41" t="s">
        <v>14</v>
      </c>
      <c r="S64" s="41"/>
      <c r="T64" s="41"/>
    </row>
    <row r="65" spans="2:20" x14ac:dyDescent="0.25">
      <c r="B65" s="8" t="s">
        <v>7</v>
      </c>
      <c r="C65" s="4">
        <f>C61-C57</f>
        <v>113030</v>
      </c>
      <c r="D65" s="1"/>
      <c r="F65" s="8" t="s">
        <v>7</v>
      </c>
      <c r="G65" s="4">
        <f>G61-G57</f>
        <v>65680</v>
      </c>
      <c r="H65" s="1"/>
      <c r="J65" s="8" t="s">
        <v>7</v>
      </c>
      <c r="K65" s="4">
        <f>K61-K57</f>
        <v>-235570</v>
      </c>
      <c r="L65" s="1"/>
      <c r="N65" s="8" t="s">
        <v>7</v>
      </c>
      <c r="O65" s="4">
        <f>O61-O57</f>
        <v>-269320</v>
      </c>
      <c r="P65" s="1"/>
      <c r="R65" s="8" t="s">
        <v>7</v>
      </c>
      <c r="S65" s="4">
        <f>S61-S57</f>
        <v>-179320</v>
      </c>
      <c r="T65" s="1"/>
    </row>
    <row r="66" spans="2:20" x14ac:dyDescent="0.25">
      <c r="B66" s="8" t="s">
        <v>9</v>
      </c>
      <c r="C66" s="4">
        <f>C62-C57</f>
        <v>13350</v>
      </c>
      <c r="D66" s="1"/>
      <c r="F66" s="8" t="s">
        <v>9</v>
      </c>
      <c r="G66" s="4">
        <f>G62-G57</f>
        <v>-34000</v>
      </c>
      <c r="H66" s="1"/>
      <c r="J66" s="8" t="s">
        <v>9</v>
      </c>
      <c r="K66" s="4">
        <f>K62-K57</f>
        <v>-335250</v>
      </c>
      <c r="L66" s="1"/>
      <c r="N66" s="8" t="s">
        <v>9</v>
      </c>
      <c r="O66" s="4">
        <f>O62-O57</f>
        <v>-369000</v>
      </c>
      <c r="P66" s="1"/>
      <c r="R66" s="8" t="s">
        <v>9</v>
      </c>
      <c r="S66" s="4">
        <f>S62-S57</f>
        <v>-279000</v>
      </c>
      <c r="T66" s="1"/>
    </row>
    <row r="67" spans="2:20" x14ac:dyDescent="0.25">
      <c r="B67" s="8" t="s">
        <v>10</v>
      </c>
      <c r="C67" s="4">
        <f>C63-C57</f>
        <v>1962070</v>
      </c>
      <c r="D67" s="1"/>
      <c r="F67" s="8" t="s">
        <v>10</v>
      </c>
      <c r="G67" s="4"/>
      <c r="H67" s="1"/>
      <c r="J67" s="8" t="s">
        <v>10</v>
      </c>
      <c r="K67" s="4">
        <f>K63-K57</f>
        <v>1613470</v>
      </c>
      <c r="L67" s="1"/>
      <c r="N67" s="8" t="s">
        <v>10</v>
      </c>
      <c r="O67" s="4">
        <f>O63-O57</f>
        <v>1579720</v>
      </c>
      <c r="P67" s="1"/>
      <c r="R67" s="8" t="s">
        <v>10</v>
      </c>
      <c r="S67" s="4">
        <f>S63-S57</f>
        <v>1669720</v>
      </c>
      <c r="T67" s="1"/>
    </row>
    <row r="68" spans="2:20" x14ac:dyDescent="0.25">
      <c r="B68" s="1"/>
      <c r="C68" s="1"/>
      <c r="D68" s="1"/>
      <c r="F68" s="1"/>
      <c r="G68" s="1"/>
      <c r="H68" s="1"/>
      <c r="J68" s="1"/>
      <c r="K68" s="1"/>
      <c r="L68" s="1"/>
      <c r="N68" s="1"/>
      <c r="O68" s="1"/>
      <c r="P68" s="1"/>
      <c r="R68" s="1"/>
      <c r="S68" s="1"/>
      <c r="T68" s="1"/>
    </row>
    <row r="69" spans="2:20" x14ac:dyDescent="0.25">
      <c r="B69" s="11" t="s">
        <v>15</v>
      </c>
      <c r="C69" s="12">
        <f>MAX(C65:C67)</f>
        <v>1962070</v>
      </c>
      <c r="D69" s="2" t="s">
        <v>8</v>
      </c>
      <c r="F69" s="11" t="s">
        <v>15</v>
      </c>
      <c r="G69" s="12">
        <f>MAX(G65:G67)</f>
        <v>65680</v>
      </c>
      <c r="H69" s="2" t="s">
        <v>8</v>
      </c>
      <c r="J69" s="11" t="s">
        <v>15</v>
      </c>
      <c r="K69" s="12">
        <f>MAX(K65:K67)</f>
        <v>1613470</v>
      </c>
      <c r="L69" s="2" t="s">
        <v>8</v>
      </c>
      <c r="N69" s="11" t="s">
        <v>15</v>
      </c>
      <c r="O69" s="12">
        <f>MAX(O65:O67)</f>
        <v>1579720</v>
      </c>
      <c r="P69" s="2" t="s">
        <v>8</v>
      </c>
      <c r="R69" s="11" t="s">
        <v>15</v>
      </c>
      <c r="S69" s="12">
        <f>MAX(S65:S67)</f>
        <v>1669720</v>
      </c>
      <c r="T69" s="2" t="s">
        <v>8</v>
      </c>
    </row>
    <row r="72" spans="2:20" x14ac:dyDescent="0.25">
      <c r="B72" s="42" t="s">
        <v>52</v>
      </c>
      <c r="C72" s="42"/>
      <c r="D72" s="42"/>
      <c r="F72" s="42" t="s">
        <v>53</v>
      </c>
      <c r="G72" s="42"/>
      <c r="H72" s="42"/>
      <c r="J72" s="42" t="s">
        <v>53</v>
      </c>
      <c r="K72" s="42"/>
      <c r="L72" s="42"/>
    </row>
    <row r="73" spans="2:20" x14ac:dyDescent="0.25">
      <c r="B73" s="39" t="s">
        <v>0</v>
      </c>
      <c r="C73" s="39"/>
      <c r="D73" s="39"/>
      <c r="F73" s="39" t="s">
        <v>0</v>
      </c>
      <c r="G73" s="39"/>
      <c r="H73" s="39"/>
      <c r="J73" s="39" t="s">
        <v>0</v>
      </c>
      <c r="K73" s="39"/>
      <c r="L73" s="39"/>
    </row>
    <row r="74" spans="2:20" x14ac:dyDescent="0.25">
      <c r="B74" s="6" t="s">
        <v>37</v>
      </c>
      <c r="C74" s="25">
        <v>0.622</v>
      </c>
      <c r="D74" s="1" t="s">
        <v>3</v>
      </c>
      <c r="F74" s="6" t="s">
        <v>37</v>
      </c>
      <c r="G74" s="25">
        <v>0.35</v>
      </c>
      <c r="H74" s="1" t="s">
        <v>3</v>
      </c>
      <c r="J74" s="6" t="s">
        <v>37</v>
      </c>
      <c r="K74" s="25">
        <v>1.04</v>
      </c>
      <c r="L74" s="1" t="s">
        <v>3</v>
      </c>
    </row>
    <row r="75" spans="2:20" x14ac:dyDescent="0.25">
      <c r="B75" s="1" t="s">
        <v>41</v>
      </c>
      <c r="C75" s="1">
        <v>1800</v>
      </c>
      <c r="D75" s="1" t="s">
        <v>42</v>
      </c>
      <c r="F75" s="1" t="s">
        <v>41</v>
      </c>
      <c r="G75" s="27">
        <f>G74*0.015*1000000</f>
        <v>5249.9999999999991</v>
      </c>
      <c r="H75" s="1" t="s">
        <v>42</v>
      </c>
      <c r="J75" s="1" t="s">
        <v>41</v>
      </c>
      <c r="K75" s="27">
        <v>12600</v>
      </c>
      <c r="L75" s="1" t="s">
        <v>42</v>
      </c>
    </row>
    <row r="76" spans="2:20" x14ac:dyDescent="0.25">
      <c r="B76" s="1" t="s">
        <v>38</v>
      </c>
      <c r="C76" s="4">
        <v>30</v>
      </c>
      <c r="D76" s="1" t="s">
        <v>39</v>
      </c>
      <c r="F76" s="1" t="s">
        <v>38</v>
      </c>
      <c r="G76" s="4">
        <v>25</v>
      </c>
      <c r="H76" s="1" t="s">
        <v>39</v>
      </c>
      <c r="J76" s="1" t="s">
        <v>38</v>
      </c>
      <c r="K76" s="4">
        <v>25</v>
      </c>
      <c r="L76" s="1" t="s">
        <v>39</v>
      </c>
    </row>
    <row r="77" spans="2:20" x14ac:dyDescent="0.25">
      <c r="B77" s="6"/>
      <c r="C77" s="4">
        <f>C74*1000000*$I$1/C76 + C75*$I$1</f>
        <v>169000</v>
      </c>
      <c r="D77" s="1" t="s">
        <v>40</v>
      </c>
      <c r="F77" s="6"/>
      <c r="G77" s="4">
        <f>G74*1000000*$I$1/G76 + G75*$I$1</f>
        <v>144375</v>
      </c>
      <c r="H77" s="1" t="s">
        <v>40</v>
      </c>
      <c r="J77" s="6"/>
      <c r="K77" s="4">
        <f>K74*1000000*$I$1/K76 + K75*$I$1</f>
        <v>406500</v>
      </c>
      <c r="L77" s="1" t="s">
        <v>40</v>
      </c>
    </row>
    <row r="78" spans="2:20" x14ac:dyDescent="0.25">
      <c r="B78" s="7"/>
      <c r="C78" s="4"/>
      <c r="D78" s="1"/>
      <c r="F78" s="7"/>
      <c r="G78" s="4"/>
      <c r="H78" s="1"/>
      <c r="J78" s="7" t="s">
        <v>54</v>
      </c>
      <c r="K78" s="4">
        <v>6000</v>
      </c>
      <c r="L78" s="1"/>
    </row>
    <row r="79" spans="2:20" x14ac:dyDescent="0.25">
      <c r="B79" s="2"/>
      <c r="C79" s="13"/>
      <c r="D79" s="2"/>
      <c r="F79" s="2"/>
      <c r="G79" s="13"/>
      <c r="H79" s="2"/>
      <c r="J79" s="2"/>
      <c r="K79" s="13">
        <f>K77*(8765/K78)</f>
        <v>593828.75</v>
      </c>
      <c r="L79" s="2"/>
    </row>
    <row r="80" spans="2:20" x14ac:dyDescent="0.25">
      <c r="B80" s="40" t="s">
        <v>1</v>
      </c>
      <c r="C80" s="40"/>
      <c r="D80" s="40"/>
      <c r="F80" s="40" t="s">
        <v>1</v>
      </c>
      <c r="G80" s="40"/>
      <c r="H80" s="40"/>
      <c r="J80" s="40" t="s">
        <v>1</v>
      </c>
      <c r="K80" s="40"/>
      <c r="L80" s="40"/>
    </row>
    <row r="81" spans="2:12" x14ac:dyDescent="0.25">
      <c r="B81" s="8" t="s">
        <v>7</v>
      </c>
      <c r="C81" s="8">
        <f>$C$3</f>
        <v>135680</v>
      </c>
      <c r="D81" s="9" t="s">
        <v>8</v>
      </c>
      <c r="F81" s="8" t="s">
        <v>7</v>
      </c>
      <c r="G81" s="8">
        <f>$C$3</f>
        <v>135680</v>
      </c>
      <c r="H81" s="9" t="s">
        <v>8</v>
      </c>
      <c r="J81" s="8" t="s">
        <v>7</v>
      </c>
      <c r="K81" s="8">
        <f>$C$3</f>
        <v>135680</v>
      </c>
      <c r="L81" s="9" t="s">
        <v>8</v>
      </c>
    </row>
    <row r="82" spans="2:12" x14ac:dyDescent="0.25">
      <c r="B82" s="7" t="s">
        <v>9</v>
      </c>
      <c r="C82" s="7">
        <f>$C$4</f>
        <v>36000</v>
      </c>
      <c r="D82" s="9" t="s">
        <v>8</v>
      </c>
      <c r="F82" s="7" t="s">
        <v>9</v>
      </c>
      <c r="G82" s="7">
        <f>$C$4</f>
        <v>36000</v>
      </c>
      <c r="H82" s="9" t="s">
        <v>8</v>
      </c>
      <c r="J82" s="7" t="s">
        <v>9</v>
      </c>
      <c r="K82" s="7">
        <f>$C$4</f>
        <v>36000</v>
      </c>
      <c r="L82" s="9" t="s">
        <v>8</v>
      </c>
    </row>
    <row r="83" spans="2:12" x14ac:dyDescent="0.25">
      <c r="B83" s="11" t="s">
        <v>10</v>
      </c>
      <c r="C83" s="11">
        <f>$C$5</f>
        <v>1984720</v>
      </c>
      <c r="D83" s="2" t="s">
        <v>8</v>
      </c>
      <c r="F83" s="11" t="s">
        <v>10</v>
      </c>
      <c r="G83" s="11">
        <f>$C$5</f>
        <v>1984720</v>
      </c>
      <c r="H83" s="2" t="s">
        <v>8</v>
      </c>
      <c r="J83" s="11" t="s">
        <v>10</v>
      </c>
      <c r="K83" s="11">
        <f>$C$5</f>
        <v>1984720</v>
      </c>
      <c r="L83" s="2" t="s">
        <v>8</v>
      </c>
    </row>
    <row r="84" spans="2:12" x14ac:dyDescent="0.25">
      <c r="B84" s="41" t="s">
        <v>14</v>
      </c>
      <c r="C84" s="41"/>
      <c r="D84" s="41"/>
      <c r="F84" s="41" t="s">
        <v>14</v>
      </c>
      <c r="G84" s="41"/>
      <c r="H84" s="41"/>
      <c r="J84" s="41" t="s">
        <v>14</v>
      </c>
      <c r="K84" s="41"/>
      <c r="L84" s="41"/>
    </row>
    <row r="85" spans="2:12" x14ac:dyDescent="0.25">
      <c r="B85" s="8" t="s">
        <v>7</v>
      </c>
      <c r="C85" s="4">
        <f>C81-C77</f>
        <v>-33320</v>
      </c>
      <c r="D85" s="1"/>
      <c r="F85" s="8" t="s">
        <v>7</v>
      </c>
      <c r="G85" s="4">
        <f>G81-G77</f>
        <v>-8695</v>
      </c>
      <c r="H85" s="1"/>
      <c r="J85" s="8" t="s">
        <v>7</v>
      </c>
      <c r="K85" s="4">
        <f>K81-K79</f>
        <v>-458148.75</v>
      </c>
      <c r="L85" s="1"/>
    </row>
    <row r="86" spans="2:12" x14ac:dyDescent="0.25">
      <c r="B86" s="8" t="s">
        <v>9</v>
      </c>
      <c r="C86" s="4">
        <f>C82-C77</f>
        <v>-133000</v>
      </c>
      <c r="D86" s="1"/>
      <c r="F86" s="8" t="s">
        <v>9</v>
      </c>
      <c r="G86" s="4">
        <f>G82-G77</f>
        <v>-108375</v>
      </c>
      <c r="H86" s="1"/>
      <c r="J86" s="8" t="s">
        <v>9</v>
      </c>
      <c r="K86" s="4">
        <f>K82-K79</f>
        <v>-557828.75</v>
      </c>
      <c r="L86" s="1"/>
    </row>
    <row r="87" spans="2:12" x14ac:dyDescent="0.25">
      <c r="B87" s="8" t="s">
        <v>10</v>
      </c>
      <c r="C87" s="4">
        <f>C83-C77</f>
        <v>1815720</v>
      </c>
      <c r="D87" s="1"/>
      <c r="F87" s="8" t="s">
        <v>10</v>
      </c>
      <c r="G87" s="4">
        <f>G83-G77</f>
        <v>1840345</v>
      </c>
      <c r="H87" s="1"/>
      <c r="J87" s="8" t="s">
        <v>10</v>
      </c>
      <c r="K87" s="4">
        <f>K83-K79</f>
        <v>1390891.25</v>
      </c>
      <c r="L87" s="1"/>
    </row>
    <row r="88" spans="2:12" x14ac:dyDescent="0.25">
      <c r="B88" s="1"/>
      <c r="C88" s="1"/>
      <c r="D88" s="1"/>
      <c r="F88" s="1"/>
      <c r="G88" s="1"/>
      <c r="H88" s="1"/>
      <c r="J88" s="1"/>
      <c r="K88" s="1"/>
      <c r="L88" s="1"/>
    </row>
    <row r="89" spans="2:12" x14ac:dyDescent="0.25">
      <c r="B89" s="11" t="s">
        <v>15</v>
      </c>
      <c r="C89" s="12">
        <f>MAX(C85:C87)</f>
        <v>1815720</v>
      </c>
      <c r="D89" s="2" t="s">
        <v>8</v>
      </c>
      <c r="F89" s="11" t="s">
        <v>15</v>
      </c>
      <c r="G89" s="12">
        <f>MAX(G85:G87)</f>
        <v>1840345</v>
      </c>
      <c r="H89" s="2" t="s">
        <v>8</v>
      </c>
      <c r="J89" s="11" t="s">
        <v>15</v>
      </c>
      <c r="K89" s="12">
        <f>MAX(K85:K87)</f>
        <v>1390891.25</v>
      </c>
      <c r="L89" s="2" t="s">
        <v>8</v>
      </c>
    </row>
    <row r="92" spans="2:12" x14ac:dyDescent="0.25">
      <c r="D92">
        <v>0.04</v>
      </c>
      <c r="E92">
        <v>20</v>
      </c>
    </row>
    <row r="94" spans="2:12" x14ac:dyDescent="0.25">
      <c r="C94">
        <f>0.62*D94</f>
        <v>4.5620685203749879E-2</v>
      </c>
      <c r="D94">
        <f>D92/(1-(1+D92)^-E92)</f>
        <v>7.3581750328628834E-2</v>
      </c>
    </row>
    <row r="96" spans="2:12" x14ac:dyDescent="0.25">
      <c r="C96">
        <f>0.62/30</f>
        <v>2.0666666666666667E-2</v>
      </c>
    </row>
  </sheetData>
  <mergeCells count="61">
    <mergeCell ref="B40:D40"/>
    <mergeCell ref="B44:D44"/>
    <mergeCell ref="F32:H32"/>
    <mergeCell ref="F33:H33"/>
    <mergeCell ref="F40:H40"/>
    <mergeCell ref="F44:H44"/>
    <mergeCell ref="B33:D33"/>
    <mergeCell ref="R8:T8"/>
    <mergeCell ref="R9:T9"/>
    <mergeCell ref="R16:T16"/>
    <mergeCell ref="R20:T20"/>
    <mergeCell ref="B32:D32"/>
    <mergeCell ref="J16:L16"/>
    <mergeCell ref="J20:L20"/>
    <mergeCell ref="N8:P8"/>
    <mergeCell ref="N9:P9"/>
    <mergeCell ref="N16:P16"/>
    <mergeCell ref="N20:P20"/>
    <mergeCell ref="B16:D16"/>
    <mergeCell ref="B8:D8"/>
    <mergeCell ref="B20:D20"/>
    <mergeCell ref="F8:H8"/>
    <mergeCell ref="F9:H9"/>
    <mergeCell ref="F16:H16"/>
    <mergeCell ref="F20:H20"/>
    <mergeCell ref="B2:C2"/>
    <mergeCell ref="B9:D9"/>
    <mergeCell ref="J8:L8"/>
    <mergeCell ref="J9:L9"/>
    <mergeCell ref="J52:L52"/>
    <mergeCell ref="J53:L53"/>
    <mergeCell ref="J60:L60"/>
    <mergeCell ref="J64:L64"/>
    <mergeCell ref="B52:D52"/>
    <mergeCell ref="B53:D53"/>
    <mergeCell ref="B60:D60"/>
    <mergeCell ref="B64:D64"/>
    <mergeCell ref="F52:H52"/>
    <mergeCell ref="F53:H53"/>
    <mergeCell ref="F60:H60"/>
    <mergeCell ref="F64:H64"/>
    <mergeCell ref="J73:L73"/>
    <mergeCell ref="J80:L80"/>
    <mergeCell ref="J84:L84"/>
    <mergeCell ref="B72:D72"/>
    <mergeCell ref="J72:L72"/>
    <mergeCell ref="F72:H72"/>
    <mergeCell ref="R52:T52"/>
    <mergeCell ref="R53:T53"/>
    <mergeCell ref="R60:T60"/>
    <mergeCell ref="R64:T64"/>
    <mergeCell ref="N52:P52"/>
    <mergeCell ref="N53:P53"/>
    <mergeCell ref="N60:P60"/>
    <mergeCell ref="N64:P64"/>
    <mergeCell ref="B73:D73"/>
    <mergeCell ref="B80:D80"/>
    <mergeCell ref="B84:D84"/>
    <mergeCell ref="F73:H73"/>
    <mergeCell ref="F80:H80"/>
    <mergeCell ref="F84:H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</vt:lpstr>
      <vt:lpstr>Gammel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2020-02-12T07:51:23Z</dcterms:created>
  <dcterms:modified xsi:type="dcterms:W3CDTF">2020-02-19T13:55:26Z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55d2808e-d1a9-4eb2-a249-f9a93f38e9e1</vt:lpwstr>
  </property>
</Properties>
</file>