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s\HPRU\Shingrix\HPRU_RZV\docs\tabs\"/>
    </mc:Choice>
  </mc:AlternateContent>
  <xr:revisionPtr revIDLastSave="0" documentId="13_ncr:1_{0459337C-0DEA-422C-99FB-83027E8F58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1" l="1"/>
  <c r="O10" i="1"/>
  <c r="O12" i="1"/>
  <c r="O9" i="1"/>
  <c r="O8" i="1"/>
  <c r="O16" i="1"/>
  <c r="O15" i="1"/>
  <c r="O17" i="1"/>
  <c r="O18" i="1"/>
  <c r="O19" i="1"/>
  <c r="N19" i="1"/>
  <c r="M19" i="1"/>
  <c r="L19" i="1"/>
  <c r="K19" i="1"/>
  <c r="J19" i="1"/>
  <c r="I19" i="1"/>
  <c r="H19" i="1"/>
  <c r="G19" i="1"/>
  <c r="F19" i="1"/>
  <c r="E19" i="1"/>
  <c r="Q19" i="1" s="1"/>
  <c r="D19" i="1"/>
  <c r="N18" i="1"/>
  <c r="M18" i="1"/>
  <c r="P18" i="1" s="1"/>
  <c r="L18" i="1"/>
  <c r="K18" i="1"/>
  <c r="J18" i="1"/>
  <c r="I18" i="1"/>
  <c r="H18" i="1"/>
  <c r="G18" i="1"/>
  <c r="F18" i="1"/>
  <c r="E18" i="1"/>
  <c r="D18" i="1"/>
  <c r="N17" i="1"/>
  <c r="M17" i="1"/>
  <c r="L17" i="1"/>
  <c r="K17" i="1"/>
  <c r="J17" i="1"/>
  <c r="I17" i="1"/>
  <c r="H17" i="1"/>
  <c r="G17" i="1"/>
  <c r="F17" i="1"/>
  <c r="E17" i="1"/>
  <c r="D17" i="1"/>
  <c r="N16" i="1"/>
  <c r="M16" i="1"/>
  <c r="L16" i="1"/>
  <c r="K16" i="1"/>
  <c r="J16" i="1"/>
  <c r="I16" i="1"/>
  <c r="H16" i="1"/>
  <c r="G16" i="1"/>
  <c r="F16" i="1"/>
  <c r="E16" i="1"/>
  <c r="Q16" i="1" s="1"/>
  <c r="D16" i="1"/>
  <c r="N15" i="1"/>
  <c r="M15" i="1"/>
  <c r="L15" i="1"/>
  <c r="K15" i="1"/>
  <c r="J15" i="1"/>
  <c r="I15" i="1"/>
  <c r="H15" i="1"/>
  <c r="G15" i="1"/>
  <c r="F15" i="1"/>
  <c r="E15" i="1"/>
  <c r="Q15" i="1" s="1"/>
  <c r="D15" i="1"/>
  <c r="E9" i="1"/>
  <c r="Q9" i="1" s="1"/>
  <c r="F9" i="1"/>
  <c r="G9" i="1"/>
  <c r="H9" i="1"/>
  <c r="I9" i="1"/>
  <c r="J9" i="1"/>
  <c r="K9" i="1"/>
  <c r="L9" i="1"/>
  <c r="M9" i="1"/>
  <c r="N9" i="1"/>
  <c r="E10" i="1"/>
  <c r="F10" i="1"/>
  <c r="G10" i="1"/>
  <c r="H10" i="1"/>
  <c r="I10" i="1"/>
  <c r="J10" i="1"/>
  <c r="K10" i="1"/>
  <c r="L10" i="1"/>
  <c r="M10" i="1"/>
  <c r="N10" i="1"/>
  <c r="E11" i="1"/>
  <c r="F11" i="1"/>
  <c r="G11" i="1"/>
  <c r="H11" i="1"/>
  <c r="I11" i="1"/>
  <c r="J11" i="1"/>
  <c r="K11" i="1"/>
  <c r="L11" i="1"/>
  <c r="M11" i="1"/>
  <c r="N11" i="1"/>
  <c r="E12" i="1"/>
  <c r="Q12" i="1" s="1"/>
  <c r="F12" i="1"/>
  <c r="G12" i="1"/>
  <c r="H12" i="1"/>
  <c r="I12" i="1"/>
  <c r="J12" i="1"/>
  <c r="K12" i="1"/>
  <c r="L12" i="1"/>
  <c r="M12" i="1"/>
  <c r="N12" i="1"/>
  <c r="N8" i="1"/>
  <c r="M8" i="1"/>
  <c r="L8" i="1"/>
  <c r="K8" i="1"/>
  <c r="J8" i="1"/>
  <c r="I8" i="1"/>
  <c r="H8" i="1"/>
  <c r="G8" i="1"/>
  <c r="F8" i="1"/>
  <c r="E8" i="1"/>
  <c r="I4" i="1"/>
  <c r="I5" i="1"/>
  <c r="I3" i="1"/>
  <c r="H4" i="1"/>
  <c r="H5" i="1"/>
  <c r="H3" i="1"/>
  <c r="F4" i="1"/>
  <c r="F5" i="1"/>
  <c r="F3" i="1"/>
  <c r="O4" i="1"/>
  <c r="O5" i="1"/>
  <c r="O3" i="1"/>
  <c r="N4" i="1"/>
  <c r="N5" i="1"/>
  <c r="N3" i="1"/>
  <c r="M4" i="1"/>
  <c r="M5" i="1"/>
  <c r="M3" i="1"/>
  <c r="L4" i="1"/>
  <c r="L5" i="1"/>
  <c r="L3" i="1"/>
  <c r="K4" i="1"/>
  <c r="K5" i="1"/>
  <c r="K3" i="1"/>
  <c r="J4" i="1"/>
  <c r="J5" i="1"/>
  <c r="J3" i="1"/>
  <c r="B19" i="1"/>
  <c r="B17" i="1"/>
  <c r="G4" i="1"/>
  <c r="G5" i="1"/>
  <c r="G3" i="1"/>
  <c r="D8" i="1"/>
  <c r="D9" i="1"/>
  <c r="D10" i="1"/>
  <c r="D11" i="1"/>
  <c r="D12" i="1"/>
  <c r="C10" i="1"/>
  <c r="C12" i="1"/>
  <c r="C8" i="1"/>
  <c r="C4" i="1"/>
  <c r="D4" i="1"/>
  <c r="E4" i="1"/>
  <c r="Q4" i="1" s="1"/>
  <c r="C5" i="1"/>
  <c r="D5" i="1"/>
  <c r="E5" i="1"/>
  <c r="D3" i="1"/>
  <c r="E3" i="1"/>
  <c r="C3" i="1"/>
  <c r="B10" i="1"/>
  <c r="B12" i="1"/>
  <c r="B8" i="1"/>
  <c r="B4" i="1"/>
  <c r="B5" i="1"/>
  <c r="B3" i="1"/>
  <c r="Q8" i="1" l="1"/>
  <c r="Q18" i="1"/>
  <c r="Q3" i="1"/>
  <c r="Q5" i="1"/>
  <c r="P10" i="1"/>
  <c r="Q10" i="1"/>
  <c r="P12" i="1"/>
  <c r="Q11" i="1"/>
  <c r="Q17" i="1"/>
  <c r="P15" i="1"/>
  <c r="P9" i="1"/>
  <c r="P17" i="1"/>
  <c r="P19" i="1"/>
  <c r="P16" i="1"/>
  <c r="P11" i="1"/>
  <c r="P8" i="1"/>
  <c r="P5" i="1"/>
  <c r="P4" i="1"/>
  <c r="E22" i="1"/>
  <c r="M22" i="1"/>
  <c r="G22" i="1"/>
  <c r="K22" i="1"/>
  <c r="D22" i="1"/>
  <c r="P3" i="1"/>
</calcChain>
</file>

<file path=xl/sharedStrings.xml><?xml version="1.0" encoding="utf-8"?>
<sst xmlns="http://schemas.openxmlformats.org/spreadsheetml/2006/main" count="96" uniqueCount="55">
  <si>
    <t>Eligibility</t>
  </si>
  <si>
    <t>Agp</t>
  </si>
  <si>
    <t>Arm</t>
  </si>
  <si>
    <t>N_All</t>
  </si>
  <si>
    <t>N</t>
  </si>
  <si>
    <t>N_Uptake</t>
  </si>
  <si>
    <t>N_Doses</t>
  </si>
  <si>
    <t>dC_Med_d</t>
  </si>
  <si>
    <t>dQ_All_d</t>
  </si>
  <si>
    <t>Thres</t>
  </si>
  <si>
    <t>Prop_Uptake</t>
  </si>
  <si>
    <t>Prop_Doses</t>
  </si>
  <si>
    <t>Prop_dQ</t>
  </si>
  <si>
    <t>Prop_dC_Med</t>
  </si>
  <si>
    <t>New2023</t>
  </si>
  <si>
    <t>[65,70)</t>
  </si>
  <si>
    <t>SOC</t>
  </si>
  <si>
    <t>[70,75)</t>
  </si>
  <si>
    <t>[75,80)</t>
  </si>
  <si>
    <t>ZVL_85</t>
  </si>
  <si>
    <t>[80,85)</t>
  </si>
  <si>
    <t>UV_85</t>
  </si>
  <si>
    <t>ZVL_90</t>
  </si>
  <si>
    <t>[85,90)</t>
  </si>
  <si>
    <t>UV_95</t>
  </si>
  <si>
    <t>[90,95)</t>
  </si>
  <si>
    <t>Age Group</t>
  </si>
  <si>
    <t>Group</t>
  </si>
  <si>
    <t>Total Population in the age group</t>
  </si>
  <si>
    <t>Eligible population</t>
  </si>
  <si>
    <t>ZVL vaccinated</t>
  </si>
  <si>
    <t>Unvaccinated</t>
  </si>
  <si>
    <t>Newly eligible since 2023</t>
  </si>
  <si>
    <t>cumulative %</t>
  </si>
  <si>
    <t>Uptake</t>
  </si>
  <si>
    <t>thousand</t>
  </si>
  <si>
    <t>Doses</t>
  </si>
  <si>
    <t>million GBP</t>
  </si>
  <si>
    <t>Threshold price per administration</t>
  </si>
  <si>
    <t>GBP</t>
  </si>
  <si>
    <t>Incremental effectiveness</t>
  </si>
  <si>
    <t>QALY</t>
  </si>
  <si>
    <r>
      <t xml:space="preserve">Additional eligibility 3: </t>
    </r>
    <r>
      <rPr>
        <sz val="11"/>
        <color theme="1"/>
        <rFont val="Calibri"/>
        <family val="2"/>
        <scheme val="minor"/>
      </rPr>
      <t>Those who reach age 80 years be called in on 80th birthday, keeping eligibility for higher ages to catch-up</t>
    </r>
  </si>
  <si>
    <r>
      <t xml:space="preserve">Additional eligibility 1: </t>
    </r>
    <r>
      <rPr>
        <sz val="11"/>
        <color theme="1"/>
        <rFont val="Calibri"/>
        <family val="2"/>
        <scheme val="minor"/>
      </rPr>
      <t>Keeping 80+ eligible</t>
    </r>
  </si>
  <si>
    <t>Aligned with ZVL eligibility</t>
  </si>
  <si>
    <t>Saved medical cost</t>
  </si>
  <si>
    <t>Marginal threshold price per administration</t>
  </si>
  <si>
    <t>HZ prevention</t>
  </si>
  <si>
    <t>Cases</t>
  </si>
  <si>
    <t>dRisk_HZ</t>
  </si>
  <si>
    <t>Prop_Case</t>
  </si>
  <si>
    <t>Vac_2d</t>
  </si>
  <si>
    <t>ReVac_RZV_1d</t>
  </si>
  <si>
    <t>Vac_1d</t>
  </si>
  <si>
    <t>Needed to vaccinate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</si>
</sst>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9" fontId="0" fillId="0" borderId="0" xfId="0" applyNumberFormat="1" applyAlignment="1">
      <alignment wrapText="1"/>
    </xf>
    <xf numFmtId="9" fontId="0" fillId="0" borderId="0" xfId="0" applyNumberFormat="1"/>
    <xf numFmtId="164" fontId="0" fillId="0" borderId="0" xfId="0" applyNumberFormat="1" applyAlignment="1">
      <alignment wrapText="1"/>
    </xf>
    <xf numFmtId="164" fontId="0" fillId="0" borderId="0" xfId="0" applyNumberFormat="1"/>
    <xf numFmtId="3" fontId="0" fillId="0" borderId="0" xfId="0" applyNumberFormat="1" applyAlignment="1">
      <alignment wrapText="1"/>
    </xf>
    <xf numFmtId="3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horizontal="center" wrapText="1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workbookViewId="0">
      <selection sqref="A1:Q19"/>
    </sheetView>
  </sheetViews>
  <sheetFormatPr defaultRowHeight="15" x14ac:dyDescent="0.25"/>
  <cols>
    <col min="1" max="1" width="25" customWidth="1"/>
    <col min="2" max="2" width="11.140625" customWidth="1"/>
    <col min="3" max="3" width="12" style="9" customWidth="1"/>
    <col min="4" max="4" width="11.7109375" style="9" customWidth="1"/>
    <col min="5" max="5" width="9.140625" style="3"/>
    <col min="6" max="6" width="13.42578125" style="5" customWidth="1"/>
    <col min="7" max="7" width="9.140625" style="9"/>
    <col min="8" max="8" width="12.5703125" style="5" customWidth="1"/>
    <col min="9" max="9" width="9.5703125" style="5" customWidth="1"/>
    <col min="10" max="10" width="12.5703125" style="5" customWidth="1"/>
    <col min="11" max="11" width="8.5703125" style="9" customWidth="1"/>
    <col min="12" max="12" width="12.5703125" style="5" customWidth="1"/>
    <col min="13" max="13" width="12.28515625" style="7" customWidth="1"/>
    <col min="14" max="14" width="13.140625" style="5" customWidth="1"/>
    <col min="15" max="15" width="14.140625" style="7" customWidth="1"/>
    <col min="16" max="16" width="14.5703125" customWidth="1"/>
  </cols>
  <sheetData>
    <row r="1" spans="1:34" s="1" customFormat="1" ht="75.75" customHeight="1" x14ac:dyDescent="0.25">
      <c r="A1" s="1" t="s">
        <v>27</v>
      </c>
      <c r="B1" s="1" t="s">
        <v>26</v>
      </c>
      <c r="C1" s="8" t="s">
        <v>28</v>
      </c>
      <c r="D1" s="8" t="s">
        <v>29</v>
      </c>
      <c r="E1" s="16" t="s">
        <v>34</v>
      </c>
      <c r="F1" s="16"/>
      <c r="G1" s="14" t="s">
        <v>36</v>
      </c>
      <c r="H1" s="14"/>
      <c r="I1" s="14" t="s">
        <v>47</v>
      </c>
      <c r="J1" s="14"/>
      <c r="K1" s="14" t="s">
        <v>40</v>
      </c>
      <c r="L1" s="14"/>
      <c r="M1" s="13" t="s">
        <v>45</v>
      </c>
      <c r="N1" s="13"/>
      <c r="O1" s="6" t="s">
        <v>38</v>
      </c>
      <c r="P1" s="1" t="s">
        <v>46</v>
      </c>
      <c r="Q1" s="1" t="s">
        <v>54</v>
      </c>
    </row>
    <row r="2" spans="1:34" s="1" customFormat="1" ht="40.5" customHeight="1" x14ac:dyDescent="0.25">
      <c r="C2" s="1" t="s">
        <v>35</v>
      </c>
      <c r="D2" s="1" t="s">
        <v>35</v>
      </c>
      <c r="E2" s="2" t="s">
        <v>35</v>
      </c>
      <c r="F2" s="4" t="s">
        <v>33</v>
      </c>
      <c r="G2" s="8" t="s">
        <v>35</v>
      </c>
      <c r="H2" s="4" t="s">
        <v>33</v>
      </c>
      <c r="I2" s="4" t="s">
        <v>48</v>
      </c>
      <c r="J2" s="4" t="s">
        <v>33</v>
      </c>
      <c r="K2" s="8" t="s">
        <v>41</v>
      </c>
      <c r="L2" s="4" t="s">
        <v>33</v>
      </c>
      <c r="M2" s="6" t="s">
        <v>37</v>
      </c>
      <c r="N2" s="4" t="s">
        <v>33</v>
      </c>
      <c r="O2" s="6" t="s">
        <v>39</v>
      </c>
      <c r="P2" s="1" t="s">
        <v>39</v>
      </c>
      <c r="S2" t="s">
        <v>0</v>
      </c>
      <c r="T2" t="s">
        <v>1</v>
      </c>
      <c r="U2" t="s">
        <v>2</v>
      </c>
      <c r="V2" t="s">
        <v>3</v>
      </c>
      <c r="W2" t="s">
        <v>4</v>
      </c>
      <c r="X2" t="s">
        <v>5</v>
      </c>
      <c r="Y2" t="s">
        <v>6</v>
      </c>
      <c r="Z2" t="s">
        <v>49</v>
      </c>
      <c r="AA2" t="s">
        <v>7</v>
      </c>
      <c r="AB2" t="s">
        <v>8</v>
      </c>
      <c r="AC2" t="s">
        <v>9</v>
      </c>
      <c r="AD2" t="s">
        <v>10</v>
      </c>
      <c r="AE2" t="s">
        <v>11</v>
      </c>
      <c r="AF2" t="s">
        <v>50</v>
      </c>
      <c r="AG2" t="s">
        <v>12</v>
      </c>
      <c r="AH2" t="s">
        <v>13</v>
      </c>
    </row>
    <row r="3" spans="1:34" x14ac:dyDescent="0.25">
      <c r="A3" t="s">
        <v>32</v>
      </c>
      <c r="B3" s="10" t="str">
        <f>T3</f>
        <v>[65,70)</v>
      </c>
      <c r="C3" s="11">
        <f>V3 / 1000</f>
        <v>2965.5050000000001</v>
      </c>
      <c r="D3" s="9">
        <f t="shared" ref="D3:E3" si="0">W3 / 1000</f>
        <v>640.87300000000005</v>
      </c>
      <c r="E3" s="3">
        <f t="shared" si="0"/>
        <v>308.98772385586199</v>
      </c>
      <c r="F3" s="5">
        <f>AD3</f>
        <v>0.50275377571315005</v>
      </c>
      <c r="G3" s="9">
        <f>Y3 / 1000</f>
        <v>617.97544771172397</v>
      </c>
      <c r="H3" s="5">
        <f>AE3</f>
        <v>0.50275377571315005</v>
      </c>
      <c r="I3" s="9">
        <f>-Z3</f>
        <v>23217.646533121999</v>
      </c>
      <c r="J3" s="5">
        <f>AF3</f>
        <v>0.51066118703414098</v>
      </c>
      <c r="K3" s="9">
        <f>AB3</f>
        <v>2746.9011358783</v>
      </c>
      <c r="L3" s="5">
        <f>AG3</f>
        <v>0.49280777719574498</v>
      </c>
      <c r="M3" s="7">
        <f>-AA3/1000000</f>
        <v>3.5657284397508398</v>
      </c>
      <c r="N3" s="5">
        <f>AH3</f>
        <v>0.42661737020471202</v>
      </c>
      <c r="O3" s="7">
        <f>AC3</f>
        <v>94.670025118227699</v>
      </c>
      <c r="P3" s="7">
        <f>(K3 * 20 + M3 * 1000) /G3</f>
        <v>94.670025118227571</v>
      </c>
      <c r="Q3" s="3">
        <f>E3/I3*1000</f>
        <v>13.308313717975853</v>
      </c>
      <c r="S3" t="s">
        <v>14</v>
      </c>
      <c r="T3" t="s">
        <v>15</v>
      </c>
      <c r="U3" t="s">
        <v>51</v>
      </c>
      <c r="V3">
        <v>2965505</v>
      </c>
      <c r="W3">
        <v>640873</v>
      </c>
      <c r="X3">
        <v>308987.72385586199</v>
      </c>
      <c r="Y3">
        <v>617975.44771172397</v>
      </c>
      <c r="Z3">
        <v>-23217.646533121999</v>
      </c>
      <c r="AA3">
        <v>-3565728.43975084</v>
      </c>
      <c r="AB3">
        <v>2746.9011358783</v>
      </c>
      <c r="AC3">
        <v>94.670025118227699</v>
      </c>
      <c r="AD3">
        <v>0.50275377571315005</v>
      </c>
      <c r="AE3">
        <v>0.50275377571315005</v>
      </c>
      <c r="AF3">
        <v>0.51066118703414098</v>
      </c>
      <c r="AG3">
        <v>0.49280777719574498</v>
      </c>
      <c r="AH3">
        <v>0.42661737020471202</v>
      </c>
    </row>
    <row r="4" spans="1:34" x14ac:dyDescent="0.25">
      <c r="A4" s="18" t="s">
        <v>44</v>
      </c>
      <c r="B4" s="10" t="str">
        <f t="shared" ref="B4:B5" si="1">T4</f>
        <v>[70,75)</v>
      </c>
      <c r="C4" s="11">
        <f t="shared" ref="C4:C5" si="2">V4 / 1000</f>
        <v>2662.3220000000001</v>
      </c>
      <c r="D4" s="9">
        <f t="shared" ref="D4:D5" si="3">W4 / 1000</f>
        <v>1053.4762497747899</v>
      </c>
      <c r="E4" s="3">
        <f t="shared" ref="E4:E5" si="4">X4 / 1000</f>
        <v>241.22443116069599</v>
      </c>
      <c r="F4" s="5">
        <f t="shared" ref="F4:F5" si="5">AD4</f>
        <v>0.89524993072826198</v>
      </c>
      <c r="G4" s="9">
        <f t="shared" ref="G4:G5" si="6">Y4 / 1000</f>
        <v>482.44886232139299</v>
      </c>
      <c r="H4" s="5">
        <f t="shared" ref="H4:H5" si="7">AE4</f>
        <v>0.89524993072826198</v>
      </c>
      <c r="I4" s="9">
        <f t="shared" ref="I4:I5" si="8">-Z4</f>
        <v>17934.2966911322</v>
      </c>
      <c r="J4" s="5">
        <f t="shared" ref="J4:J5" si="9">AF4</f>
        <v>0.90511758569844303</v>
      </c>
      <c r="K4" s="9">
        <f t="shared" ref="K4:K5" si="10">AB4</f>
        <v>2252.21658121984</v>
      </c>
      <c r="L4" s="5">
        <f t="shared" ref="L4:L5" si="11">AG4</f>
        <v>0.89686667566042</v>
      </c>
      <c r="M4" s="7">
        <f t="shared" ref="M4:M5" si="12">-AA4/1000000</f>
        <v>3.6212972172669802</v>
      </c>
      <c r="N4" s="5">
        <f t="shared" ref="N4:N5" si="13">AH4</f>
        <v>0.85988320120221595</v>
      </c>
      <c r="O4" s="7">
        <f t="shared" ref="O4:O5" si="14">AC4</f>
        <v>97.3891425533443</v>
      </c>
      <c r="P4" s="7">
        <f>(K4 * 20 + M4 * 1000) /G4</f>
        <v>100.87209783747858</v>
      </c>
      <c r="Q4" s="3">
        <f t="shared" ref="Q4:Q5" si="15">E4/I4*1000</f>
        <v>13.450453916041877</v>
      </c>
      <c r="S4" t="s">
        <v>16</v>
      </c>
      <c r="T4" t="s">
        <v>17</v>
      </c>
      <c r="U4" t="s">
        <v>51</v>
      </c>
      <c r="V4">
        <v>2662322</v>
      </c>
      <c r="W4">
        <v>1053476.2497747899</v>
      </c>
      <c r="X4">
        <v>241224.431160696</v>
      </c>
      <c r="Y4">
        <v>482448.86232139298</v>
      </c>
      <c r="Z4">
        <v>-17934.2966911322</v>
      </c>
      <c r="AA4">
        <v>-3621297.2172669801</v>
      </c>
      <c r="AB4">
        <v>2252.21658121984</v>
      </c>
      <c r="AC4">
        <v>97.3891425533443</v>
      </c>
      <c r="AD4">
        <v>0.89524993072826198</v>
      </c>
      <c r="AE4">
        <v>0.89524993072826198</v>
      </c>
      <c r="AF4">
        <v>0.90511758569844303</v>
      </c>
      <c r="AG4">
        <v>0.89686667566042</v>
      </c>
      <c r="AH4">
        <v>0.85988320120221595</v>
      </c>
    </row>
    <row r="5" spans="1:34" x14ac:dyDescent="0.25">
      <c r="A5" s="18"/>
      <c r="B5" s="10" t="str">
        <f t="shared" si="1"/>
        <v>[75,80)</v>
      </c>
      <c r="C5" s="11">
        <f t="shared" si="2"/>
        <v>2423.598</v>
      </c>
      <c r="D5" s="9">
        <f t="shared" si="3"/>
        <v>474.26387725610499</v>
      </c>
      <c r="E5" s="3">
        <f t="shared" si="4"/>
        <v>64.378403587534507</v>
      </c>
      <c r="F5" s="5">
        <f t="shared" si="5"/>
        <v>1</v>
      </c>
      <c r="G5" s="9">
        <f t="shared" si="6"/>
        <v>128.75680717506901</v>
      </c>
      <c r="H5" s="5">
        <f t="shared" si="7"/>
        <v>1</v>
      </c>
      <c r="I5" s="9">
        <f t="shared" si="8"/>
        <v>4313.9099140414901</v>
      </c>
      <c r="J5" s="5">
        <f t="shared" si="9"/>
        <v>1</v>
      </c>
      <c r="K5" s="9">
        <f t="shared" si="10"/>
        <v>574.86317969119602</v>
      </c>
      <c r="L5" s="5">
        <f t="shared" si="11"/>
        <v>1</v>
      </c>
      <c r="M5" s="7">
        <f t="shared" si="12"/>
        <v>1.17111606149642</v>
      </c>
      <c r="N5" s="5">
        <f t="shared" si="13"/>
        <v>1</v>
      </c>
      <c r="O5" s="7">
        <f t="shared" si="14"/>
        <v>97.493980322839803</v>
      </c>
      <c r="P5" s="7">
        <f>(K5 * 20 + M5 * 1000) /G5</f>
        <v>98.38997978643026</v>
      </c>
      <c r="Q5" s="3">
        <f t="shared" si="15"/>
        <v>14.923446448890154</v>
      </c>
      <c r="S5" t="s">
        <v>16</v>
      </c>
      <c r="T5" t="s">
        <v>18</v>
      </c>
      <c r="U5" t="s">
        <v>51</v>
      </c>
      <c r="V5">
        <v>2423598</v>
      </c>
      <c r="W5">
        <v>474263.87725610501</v>
      </c>
      <c r="X5">
        <v>64378.4035875345</v>
      </c>
      <c r="Y5">
        <v>128756.807175069</v>
      </c>
      <c r="Z5">
        <v>-4313.9099140414901</v>
      </c>
      <c r="AA5">
        <v>-1171116.0614964201</v>
      </c>
      <c r="AB5">
        <v>574.86317969119602</v>
      </c>
      <c r="AC5">
        <v>97.493980322839803</v>
      </c>
      <c r="AD5">
        <v>1</v>
      </c>
      <c r="AE5">
        <v>1</v>
      </c>
      <c r="AF5">
        <v>1</v>
      </c>
      <c r="AG5">
        <v>1</v>
      </c>
      <c r="AH5">
        <v>1</v>
      </c>
    </row>
    <row r="6" spans="1:34" x14ac:dyDescent="0.25">
      <c r="B6" s="10"/>
      <c r="C6" s="11"/>
      <c r="P6" s="7"/>
      <c r="Q6" s="3"/>
    </row>
    <row r="7" spans="1:34" x14ac:dyDescent="0.25">
      <c r="A7" s="12" t="s">
        <v>43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7"/>
      <c r="Q7" s="3"/>
    </row>
    <row r="8" spans="1:34" x14ac:dyDescent="0.25">
      <c r="A8" t="s">
        <v>30</v>
      </c>
      <c r="B8" s="15" t="str">
        <f>T8</f>
        <v>[80,85)</v>
      </c>
      <c r="C8" s="17">
        <f>V8/1000</f>
        <v>1508.4970000000001</v>
      </c>
      <c r="D8" s="9">
        <f>W8/1000</f>
        <v>1075.4017824339201</v>
      </c>
      <c r="E8" s="3">
        <f t="shared" ref="E8" si="16">X8 / 1000</f>
        <v>145.979175915393</v>
      </c>
      <c r="F8" s="5">
        <f t="shared" ref="F8" si="17">AD8</f>
        <v>1.23752264637281</v>
      </c>
      <c r="G8" s="9">
        <f t="shared" ref="G8" si="18">Y8 / 1000</f>
        <v>291.958351830786</v>
      </c>
      <c r="H8" s="5">
        <f t="shared" ref="H8" si="19">AE8</f>
        <v>1.23752264637281</v>
      </c>
      <c r="I8" s="9">
        <f t="shared" ref="I8" si="20">-Z8</f>
        <v>5467.3873239638797</v>
      </c>
      <c r="J8" s="5">
        <f t="shared" ref="J8" si="21">AF8</f>
        <v>1.1202526060015501</v>
      </c>
      <c r="K8" s="9">
        <f t="shared" ref="K8" si="22">AB8</f>
        <v>601.68272542949398</v>
      </c>
      <c r="L8" s="5">
        <f t="shared" ref="L8" si="23">AG8</f>
        <v>1.10794488473687</v>
      </c>
      <c r="M8" s="7">
        <f t="shared" ref="M8" si="24">-AA8/1000000</f>
        <v>1.49042303305565</v>
      </c>
      <c r="N8" s="5">
        <f t="shared" ref="N8" si="25">AH8</f>
        <v>1.17831990450152</v>
      </c>
      <c r="O8" s="7">
        <f>((SUM($K$3:$K$5)+ SUM($K$8:K8)) * 20 + (SUM($M$3:$M$5) + SUM($M$8:M8)) * 1000) /(SUM($G$3:$G$5) + SUM($G$8:G8))</f>
        <v>87.672327166819258</v>
      </c>
      <c r="P8" s="7">
        <f>(K8 * 20 + M8 * 1000) /G8</f>
        <v>46.321940978362043</v>
      </c>
      <c r="Q8" s="3">
        <f t="shared" ref="Q8:Q12" si="26">E8/I8*1000</f>
        <v>26.699987995282079</v>
      </c>
      <c r="S8" t="s">
        <v>19</v>
      </c>
      <c r="T8" t="s">
        <v>20</v>
      </c>
      <c r="U8" t="s">
        <v>52</v>
      </c>
      <c r="V8">
        <v>1508497</v>
      </c>
      <c r="W8">
        <v>1075401.7824339201</v>
      </c>
      <c r="X8">
        <v>145979.17591539299</v>
      </c>
      <c r="Y8">
        <v>291958.35183078598</v>
      </c>
      <c r="Z8">
        <v>-5467.3873239638797</v>
      </c>
      <c r="AA8">
        <v>-1490423.0330556501</v>
      </c>
      <c r="AB8">
        <v>601.68272542949398</v>
      </c>
      <c r="AC8">
        <v>96.979121534279201</v>
      </c>
      <c r="AD8">
        <v>1.23752264637281</v>
      </c>
      <c r="AE8">
        <v>1.23752264637281</v>
      </c>
      <c r="AF8">
        <v>1.1202526060015501</v>
      </c>
      <c r="AG8">
        <v>1.10794488473687</v>
      </c>
      <c r="AH8">
        <v>1.17831990450152</v>
      </c>
    </row>
    <row r="9" spans="1:34" x14ac:dyDescent="0.25">
      <c r="A9" t="s">
        <v>31</v>
      </c>
      <c r="B9" s="15"/>
      <c r="C9" s="17"/>
      <c r="D9" s="9">
        <f t="shared" ref="D9:D12" si="27">W9/1000</f>
        <v>433.09521756606995</v>
      </c>
      <c r="E9" s="3">
        <f t="shared" ref="E9:E12" si="28">X9 / 1000</f>
        <v>58.790011311030398</v>
      </c>
      <c r="F9" s="5">
        <f t="shared" ref="F9:F12" si="29">AD9</f>
        <v>1.3331798452802599</v>
      </c>
      <c r="G9" s="9">
        <f t="shared" ref="G9:G12" si="30">Y9 / 1000</f>
        <v>117.58002262206</v>
      </c>
      <c r="H9" s="5">
        <f t="shared" ref="H9:H12" si="31">AE9</f>
        <v>1.3331798452802599</v>
      </c>
      <c r="I9" s="9">
        <f t="shared" ref="I9:I12" si="32">-Z9</f>
        <v>2563.8673259979701</v>
      </c>
      <c r="J9" s="5">
        <f t="shared" ref="J9:J12" si="33">AF9</f>
        <v>1.17664365882528</v>
      </c>
      <c r="K9" s="9">
        <f t="shared" ref="K9:K12" si="34">AB9</f>
        <v>369.71672149104398</v>
      </c>
      <c r="L9" s="5">
        <f t="shared" ref="L9:L12" si="35">AG9</f>
        <v>1.1742739103178601</v>
      </c>
      <c r="M9" s="7">
        <f t="shared" ref="M9:M12" si="36">-AA9/1000000</f>
        <v>0.95624048615763502</v>
      </c>
      <c r="N9" s="5">
        <f t="shared" ref="N9:N12" si="37">AH9</f>
        <v>1.2927281687260199</v>
      </c>
      <c r="O9" s="7">
        <f>((SUM($K$3:$K$5)+ SUM($K$8:K9)) * 20 + (SUM($M$3:$M$5) + SUM($M$8:M9)) * 1000) /(SUM($G$3:$G$5) + SUM($G$8:G9))</f>
        <v>86.477528846796758</v>
      </c>
      <c r="P9" s="7">
        <f t="shared" ref="P9:P12" si="38">(K9 * 20 + M9 * 1000) /G9</f>
        <v>71.020354731687263</v>
      </c>
      <c r="Q9" s="3">
        <f t="shared" si="26"/>
        <v>22.930208094190963</v>
      </c>
      <c r="S9" t="s">
        <v>21</v>
      </c>
      <c r="T9" t="s">
        <v>20</v>
      </c>
      <c r="U9" t="s">
        <v>53</v>
      </c>
      <c r="V9">
        <v>1508497</v>
      </c>
      <c r="W9">
        <v>433095.21756606997</v>
      </c>
      <c r="X9">
        <v>58790.011311030401</v>
      </c>
      <c r="Y9">
        <v>117580.02262206</v>
      </c>
      <c r="Z9">
        <v>-2563.8673259979701</v>
      </c>
      <c r="AA9">
        <v>-956240.48615763499</v>
      </c>
      <c r="AB9">
        <v>369.71672149104398</v>
      </c>
      <c r="AC9">
        <v>98.826585324238806</v>
      </c>
      <c r="AD9">
        <v>1.3331798452802599</v>
      </c>
      <c r="AE9">
        <v>1.3331798452802599</v>
      </c>
      <c r="AF9">
        <v>1.17664365882528</v>
      </c>
      <c r="AG9">
        <v>1.1742739103178601</v>
      </c>
      <c r="AH9">
        <v>1.2927281687260199</v>
      </c>
    </row>
    <row r="10" spans="1:34" x14ac:dyDescent="0.25">
      <c r="A10" t="s">
        <v>30</v>
      </c>
      <c r="B10" s="15" t="str">
        <f>T10</f>
        <v>[85,90)</v>
      </c>
      <c r="C10" s="17">
        <f>V10/1000</f>
        <v>940.56899999999996</v>
      </c>
      <c r="D10" s="9">
        <f t="shared" si="27"/>
        <v>344.41771727378898</v>
      </c>
      <c r="E10" s="3">
        <f t="shared" si="28"/>
        <v>46.752586205033197</v>
      </c>
      <c r="F10" s="5">
        <f t="shared" si="29"/>
        <v>1.4092509556325299</v>
      </c>
      <c r="G10" s="9">
        <f t="shared" si="30"/>
        <v>93.505172410066507</v>
      </c>
      <c r="H10" s="5">
        <f t="shared" si="31"/>
        <v>1.4092509556325299</v>
      </c>
      <c r="I10" s="9">
        <f t="shared" si="32"/>
        <v>1774.83334438626</v>
      </c>
      <c r="J10" s="5">
        <f t="shared" si="33"/>
        <v>1.2156802812985901</v>
      </c>
      <c r="K10" s="9">
        <f t="shared" si="34"/>
        <v>167.63179439661999</v>
      </c>
      <c r="L10" s="5">
        <f t="shared" si="35"/>
        <v>1.20434789110476</v>
      </c>
      <c r="M10" s="7">
        <f t="shared" si="36"/>
        <v>0.49919508742090102</v>
      </c>
      <c r="N10" s="5">
        <f t="shared" si="37"/>
        <v>1.35245377571294</v>
      </c>
      <c r="O10" s="7">
        <f>((SUM($K$3:$K$5)+ SUM($K$8:K10)) * 20 + (SUM($M$3:$M$5) + SUM($M$8:M10)) * 1000) /(SUM($G$3:$G$5) + SUM($G$8:G10))</f>
        <v>84.033120014104398</v>
      </c>
      <c r="P10" s="7">
        <f t="shared" si="38"/>
        <v>41.193774377112675</v>
      </c>
      <c r="Q10" s="3">
        <f t="shared" si="26"/>
        <v>26.341958445230986</v>
      </c>
      <c r="S10" t="s">
        <v>22</v>
      </c>
      <c r="T10" t="s">
        <v>23</v>
      </c>
      <c r="U10" t="s">
        <v>52</v>
      </c>
      <c r="V10">
        <v>940569</v>
      </c>
      <c r="W10">
        <v>344417.71727378899</v>
      </c>
      <c r="X10">
        <v>46752.5862050332</v>
      </c>
      <c r="Y10">
        <v>93505.172410066501</v>
      </c>
      <c r="Z10">
        <v>-1774.83334438626</v>
      </c>
      <c r="AA10">
        <v>-499195.08742090099</v>
      </c>
      <c r="AB10">
        <v>167.63179439661999</v>
      </c>
      <c r="AC10">
        <v>98.307529489860499</v>
      </c>
      <c r="AD10">
        <v>1.4092509556325299</v>
      </c>
      <c r="AE10">
        <v>1.4092509556325299</v>
      </c>
      <c r="AF10">
        <v>1.2156802812985901</v>
      </c>
      <c r="AG10">
        <v>1.20434789110476</v>
      </c>
      <c r="AH10">
        <v>1.35245377571294</v>
      </c>
    </row>
    <row r="11" spans="1:34" x14ac:dyDescent="0.25">
      <c r="A11" t="s">
        <v>31</v>
      </c>
      <c r="B11" s="15"/>
      <c r="C11" s="17"/>
      <c r="D11" s="9">
        <f t="shared" si="27"/>
        <v>596.15128272620996</v>
      </c>
      <c r="E11" s="3">
        <f t="shared" si="28"/>
        <v>80.923869008580112</v>
      </c>
      <c r="F11" s="5">
        <f t="shared" si="29"/>
        <v>1.54092214367092</v>
      </c>
      <c r="G11" s="9">
        <f t="shared" si="30"/>
        <v>161.84773801716</v>
      </c>
      <c r="H11" s="5">
        <f t="shared" si="31"/>
        <v>1.54092214367092</v>
      </c>
      <c r="I11" s="9">
        <f t="shared" si="32"/>
        <v>2719.1285037150701</v>
      </c>
      <c r="J11" s="5">
        <f t="shared" si="33"/>
        <v>1.2754862305115999</v>
      </c>
      <c r="K11" s="9">
        <f t="shared" si="34"/>
        <v>411.530665807768</v>
      </c>
      <c r="L11" s="5">
        <f t="shared" si="35"/>
        <v>1.2781785470449001</v>
      </c>
      <c r="M11" s="7">
        <f t="shared" si="36"/>
        <v>1.2944099341038802</v>
      </c>
      <c r="N11" s="5">
        <f t="shared" si="37"/>
        <v>1.50732192436332</v>
      </c>
      <c r="O11" s="7">
        <f>((SUM($K$3:$K$5)+ SUM($K$8:K11)) * 20 + (SUM($M$3:$M$5) + SUM($M$8:M11)) * 1000) /(SUM($G$3:$G$5) + SUM($G$8:G11))</f>
        <v>81.881382235730811</v>
      </c>
      <c r="P11" s="7">
        <f t="shared" si="38"/>
        <v>58.85175391978197</v>
      </c>
      <c r="Q11" s="3">
        <f t="shared" si="26"/>
        <v>29.760957931195993</v>
      </c>
      <c r="S11" t="s">
        <v>24</v>
      </c>
      <c r="T11" t="s">
        <v>23</v>
      </c>
      <c r="U11" t="s">
        <v>53</v>
      </c>
      <c r="V11">
        <v>940569</v>
      </c>
      <c r="W11">
        <v>596151.28272620996</v>
      </c>
      <c r="X11">
        <v>80923.869008580106</v>
      </c>
      <c r="Y11">
        <v>161847.73801716001</v>
      </c>
      <c r="Z11">
        <v>-2719.1285037150701</v>
      </c>
      <c r="AA11">
        <v>-1294409.9341038801</v>
      </c>
      <c r="AB11">
        <v>411.530665807768</v>
      </c>
      <c r="AC11">
        <v>99.312633687497495</v>
      </c>
      <c r="AD11">
        <v>1.54092214367092</v>
      </c>
      <c r="AE11">
        <v>1.54092214367092</v>
      </c>
      <c r="AF11">
        <v>1.2754862305115999</v>
      </c>
      <c r="AG11">
        <v>1.2781785470449001</v>
      </c>
      <c r="AH11">
        <v>1.50732192436332</v>
      </c>
    </row>
    <row r="12" spans="1:34" x14ac:dyDescent="0.25">
      <c r="A12" t="s">
        <v>31</v>
      </c>
      <c r="B12" s="10" t="str">
        <f>T12</f>
        <v>[90,95)</v>
      </c>
      <c r="C12" s="11">
        <f>V12/1000</f>
        <v>417.13799999999998</v>
      </c>
      <c r="D12" s="9">
        <f t="shared" si="27"/>
        <v>417.13799999999998</v>
      </c>
      <c r="E12" s="3">
        <f t="shared" si="28"/>
        <v>56.6239171978836</v>
      </c>
      <c r="F12" s="5">
        <f t="shared" si="29"/>
        <v>1.63305489189682</v>
      </c>
      <c r="G12" s="9">
        <f t="shared" si="30"/>
        <v>113.247834395767</v>
      </c>
      <c r="H12" s="5">
        <f t="shared" si="31"/>
        <v>1.63305489189682</v>
      </c>
      <c r="I12" s="9">
        <f t="shared" si="32"/>
        <v>1398.2286690972801</v>
      </c>
      <c r="J12" s="5">
        <f t="shared" si="33"/>
        <v>1.3062396107427801</v>
      </c>
      <c r="K12" s="9">
        <f t="shared" si="34"/>
        <v>215.06649113910299</v>
      </c>
      <c r="L12" s="5">
        <f t="shared" si="35"/>
        <v>1.3167625492367601</v>
      </c>
      <c r="M12" s="7">
        <f t="shared" si="36"/>
        <v>0.78007425764216398</v>
      </c>
      <c r="N12" s="5">
        <f t="shared" si="37"/>
        <v>1.6006529881228899</v>
      </c>
      <c r="O12" s="7">
        <f>((SUM($K$3:$K$5)+ SUM($K$8:K12)) * 20 + (SUM($M$3:$M$5) + SUM($M$8:M12)) * 1000) /(SUM($G$3:$G$5) + SUM($G$8:G12))</f>
        <v>79.793282360622712</v>
      </c>
      <c r="P12" s="7">
        <f t="shared" si="38"/>
        <v>44.869768217079098</v>
      </c>
      <c r="Q12" s="3">
        <f t="shared" si="26"/>
        <v>40.496893283157291</v>
      </c>
      <c r="S12" t="s">
        <v>24</v>
      </c>
      <c r="T12" t="s">
        <v>25</v>
      </c>
      <c r="U12" t="s">
        <v>53</v>
      </c>
      <c r="V12">
        <v>417138</v>
      </c>
      <c r="W12">
        <v>417138</v>
      </c>
      <c r="X12">
        <v>56623.917197883602</v>
      </c>
      <c r="Y12">
        <v>113247.834395767</v>
      </c>
      <c r="Z12">
        <v>-1398.2286690972801</v>
      </c>
      <c r="AA12">
        <v>-780074.25764216401</v>
      </c>
      <c r="AB12">
        <v>215.06649113910299</v>
      </c>
      <c r="AC12">
        <v>98.977663170286405</v>
      </c>
      <c r="AD12">
        <v>1.63305489189682</v>
      </c>
      <c r="AE12">
        <v>1.63305489189682</v>
      </c>
      <c r="AF12">
        <v>1.3062396107427801</v>
      </c>
      <c r="AG12">
        <v>1.3167625492367601</v>
      </c>
      <c r="AH12">
        <v>1.6006529881228899</v>
      </c>
    </row>
    <row r="13" spans="1:34" x14ac:dyDescent="0.25">
      <c r="P13" s="7"/>
      <c r="Q13" s="3"/>
    </row>
    <row r="14" spans="1:34" x14ac:dyDescent="0.25">
      <c r="A14" s="12" t="s">
        <v>42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7"/>
      <c r="Q14" s="3"/>
    </row>
    <row r="15" spans="1:34" x14ac:dyDescent="0.25">
      <c r="A15" t="s">
        <v>30</v>
      </c>
      <c r="B15" s="15" t="s">
        <v>20</v>
      </c>
      <c r="C15" s="17">
        <v>1508.4970000000001</v>
      </c>
      <c r="D15" s="9">
        <f t="shared" ref="D15:D19" si="39">W15/1000</f>
        <v>1075.4017824339201</v>
      </c>
      <c r="E15" s="3">
        <f t="shared" ref="E15:E19" si="40">X15 / 1000</f>
        <v>256.661789483196</v>
      </c>
      <c r="F15" s="5">
        <f t="shared" ref="F15:F19" si="41">AD15</f>
        <v>1.4176142732588399</v>
      </c>
      <c r="G15" s="9">
        <f t="shared" ref="G15:G19" si="42">Y15 / 1000</f>
        <v>513.32357896639303</v>
      </c>
      <c r="H15" s="5">
        <f t="shared" ref="H15:H19" si="43">AE15</f>
        <v>1.4176142732588399</v>
      </c>
      <c r="I15" s="9">
        <f t="shared" ref="I15:I19" si="44">-Z15</f>
        <v>9869.6693576464895</v>
      </c>
      <c r="J15" s="5">
        <f t="shared" ref="J15:J19" si="45">AF15</f>
        <v>1.2170787234020499</v>
      </c>
      <c r="K15" s="9">
        <f t="shared" ref="K15:K19" si="46">AB15</f>
        <v>1093.2241011594599</v>
      </c>
      <c r="L15" s="5">
        <f t="shared" ref="L15:L19" si="47">AG15</f>
        <v>1.19612986147641</v>
      </c>
      <c r="M15" s="7">
        <f t="shared" ref="M15:M19" si="48">-AA15/1000000</f>
        <v>2.6035075538759598</v>
      </c>
      <c r="N15" s="5">
        <f t="shared" ref="N15:N19" si="49">AH15</f>
        <v>1.3114935881152701</v>
      </c>
      <c r="O15" s="7">
        <f>((SUM($K$3:$K$5)+ SUM($K$15:K15)) * 20 + (SUM($M$3:$M$5) + SUM($M$15:M15)) * 1000) /(SUM($G$3:$G$5) + SUM($G$15:G15))</f>
        <v>82.815127872061908</v>
      </c>
      <c r="P15" s="7">
        <f>(K15 * 20 + M15 * 1000) /G15</f>
        <v>47.665820507082259</v>
      </c>
      <c r="Q15" s="3">
        <f t="shared" ref="Q15:Q19" si="50">E15/I15*1000</f>
        <v>26.005105154241893</v>
      </c>
      <c r="S15" t="s">
        <v>19</v>
      </c>
      <c r="T15" t="s">
        <v>20</v>
      </c>
      <c r="U15" t="s">
        <v>52</v>
      </c>
      <c r="V15">
        <v>1508497</v>
      </c>
      <c r="W15">
        <v>1075401.7824339201</v>
      </c>
      <c r="X15">
        <v>256661.78948319599</v>
      </c>
      <c r="Y15">
        <v>513323.57896639302</v>
      </c>
      <c r="Z15">
        <v>-9869.6693576464895</v>
      </c>
      <c r="AA15">
        <v>-2603507.5538759599</v>
      </c>
      <c r="AB15">
        <v>1093.2241011594599</v>
      </c>
      <c r="AC15">
        <v>97.120461780647304</v>
      </c>
      <c r="AD15">
        <v>1.4176142732588399</v>
      </c>
      <c r="AE15">
        <v>1.4176142732588399</v>
      </c>
      <c r="AF15">
        <v>1.2170787234020499</v>
      </c>
      <c r="AG15">
        <v>1.19612986147641</v>
      </c>
      <c r="AH15">
        <v>1.3114935881152701</v>
      </c>
    </row>
    <row r="16" spans="1:34" x14ac:dyDescent="0.25">
      <c r="A16" t="s">
        <v>31</v>
      </c>
      <c r="B16" s="15"/>
      <c r="C16" s="17"/>
      <c r="D16" s="9">
        <f t="shared" si="39"/>
        <v>433.09521756606995</v>
      </c>
      <c r="E16" s="3">
        <f t="shared" si="40"/>
        <v>76.705702678003306</v>
      </c>
      <c r="F16" s="5">
        <f t="shared" si="41"/>
        <v>1.54242208490538</v>
      </c>
      <c r="G16" s="9">
        <f t="shared" si="42"/>
        <v>153.41140535600599</v>
      </c>
      <c r="H16" s="5">
        <f t="shared" si="43"/>
        <v>1.54242208490538</v>
      </c>
      <c r="I16" s="9">
        <f t="shared" si="44"/>
        <v>3427.5937526859798</v>
      </c>
      <c r="J16" s="5">
        <f t="shared" si="45"/>
        <v>1.29246703168387</v>
      </c>
      <c r="K16" s="9">
        <f t="shared" si="46"/>
        <v>490.93811708074998</v>
      </c>
      <c r="L16" s="5">
        <f t="shared" si="47"/>
        <v>1.28420661060261</v>
      </c>
      <c r="M16" s="7">
        <f t="shared" si="48"/>
        <v>1.23929642624046</v>
      </c>
      <c r="N16" s="5">
        <f t="shared" si="49"/>
        <v>1.45976774617307</v>
      </c>
      <c r="O16" s="7">
        <f>((SUM($K$3:$K$5)+ SUM($K$15:K16)) * 20 + (SUM($M$3:$M$5) + SUM($M$15:M16)) * 1000) /(SUM($G$3:$G$5) + SUM($G$15:G16))</f>
        <v>81.946562864145406</v>
      </c>
      <c r="P16" s="7">
        <f t="shared" ref="P16:P19" si="51">(K16 * 20 + M16 * 1000) /G16</f>
        <v>72.081073386911271</v>
      </c>
      <c r="Q16" s="3">
        <f t="shared" si="50"/>
        <v>22.378878073836518</v>
      </c>
      <c r="S16" t="s">
        <v>21</v>
      </c>
      <c r="T16" t="s">
        <v>20</v>
      </c>
      <c r="U16" t="s">
        <v>53</v>
      </c>
      <c r="V16">
        <v>1508497</v>
      </c>
      <c r="W16">
        <v>433095.21756606997</v>
      </c>
      <c r="X16">
        <v>76705.702678003305</v>
      </c>
      <c r="Y16">
        <v>153411.405356006</v>
      </c>
      <c r="Z16">
        <v>-3427.5937526859798</v>
      </c>
      <c r="AA16">
        <v>-1239296.42624046</v>
      </c>
      <c r="AB16">
        <v>490.93811708074998</v>
      </c>
      <c r="AC16">
        <v>99.429743860527694</v>
      </c>
      <c r="AD16">
        <v>1.54242208490538</v>
      </c>
      <c r="AE16">
        <v>1.54242208490538</v>
      </c>
      <c r="AF16">
        <v>1.29246703168387</v>
      </c>
      <c r="AG16">
        <v>1.28420661060261</v>
      </c>
      <c r="AH16">
        <v>1.45976774617307</v>
      </c>
    </row>
    <row r="17" spans="1:34" x14ac:dyDescent="0.25">
      <c r="A17" t="s">
        <v>30</v>
      </c>
      <c r="B17" s="15" t="str">
        <f t="shared" ref="B17" si="52">T15</f>
        <v>[80,85)</v>
      </c>
      <c r="C17" s="17">
        <v>940.56899999999996</v>
      </c>
      <c r="D17" s="9">
        <f t="shared" si="39"/>
        <v>344.41771727378898</v>
      </c>
      <c r="E17" s="3">
        <f t="shared" si="40"/>
        <v>46.752586205033197</v>
      </c>
      <c r="F17" s="5">
        <f t="shared" si="41"/>
        <v>1.61849319525765</v>
      </c>
      <c r="G17" s="9">
        <f t="shared" si="42"/>
        <v>93.505172410066507</v>
      </c>
      <c r="H17" s="5">
        <f t="shared" si="43"/>
        <v>1.61849319525765</v>
      </c>
      <c r="I17" s="9">
        <f t="shared" si="44"/>
        <v>1774.83334438626</v>
      </c>
      <c r="J17" s="5">
        <f t="shared" si="45"/>
        <v>1.3315036541571701</v>
      </c>
      <c r="K17" s="9">
        <f t="shared" si="46"/>
        <v>167.63179439661999</v>
      </c>
      <c r="L17" s="5">
        <f t="shared" si="47"/>
        <v>1.3142805913895099</v>
      </c>
      <c r="M17" s="7">
        <f t="shared" si="48"/>
        <v>0.49919508742090102</v>
      </c>
      <c r="N17" s="5">
        <f t="shared" si="49"/>
        <v>1.5194933531599799</v>
      </c>
      <c r="O17" s="7">
        <f>((SUM($K$3:$K$5)+ SUM($K$15:K17)) * 20 + (SUM($M$3:$M$5) + SUM($M$15:M17)) * 1000) /(SUM($G$3:$G$5) + SUM($G$15:G17))</f>
        <v>80.03113320448216</v>
      </c>
      <c r="P17" s="7">
        <f t="shared" si="51"/>
        <v>41.193774377112675</v>
      </c>
      <c r="Q17" s="3">
        <f t="shared" si="50"/>
        <v>26.341958445230986</v>
      </c>
      <c r="S17" t="s">
        <v>22</v>
      </c>
      <c r="T17" t="s">
        <v>23</v>
      </c>
      <c r="U17" t="s">
        <v>52</v>
      </c>
      <c r="V17">
        <v>940569</v>
      </c>
      <c r="W17">
        <v>344417.71727378899</v>
      </c>
      <c r="X17">
        <v>46752.5862050332</v>
      </c>
      <c r="Y17">
        <v>93505.172410066501</v>
      </c>
      <c r="Z17">
        <v>-1774.83334438626</v>
      </c>
      <c r="AA17">
        <v>-499195.08742090099</v>
      </c>
      <c r="AB17">
        <v>167.63179439661999</v>
      </c>
      <c r="AC17">
        <v>98.934642820385903</v>
      </c>
      <c r="AD17">
        <v>1.61849319525765</v>
      </c>
      <c r="AE17">
        <v>1.61849319525765</v>
      </c>
      <c r="AF17">
        <v>1.3315036541571701</v>
      </c>
      <c r="AG17">
        <v>1.3142805913895099</v>
      </c>
      <c r="AH17">
        <v>1.5194933531599799</v>
      </c>
    </row>
    <row r="18" spans="1:34" x14ac:dyDescent="0.25">
      <c r="A18" t="s">
        <v>31</v>
      </c>
      <c r="B18" s="15"/>
      <c r="C18" s="17"/>
      <c r="D18" s="9">
        <f t="shared" si="39"/>
        <v>596.15128272620996</v>
      </c>
      <c r="E18" s="3">
        <f t="shared" si="40"/>
        <v>80.923869008580112</v>
      </c>
      <c r="F18" s="5">
        <f t="shared" si="41"/>
        <v>1.7501643832960401</v>
      </c>
      <c r="G18" s="9">
        <f t="shared" si="42"/>
        <v>161.84773801716</v>
      </c>
      <c r="H18" s="5">
        <f t="shared" si="43"/>
        <v>1.7501643832960401</v>
      </c>
      <c r="I18" s="9">
        <f t="shared" si="44"/>
        <v>2719.1285037150701</v>
      </c>
      <c r="J18" s="5">
        <f t="shared" si="45"/>
        <v>1.3913096033701799</v>
      </c>
      <c r="K18" s="9">
        <f t="shared" si="46"/>
        <v>411.530665807768</v>
      </c>
      <c r="L18" s="5">
        <f t="shared" si="47"/>
        <v>1.38811124732965</v>
      </c>
      <c r="M18" s="7">
        <f t="shared" si="48"/>
        <v>1.2944099341038802</v>
      </c>
      <c r="N18" s="5">
        <f t="shared" si="49"/>
        <v>1.6743615018103699</v>
      </c>
      <c r="O18" s="7">
        <f>((SUM($K$3:$K$5)+ SUM($K$15:K18)) * 20 + (SUM($M$3:$M$5) + SUM($M$15:M18)) * 1000) /(SUM($G$3:$G$5) + SUM($G$15:G18))</f>
        <v>78.437732002316082</v>
      </c>
      <c r="P18" s="7">
        <f t="shared" si="51"/>
        <v>58.85175391978197</v>
      </c>
      <c r="Q18" s="3">
        <f t="shared" si="50"/>
        <v>29.760957931195993</v>
      </c>
      <c r="S18" t="s">
        <v>24</v>
      </c>
      <c r="T18" t="s">
        <v>23</v>
      </c>
      <c r="U18" t="s">
        <v>53</v>
      </c>
      <c r="V18">
        <v>940569</v>
      </c>
      <c r="W18">
        <v>596151.28272620996</v>
      </c>
      <c r="X18">
        <v>80923.869008580106</v>
      </c>
      <c r="Y18">
        <v>161847.73801716001</v>
      </c>
      <c r="Z18">
        <v>-2719.1285037150701</v>
      </c>
      <c r="AA18">
        <v>-1294409.9341038801</v>
      </c>
      <c r="AB18">
        <v>411.530665807768</v>
      </c>
      <c r="AC18">
        <v>99.833250470974903</v>
      </c>
      <c r="AD18">
        <v>1.7501643832960401</v>
      </c>
      <c r="AE18">
        <v>1.7501643832960401</v>
      </c>
      <c r="AF18">
        <v>1.3913096033701799</v>
      </c>
      <c r="AG18">
        <v>1.38811124732965</v>
      </c>
      <c r="AH18">
        <v>1.6743615018103699</v>
      </c>
    </row>
    <row r="19" spans="1:34" x14ac:dyDescent="0.25">
      <c r="A19" t="s">
        <v>31</v>
      </c>
      <c r="B19" s="10" t="str">
        <f t="shared" ref="B19" si="53">T17</f>
        <v>[85,90)</v>
      </c>
      <c r="C19" s="11">
        <v>417.13799999999998</v>
      </c>
      <c r="D19" s="9">
        <f t="shared" si="39"/>
        <v>417.13799999999998</v>
      </c>
      <c r="E19" s="3">
        <f t="shared" si="40"/>
        <v>56.6239171978836</v>
      </c>
      <c r="F19" s="5">
        <f t="shared" si="41"/>
        <v>1.8422971315219401</v>
      </c>
      <c r="G19" s="9">
        <f t="shared" si="42"/>
        <v>113.247834395767</v>
      </c>
      <c r="H19" s="5">
        <f t="shared" si="43"/>
        <v>1.8422971315219401</v>
      </c>
      <c r="I19" s="9">
        <f t="shared" si="44"/>
        <v>1398.2286690972801</v>
      </c>
      <c r="J19" s="5">
        <f t="shared" si="45"/>
        <v>1.4220629836013701</v>
      </c>
      <c r="K19" s="9">
        <f t="shared" si="46"/>
        <v>215.06649113910299</v>
      </c>
      <c r="L19" s="5">
        <f t="shared" si="47"/>
        <v>1.4266952495215099</v>
      </c>
      <c r="M19" s="7">
        <f t="shared" si="48"/>
        <v>0.78007425764216398</v>
      </c>
      <c r="N19" s="5">
        <f t="shared" si="49"/>
        <v>1.76769256556994</v>
      </c>
      <c r="O19" s="7">
        <f>((SUM($K$3:$K$5)+ SUM($K$15:K19)) * 20 + (SUM($M$3:$M$5) + SUM($M$15:M19)) * 1000) /(SUM($G$3:$G$5) + SUM($G$15:G19))</f>
        <v>76.759007814472241</v>
      </c>
      <c r="P19" s="7">
        <f t="shared" si="51"/>
        <v>44.869768217079098</v>
      </c>
      <c r="Q19" s="3">
        <f t="shared" si="50"/>
        <v>40.496893283157291</v>
      </c>
      <c r="S19" t="s">
        <v>24</v>
      </c>
      <c r="T19" t="s">
        <v>25</v>
      </c>
      <c r="U19" t="s">
        <v>53</v>
      </c>
      <c r="V19">
        <v>417138</v>
      </c>
      <c r="W19">
        <v>417138</v>
      </c>
      <c r="X19">
        <v>56623.917197883602</v>
      </c>
      <c r="Y19">
        <v>113247.834395767</v>
      </c>
      <c r="Z19">
        <v>-1398.2286690972801</v>
      </c>
      <c r="AA19">
        <v>-780074.25764216401</v>
      </c>
      <c r="AB19">
        <v>215.06649113910299</v>
      </c>
      <c r="AC19">
        <v>99.506063843051805</v>
      </c>
      <c r="AD19">
        <v>1.8422971315219401</v>
      </c>
      <c r="AE19">
        <v>1.8422971315219401</v>
      </c>
      <c r="AF19">
        <v>1.4220629836013701</v>
      </c>
      <c r="AG19">
        <v>1.4266952495215099</v>
      </c>
      <c r="AH19">
        <v>1.76769256556994</v>
      </c>
    </row>
    <row r="22" spans="1:34" x14ac:dyDescent="0.25">
      <c r="D22" s="9">
        <f>SUM(D3:D5)</f>
        <v>2168.6131270308952</v>
      </c>
      <c r="E22" s="9">
        <f>SUM(E3:E5)</f>
        <v>614.59055860409251</v>
      </c>
      <c r="G22" s="9">
        <f>SUM(G3:G5)</f>
        <v>1229.1811172081859</v>
      </c>
      <c r="K22" s="9">
        <f>SUM(K3:K5)</f>
        <v>5573.9808967893359</v>
      </c>
      <c r="M22" s="9">
        <f>SUM(M3:M5)</f>
        <v>8.3581417185142399</v>
      </c>
    </row>
  </sheetData>
  <mergeCells count="16">
    <mergeCell ref="B15:B16"/>
    <mergeCell ref="B17:B18"/>
    <mergeCell ref="C15:C16"/>
    <mergeCell ref="C17:C18"/>
    <mergeCell ref="A14:O14"/>
    <mergeCell ref="M1:N1"/>
    <mergeCell ref="K1:L1"/>
    <mergeCell ref="E1:F1"/>
    <mergeCell ref="G1:H1"/>
    <mergeCell ref="C8:C9"/>
    <mergeCell ref="C10:C11"/>
    <mergeCell ref="B10:B11"/>
    <mergeCell ref="B8:B9"/>
    <mergeCell ref="A7:O7"/>
    <mergeCell ref="A4:A5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TimeWz TimeWz</dc:creator>
  <cp:lastModifiedBy>Chu-Chang  Ku</cp:lastModifiedBy>
  <dcterms:created xsi:type="dcterms:W3CDTF">2015-06-05T18:17:20Z</dcterms:created>
  <dcterms:modified xsi:type="dcterms:W3CDTF">2024-09-24T13:54:21Z</dcterms:modified>
</cp:coreProperties>
</file>